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https://fjafvv8gaut9xmnetvz1ceap4e8-my.sharepoint.com/personal/erik_ioi-llc_com/Documents/Thought Leadership/Framework/Tools/Models/_Base Model/"/>
    </mc:Choice>
  </mc:AlternateContent>
  <xr:revisionPtr revIDLastSave="39" documentId="8_{C37F6037-03B3-4475-B563-B757C6F4C9C8}" xr6:coauthVersionLast="47" xr6:coauthVersionMax="47" xr10:uidLastSave="{4BA2C0B8-771B-4281-A5F0-2BAE2FD50D0D}"/>
  <bookViews>
    <workbookView xWindow="-98" yWindow="-98" windowWidth="21795" windowHeight="13875" tabRatio="825" xr2:uid="{00000000-000D-0000-FFFF-FFFF00000000}"/>
  </bookViews>
  <sheets>
    <sheet name="Valuation Model" sheetId="1" r:id="rId1"/>
    <sheet name="Company Analysis" sheetId="19" r:id="rId2"/>
    <sheet name="Graphing Data" sheetId="21" r:id="rId3"/>
    <sheet name="Revenue Chart" sheetId="22" r:id="rId4"/>
    <sheet name="Profit Chart" sheetId="23" r:id="rId5"/>
    <sheet name="ECF to OCP Chart" sheetId="25" r:id="rId6"/>
    <sheet name="ECF Breakdown Chart" sheetId="26" r:id="rId7"/>
    <sheet name="FCFO Chart" sheetId="27" r:id="rId8"/>
    <sheet name="Investment Efficacy Chart" sheetId="28" r:id="rId9"/>
    <sheet name="Valuation Histogram" sheetId="16" r:id="rId10"/>
    <sheet name="Histogram Data" sheetId="17" r:id="rId11"/>
    <sheet name="GDP Data" sheetId="20" r:id="rId12"/>
    <sheet name="Disclaimer" sheetId="18" r:id="rId13"/>
    <sheet name="PSW_Sheet" sheetId="11" state="veryHidden" r:id="rId14"/>
    <sheet name="_SSC" sheetId="12" state="veryHidden" r:id="rId15"/>
    <sheet name="_Options" sheetId="13" state="veryHidden" r:id="rId16"/>
  </sheets>
  <externalReferences>
    <externalReference r:id="rId17"/>
    <externalReference r:id="rId18"/>
    <externalReference r:id="rId19"/>
    <externalReference r:id="rId20"/>
    <externalReference r:id="rId21"/>
    <externalReference r:id="rId22"/>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0"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Model'!$G$68</definedName>
    <definedName name="Scenario2">'Valuation Model'!$G$79</definedName>
    <definedName name="Scenario3">'Valuation Model'!$G$90</definedName>
    <definedName name="Scenario4">'Valuation Model'!$G$101</definedName>
    <definedName name="Scenario5">'Valuation Model'!$G$112</definedName>
    <definedName name="Scenario6">'Valuation Model'!$G$123</definedName>
    <definedName name="Scenario7">'Valuation Model'!$G$134</definedName>
    <definedName name="Scenario8">'Valuation Model'!$G$145</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21" l="1"/>
  <c r="K2" i="21"/>
  <c r="L3" i="21"/>
  <c r="M3" i="21"/>
  <c r="M11" i="21"/>
  <c r="M31" i="21"/>
  <c r="M34" i="21"/>
  <c r="N3" i="21"/>
  <c r="N11" i="21"/>
  <c r="N31" i="21"/>
  <c r="N34" i="21"/>
  <c r="O3" i="21"/>
  <c r="O11" i="21"/>
  <c r="O31" i="21"/>
  <c r="O34" i="21"/>
  <c r="P3" i="21"/>
  <c r="P11" i="21"/>
  <c r="P31" i="21"/>
  <c r="P34" i="21"/>
  <c r="L4" i="21"/>
  <c r="M4" i="21"/>
  <c r="M12" i="21"/>
  <c r="M32" i="21"/>
  <c r="M35" i="21"/>
  <c r="N4" i="21"/>
  <c r="N12" i="21"/>
  <c r="N32" i="21"/>
  <c r="N35" i="21"/>
  <c r="O4" i="21"/>
  <c r="O12" i="21"/>
  <c r="O32" i="21"/>
  <c r="O35" i="21"/>
  <c r="P4" i="21"/>
  <c r="P12" i="21"/>
  <c r="P32" i="21"/>
  <c r="P35" i="21"/>
  <c r="L12" i="21"/>
  <c r="L32" i="21"/>
  <c r="L35" i="21"/>
  <c r="L11" i="21"/>
  <c r="L31" i="21"/>
  <c r="L34" i="21"/>
  <c r="D19" i="1"/>
  <c r="B2" i="19"/>
  <c r="B38" i="19"/>
  <c r="B39" i="19"/>
  <c r="C2" i="19"/>
  <c r="C38" i="19"/>
  <c r="C39" i="19"/>
  <c r="D2" i="19"/>
  <c r="D8" i="19"/>
  <c r="E2" i="19"/>
  <c r="E38" i="19"/>
  <c r="E39" i="19"/>
  <c r="F2" i="19"/>
  <c r="F38" i="19"/>
  <c r="F39" i="19"/>
  <c r="G2" i="19"/>
  <c r="G38" i="19"/>
  <c r="G39" i="19"/>
  <c r="H2" i="19"/>
  <c r="H31" i="19"/>
  <c r="I2" i="19"/>
  <c r="I17" i="19"/>
  <c r="J2" i="19"/>
  <c r="J38" i="19"/>
  <c r="J39" i="19"/>
  <c r="K2" i="19"/>
  <c r="K38" i="19"/>
  <c r="K39" i="19"/>
  <c r="C26" i="21"/>
  <c r="D26" i="21"/>
  <c r="E26" i="21"/>
  <c r="F26" i="21"/>
  <c r="G26" i="21"/>
  <c r="H26" i="21"/>
  <c r="I26" i="21"/>
  <c r="J26" i="21"/>
  <c r="K26" i="21"/>
  <c r="B26" i="21"/>
  <c r="G3" i="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7" i="21"/>
  <c r="M7" i="21"/>
  <c r="N7" i="21"/>
  <c r="O7" i="21"/>
  <c r="P7" i="21"/>
  <c r="M6" i="21"/>
  <c r="N6" i="21"/>
  <c r="O6" i="21"/>
  <c r="P6" i="21"/>
  <c r="L6" i="21"/>
  <c r="C2" i="21"/>
  <c r="D2" i="21"/>
  <c r="E2" i="21"/>
  <c r="F2" i="21"/>
  <c r="G2" i="21"/>
  <c r="H2" i="21"/>
  <c r="I2" i="21"/>
  <c r="J2" i="21"/>
  <c r="B2" i="21"/>
  <c r="J1" i="21"/>
  <c r="J37" i="21"/>
  <c r="B1" i="21"/>
  <c r="B29" i="21"/>
  <c r="K27" i="19"/>
  <c r="K27" i="21"/>
  <c r="J27" i="19"/>
  <c r="I27" i="19"/>
  <c r="I27" i="21"/>
  <c r="H27" i="19"/>
  <c r="H27" i="21"/>
  <c r="G27" i="19"/>
  <c r="G27" i="21"/>
  <c r="F27" i="19"/>
  <c r="F27" i="21"/>
  <c r="E27" i="19"/>
  <c r="E27" i="21"/>
  <c r="D27" i="19"/>
  <c r="D27" i="21"/>
  <c r="C27" i="19"/>
  <c r="C27" i="21"/>
  <c r="B27" i="19"/>
  <c r="K19" i="19"/>
  <c r="K22" i="21"/>
  <c r="J19" i="19"/>
  <c r="J22" i="21"/>
  <c r="I19" i="19"/>
  <c r="I22" i="21"/>
  <c r="H19" i="19"/>
  <c r="H22" i="21"/>
  <c r="G19" i="19"/>
  <c r="G22" i="21"/>
  <c r="F19" i="19"/>
  <c r="E19" i="19"/>
  <c r="E22" i="21"/>
  <c r="D19" i="19"/>
  <c r="D22" i="21"/>
  <c r="C19" i="19"/>
  <c r="C22" i="21"/>
  <c r="B19" i="19"/>
  <c r="B22" i="21"/>
  <c r="H17" i="19"/>
  <c r="K11" i="19"/>
  <c r="J11" i="19"/>
  <c r="J10" i="21"/>
  <c r="I11" i="19"/>
  <c r="I10" i="21"/>
  <c r="H11" i="19"/>
  <c r="H10" i="21"/>
  <c r="G11" i="19"/>
  <c r="G10" i="21"/>
  <c r="F11" i="19"/>
  <c r="F12" i="19"/>
  <c r="E11" i="19"/>
  <c r="E10" i="21"/>
  <c r="D11" i="19"/>
  <c r="D10" i="21"/>
  <c r="D38" i="21"/>
  <c r="C11" i="19"/>
  <c r="C10" i="21"/>
  <c r="B11" i="19"/>
  <c r="B12" i="19"/>
  <c r="K6" i="19"/>
  <c r="J6" i="19"/>
  <c r="I6" i="19"/>
  <c r="H6" i="19"/>
  <c r="G6" i="19"/>
  <c r="K5" i="19"/>
  <c r="J5" i="19"/>
  <c r="I5" i="19"/>
  <c r="H5" i="19"/>
  <c r="G5" i="19"/>
  <c r="F5" i="19"/>
  <c r="E5" i="19"/>
  <c r="K4" i="19"/>
  <c r="J4" i="19"/>
  <c r="I4" i="19"/>
  <c r="H4" i="19"/>
  <c r="G4" i="19"/>
  <c r="F4" i="19"/>
  <c r="E4" i="19"/>
  <c r="D4" i="19"/>
  <c r="C4" i="19"/>
  <c r="C31" i="19"/>
  <c r="B17" i="19"/>
  <c r="J17" i="19"/>
  <c r="B31" i="19"/>
  <c r="B8" i="19"/>
  <c r="J8" i="19"/>
  <c r="H9" i="17"/>
  <c r="H10" i="17"/>
  <c r="H6" i="17"/>
  <c r="G6" i="17"/>
  <c r="G9" i="17"/>
  <c r="G10" i="17"/>
  <c r="G7" i="17"/>
  <c r="G8" i="17"/>
  <c r="G11" i="17"/>
  <c r="G12" i="17"/>
  <c r="G5" i="17"/>
  <c r="H5" i="17"/>
  <c r="C2" i="1"/>
  <c r="H7" i="17"/>
  <c r="H11" i="17"/>
  <c r="H8" i="17"/>
  <c r="H12" i="17"/>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B52" i="1"/>
  <c r="B46" i="1"/>
  <c r="B47" i="1"/>
  <c r="C26" i="1"/>
  <c r="C43" i="1"/>
  <c r="B115" i="1"/>
  <c r="C115" i="1"/>
  <c r="D26" i="1"/>
  <c r="D43" i="1"/>
  <c r="B93" i="1"/>
  <c r="B94" i="1"/>
  <c r="B95" i="1"/>
  <c r="E26" i="1"/>
  <c r="E43" i="1"/>
  <c r="B126" i="1"/>
  <c r="C126" i="1"/>
  <c r="F26" i="1"/>
  <c r="F43" i="1"/>
  <c r="B59" i="1"/>
  <c r="C59" i="1"/>
  <c r="B26" i="1"/>
  <c r="B43" i="1"/>
  <c r="B104" i="1"/>
  <c r="B105" i="1"/>
  <c r="B106" i="1"/>
  <c r="B137" i="1"/>
  <c r="B82" i="1"/>
  <c r="B83" i="1"/>
  <c r="B84" i="1"/>
  <c r="B71" i="1"/>
  <c r="B72" i="1"/>
  <c r="B73" i="1"/>
  <c r="B38" i="1"/>
  <c r="B39" i="1"/>
  <c r="B37" i="1"/>
  <c r="B27" i="1"/>
  <c r="C27" i="1"/>
  <c r="I11" i="1"/>
  <c r="I9" i="1"/>
  <c r="B12" i="17"/>
  <c r="I8" i="1"/>
  <c r="B10" i="17"/>
  <c r="I7" i="1"/>
  <c r="B8" i="17"/>
  <c r="I6" i="1"/>
  <c r="B6" i="17"/>
  <c r="I2" i="1"/>
  <c r="B5" i="17"/>
  <c r="I4" i="1"/>
  <c r="B9" i="17"/>
  <c r="I5" i="1"/>
  <c r="B11" i="17"/>
  <c r="I3" i="1"/>
  <c r="B7" i="17"/>
  <c r="F86" i="1"/>
  <c r="D18" i="1"/>
  <c r="F119" i="1"/>
  <c r="E22" i="1"/>
  <c r="K10" i="21"/>
  <c r="E5" i="21"/>
  <c r="J31" i="19"/>
  <c r="D31" i="19"/>
  <c r="D17" i="19"/>
  <c r="D1" i="21"/>
  <c r="D37" i="21"/>
  <c r="E12" i="19"/>
  <c r="I13" i="19"/>
  <c r="I41" i="19"/>
  <c r="B60" i="1"/>
  <c r="B62" i="1"/>
  <c r="B63" i="1"/>
  <c r="I31" i="19"/>
  <c r="I1" i="21"/>
  <c r="I37" i="21"/>
  <c r="B37" i="21"/>
  <c r="E7" i="17"/>
  <c r="I28" i="19"/>
  <c r="I29" i="19"/>
  <c r="I29" i="21"/>
  <c r="E1" i="21"/>
  <c r="E29" i="21"/>
  <c r="E9" i="17"/>
  <c r="I8" i="19"/>
  <c r="E8" i="17"/>
  <c r="E17" i="19"/>
  <c r="E31" i="19"/>
  <c r="I38" i="19"/>
  <c r="I39" i="19"/>
  <c r="J40" i="19"/>
  <c r="E12" i="17"/>
  <c r="E10" i="17"/>
  <c r="D12" i="19"/>
  <c r="F28" i="19"/>
  <c r="F19" i="21"/>
  <c r="J5" i="21"/>
  <c r="D38" i="19"/>
  <c r="D39" i="19"/>
  <c r="F42" i="19"/>
  <c r="B116" i="1"/>
  <c r="C28" i="1"/>
  <c r="C29" i="1"/>
  <c r="C30" i="1"/>
  <c r="C44" i="1"/>
  <c r="B127" i="1"/>
  <c r="B128" i="1"/>
  <c r="B129" i="1"/>
  <c r="E11" i="17"/>
  <c r="H12" i="19"/>
  <c r="J9" i="21"/>
  <c r="J17" i="21"/>
  <c r="J21" i="21"/>
  <c r="F1" i="21"/>
  <c r="F29" i="21"/>
  <c r="C28" i="19"/>
  <c r="C29" i="19"/>
  <c r="C12" i="19"/>
  <c r="D13" i="19"/>
  <c r="D41" i="19"/>
  <c r="E14" i="19"/>
  <c r="E43" i="19"/>
  <c r="F64" i="1"/>
  <c r="F108" i="1"/>
  <c r="D27" i="1"/>
  <c r="E27" i="1"/>
  <c r="F27" i="1"/>
  <c r="L16" i="1"/>
  <c r="F17" i="19"/>
  <c r="H28" i="19"/>
  <c r="H32" i="19"/>
  <c r="C82" i="1"/>
  <c r="F141" i="1"/>
  <c r="E18" i="21"/>
  <c r="E38" i="21"/>
  <c r="E13" i="21"/>
  <c r="K12" i="19"/>
  <c r="G12" i="19"/>
  <c r="K28" i="19"/>
  <c r="K29" i="19"/>
  <c r="F5" i="21"/>
  <c r="E5" i="17"/>
  <c r="F8" i="19"/>
  <c r="J28" i="19"/>
  <c r="J32" i="19"/>
  <c r="F75" i="1"/>
  <c r="F97" i="1"/>
  <c r="B54" i="1"/>
  <c r="C93" i="1"/>
  <c r="C94" i="1"/>
  <c r="F31" i="19"/>
  <c r="K15" i="19"/>
  <c r="K45" i="19"/>
  <c r="J12" i="19"/>
  <c r="E13" i="19"/>
  <c r="E41" i="19"/>
  <c r="B28" i="19"/>
  <c r="B19" i="21"/>
  <c r="G5" i="21"/>
  <c r="C5" i="21"/>
  <c r="K40" i="19"/>
  <c r="I38" i="21"/>
  <c r="I13" i="21"/>
  <c r="I18" i="21"/>
  <c r="D126" i="1"/>
  <c r="C127" i="1"/>
  <c r="C60" i="1"/>
  <c r="C62" i="1"/>
  <c r="D59" i="1"/>
  <c r="E59" i="1"/>
  <c r="H13" i="21"/>
  <c r="H38" i="21"/>
  <c r="C71" i="1"/>
  <c r="B48" i="1"/>
  <c r="B49" i="1"/>
  <c r="H14" i="19"/>
  <c r="H43" i="19"/>
  <c r="H8" i="19"/>
  <c r="D18" i="21"/>
  <c r="J29" i="21"/>
  <c r="E6" i="17"/>
  <c r="I12" i="19"/>
  <c r="G13" i="19"/>
  <c r="G41" i="19"/>
  <c r="J15" i="19"/>
  <c r="J45" i="19"/>
  <c r="F22" i="21"/>
  <c r="G28" i="19"/>
  <c r="H1" i="21"/>
  <c r="H29" i="21"/>
  <c r="H38" i="19"/>
  <c r="H39" i="19"/>
  <c r="H13" i="19"/>
  <c r="H41" i="19"/>
  <c r="G14" i="19"/>
  <c r="G43" i="19"/>
  <c r="H15" i="19"/>
  <c r="H45" i="19"/>
  <c r="I15" i="19"/>
  <c r="I45" i="19"/>
  <c r="E28" i="19"/>
  <c r="E8" i="19"/>
  <c r="B27" i="21"/>
  <c r="J27" i="21"/>
  <c r="H5" i="21"/>
  <c r="D5" i="21"/>
  <c r="F130" i="1"/>
  <c r="B107" i="1"/>
  <c r="B28" i="1"/>
  <c r="J18" i="21"/>
  <c r="J38" i="21"/>
  <c r="J13" i="21"/>
  <c r="F40" i="19"/>
  <c r="C104" i="1"/>
  <c r="B53" i="1"/>
  <c r="B138" i="1"/>
  <c r="C137" i="1"/>
  <c r="D115" i="1"/>
  <c r="C116" i="1"/>
  <c r="C13" i="21"/>
  <c r="C18" i="21"/>
  <c r="C38" i="21"/>
  <c r="K13" i="21"/>
  <c r="K38" i="21"/>
  <c r="K18" i="21"/>
  <c r="C40" i="19"/>
  <c r="G38" i="21"/>
  <c r="G13" i="21"/>
  <c r="G18" i="21"/>
  <c r="G40" i="19"/>
  <c r="F14" i="19"/>
  <c r="F43" i="19"/>
  <c r="D13" i="21"/>
  <c r="K17" i="19"/>
  <c r="G8" i="19"/>
  <c r="D29" i="21"/>
  <c r="K1" i="21"/>
  <c r="G1" i="21"/>
  <c r="C1" i="21"/>
  <c r="I5" i="21"/>
  <c r="K14" i="19"/>
  <c r="K43" i="19"/>
  <c r="J13" i="19"/>
  <c r="J41" i="19"/>
  <c r="I14" i="19"/>
  <c r="I43" i="19"/>
  <c r="K31" i="19"/>
  <c r="G15" i="19"/>
  <c r="G45" i="19"/>
  <c r="K13" i="19"/>
  <c r="K41" i="19"/>
  <c r="C13" i="19"/>
  <c r="C41" i="19"/>
  <c r="F13" i="19"/>
  <c r="F41" i="19"/>
  <c r="F10" i="21"/>
  <c r="B10" i="21"/>
  <c r="H18" i="21"/>
  <c r="D28" i="19"/>
  <c r="G17" i="19"/>
  <c r="H37" i="21"/>
  <c r="B9" i="21"/>
  <c r="B17" i="21"/>
  <c r="B21" i="21"/>
  <c r="K5" i="21"/>
  <c r="G31" i="19"/>
  <c r="J14" i="19"/>
  <c r="J43" i="19"/>
  <c r="C17" i="19"/>
  <c r="C8" i="19"/>
  <c r="K8" i="19"/>
  <c r="B96" i="1"/>
  <c r="B85" i="1"/>
  <c r="B74" i="1"/>
  <c r="I9" i="21"/>
  <c r="I17" i="21"/>
  <c r="I21" i="21"/>
  <c r="K32" i="19"/>
  <c r="B139" i="1"/>
  <c r="B140" i="1"/>
  <c r="C128" i="1"/>
  <c r="C129" i="1"/>
  <c r="C117" i="1"/>
  <c r="C118" i="1"/>
  <c r="C95" i="1"/>
  <c r="C96" i="1"/>
  <c r="B117" i="1"/>
  <c r="B118" i="1"/>
  <c r="G44" i="19"/>
  <c r="B55" i="1"/>
  <c r="D9" i="21"/>
  <c r="D17" i="21"/>
  <c r="D21" i="21"/>
  <c r="G42" i="19"/>
  <c r="G41" i="21"/>
  <c r="D40" i="19"/>
  <c r="D40" i="21"/>
  <c r="E42" i="19"/>
  <c r="E40" i="19"/>
  <c r="I44" i="19"/>
  <c r="B61" i="1"/>
  <c r="J19" i="21"/>
  <c r="I19" i="21"/>
  <c r="C19" i="21"/>
  <c r="I32" i="19"/>
  <c r="I33" i="19"/>
  <c r="D60" i="1"/>
  <c r="F9" i="21"/>
  <c r="F17" i="21"/>
  <c r="F21" i="21"/>
  <c r="F37" i="21"/>
  <c r="E37" i="21"/>
  <c r="E9" i="21"/>
  <c r="E17" i="21"/>
  <c r="E21" i="21"/>
  <c r="F29" i="19"/>
  <c r="H9" i="21"/>
  <c r="H17" i="21"/>
  <c r="H21" i="21"/>
  <c r="F32" i="19"/>
  <c r="F33" i="19"/>
  <c r="C32" i="19"/>
  <c r="C33" i="19"/>
  <c r="J29" i="19"/>
  <c r="F28" i="1"/>
  <c r="F29" i="1"/>
  <c r="F30" i="1"/>
  <c r="G40" i="21"/>
  <c r="E41" i="21"/>
  <c r="E40" i="21"/>
  <c r="E28" i="1"/>
  <c r="E29" i="1"/>
  <c r="E30" i="1"/>
  <c r="E44" i="1"/>
  <c r="D28" i="1"/>
  <c r="D29" i="1"/>
  <c r="D30" i="1"/>
  <c r="D44" i="1"/>
  <c r="D93" i="1"/>
  <c r="D94" i="1"/>
  <c r="H19" i="21"/>
  <c r="H29" i="19"/>
  <c r="C83" i="1"/>
  <c r="D82" i="1"/>
  <c r="K40" i="21"/>
  <c r="I42" i="19"/>
  <c r="I41" i="21"/>
  <c r="B32" i="19"/>
  <c r="B33" i="19"/>
  <c r="J40" i="21"/>
  <c r="B29" i="19"/>
  <c r="K19" i="21"/>
  <c r="K35" i="19"/>
  <c r="F40" i="21"/>
  <c r="J42" i="19"/>
  <c r="J41" i="21"/>
  <c r="J44" i="19"/>
  <c r="K44" i="19"/>
  <c r="I40" i="19"/>
  <c r="I40" i="21"/>
  <c r="H42" i="19"/>
  <c r="H41" i="21"/>
  <c r="H44" i="19"/>
  <c r="H40" i="19"/>
  <c r="H40" i="21"/>
  <c r="F41" i="21"/>
  <c r="K42" i="19"/>
  <c r="K41" i="21"/>
  <c r="H30" i="21"/>
  <c r="H33" i="21"/>
  <c r="H33" i="19"/>
  <c r="E126" i="1"/>
  <c r="D127" i="1"/>
  <c r="G29" i="19"/>
  <c r="G19" i="21"/>
  <c r="G32" i="19"/>
  <c r="E29" i="19"/>
  <c r="E19" i="21"/>
  <c r="E32" i="19"/>
  <c r="C72" i="1"/>
  <c r="D71" i="1"/>
  <c r="C63" i="1"/>
  <c r="C61" i="1"/>
  <c r="B13" i="21"/>
  <c r="B38" i="21"/>
  <c r="B39" i="21"/>
  <c r="C39" i="21"/>
  <c r="D39" i="21"/>
  <c r="E39" i="21"/>
  <c r="F39" i="21"/>
  <c r="G39" i="21"/>
  <c r="B18" i="21"/>
  <c r="C37" i="21"/>
  <c r="C9" i="21"/>
  <c r="C17" i="21"/>
  <c r="C21" i="21"/>
  <c r="C29" i="21"/>
  <c r="F13" i="21"/>
  <c r="F38" i="21"/>
  <c r="F18" i="21"/>
  <c r="G9" i="21"/>
  <c r="G17" i="21"/>
  <c r="G21" i="21"/>
  <c r="G29" i="21"/>
  <c r="G37" i="21"/>
  <c r="C138" i="1"/>
  <c r="D137" i="1"/>
  <c r="D104" i="1"/>
  <c r="C105" i="1"/>
  <c r="K7" i="21"/>
  <c r="K6" i="21"/>
  <c r="K29" i="21"/>
  <c r="K37" i="21"/>
  <c r="L1" i="21"/>
  <c r="K9" i="21"/>
  <c r="K17" i="21"/>
  <c r="K21" i="21"/>
  <c r="K14" i="21"/>
  <c r="K15" i="21"/>
  <c r="E60" i="1"/>
  <c r="E62" i="1"/>
  <c r="F59" i="1"/>
  <c r="F60" i="1"/>
  <c r="F62" i="1"/>
  <c r="D29" i="19"/>
  <c r="D19" i="21"/>
  <c r="D32" i="19"/>
  <c r="C40" i="21"/>
  <c r="J33" i="19"/>
  <c r="J30" i="21"/>
  <c r="J33" i="21"/>
  <c r="D116" i="1"/>
  <c r="E115" i="1"/>
  <c r="B29" i="1"/>
  <c r="B30" i="1"/>
  <c r="C106" i="1"/>
  <c r="C107" i="1"/>
  <c r="D62" i="1"/>
  <c r="D63" i="1"/>
  <c r="D117" i="1"/>
  <c r="D118" i="1"/>
  <c r="D61" i="1"/>
  <c r="C73" i="1"/>
  <c r="C74" i="1"/>
  <c r="C139" i="1"/>
  <c r="C140" i="1"/>
  <c r="D95" i="1"/>
  <c r="D96" i="1"/>
  <c r="D128" i="1"/>
  <c r="D129" i="1"/>
  <c r="C84" i="1"/>
  <c r="C85" i="1"/>
  <c r="I30" i="21"/>
  <c r="I33" i="21"/>
  <c r="I34" i="19"/>
  <c r="J36" i="19"/>
  <c r="J34" i="19"/>
  <c r="F30" i="21"/>
  <c r="F33" i="21"/>
  <c r="J35" i="19"/>
  <c r="C30" i="21"/>
  <c r="C33" i="21"/>
  <c r="C34" i="19"/>
  <c r="B30" i="21"/>
  <c r="B33" i="21"/>
  <c r="E93" i="1"/>
  <c r="F93" i="1"/>
  <c r="F94" i="1"/>
  <c r="F95" i="1"/>
  <c r="K34" i="19"/>
  <c r="D83" i="1"/>
  <c r="E82" i="1"/>
  <c r="K36" i="19"/>
  <c r="K30" i="21"/>
  <c r="K33" i="21"/>
  <c r="K33" i="19"/>
  <c r="H39" i="21"/>
  <c r="I39" i="21"/>
  <c r="J39" i="21"/>
  <c r="K39" i="21"/>
  <c r="E94" i="1"/>
  <c r="E71" i="1"/>
  <c r="D72" i="1"/>
  <c r="E30" i="21"/>
  <c r="E33" i="21"/>
  <c r="E33" i="19"/>
  <c r="F34" i="19"/>
  <c r="E127" i="1"/>
  <c r="F126" i="1"/>
  <c r="F127" i="1"/>
  <c r="F128" i="1"/>
  <c r="G30" i="21"/>
  <c r="G33" i="21"/>
  <c r="G34" i="19"/>
  <c r="I35" i="19"/>
  <c r="G33" i="19"/>
  <c r="H35" i="19"/>
  <c r="H34" i="19"/>
  <c r="E116" i="1"/>
  <c r="F115" i="1"/>
  <c r="F116" i="1"/>
  <c r="F117" i="1"/>
  <c r="E104" i="1"/>
  <c r="D105" i="1"/>
  <c r="E137" i="1"/>
  <c r="D138" i="1"/>
  <c r="B50" i="1"/>
  <c r="B51" i="1"/>
  <c r="D22" i="1"/>
  <c r="F44" i="1"/>
  <c r="C22" i="1"/>
  <c r="D30" i="21"/>
  <c r="D33" i="21"/>
  <c r="G36" i="19"/>
  <c r="E34" i="19"/>
  <c r="F35" i="19"/>
  <c r="D33" i="19"/>
  <c r="E35" i="19"/>
  <c r="D34" i="19"/>
  <c r="G35" i="19"/>
  <c r="H36" i="19"/>
  <c r="I36" i="19"/>
  <c r="F61" i="1"/>
  <c r="L29" i="21"/>
  <c r="L9" i="21"/>
  <c r="M1" i="21"/>
  <c r="L17" i="1"/>
  <c r="B44" i="1"/>
  <c r="E63" i="1"/>
  <c r="E61" i="1"/>
  <c r="D139" i="1"/>
  <c r="D140" i="1"/>
  <c r="D106" i="1"/>
  <c r="D107" i="1"/>
  <c r="E117" i="1"/>
  <c r="E118" i="1"/>
  <c r="E128" i="1"/>
  <c r="E129" i="1"/>
  <c r="D73" i="1"/>
  <c r="D74" i="1"/>
  <c r="E95" i="1"/>
  <c r="E96" i="1"/>
  <c r="D84" i="1"/>
  <c r="D85" i="1"/>
  <c r="E83" i="1"/>
  <c r="F82" i="1"/>
  <c r="F83" i="1"/>
  <c r="F84" i="1"/>
  <c r="K34" i="21"/>
  <c r="K35" i="21"/>
  <c r="F131" i="1"/>
  <c r="F132" i="1"/>
  <c r="G132" i="1"/>
  <c r="F129" i="1"/>
  <c r="G130" i="1"/>
  <c r="F98" i="1"/>
  <c r="F99" i="1"/>
  <c r="G99" i="1"/>
  <c r="F96" i="1"/>
  <c r="G97" i="1"/>
  <c r="F71" i="1"/>
  <c r="F72" i="1"/>
  <c r="F73" i="1"/>
  <c r="E72" i="1"/>
  <c r="B22" i="1"/>
  <c r="F22" i="1"/>
  <c r="L18" i="1"/>
  <c r="N1" i="21"/>
  <c r="M29" i="21"/>
  <c r="M9" i="21"/>
  <c r="F137" i="1"/>
  <c r="F138" i="1"/>
  <c r="F139" i="1"/>
  <c r="E138" i="1"/>
  <c r="E105" i="1"/>
  <c r="F104" i="1"/>
  <c r="F105" i="1"/>
  <c r="F106" i="1"/>
  <c r="F65" i="1"/>
  <c r="F66" i="1"/>
  <c r="G66" i="1"/>
  <c r="F63" i="1"/>
  <c r="G64" i="1"/>
  <c r="F120" i="1"/>
  <c r="F121" i="1"/>
  <c r="G121" i="1"/>
  <c r="F118" i="1"/>
  <c r="G119" i="1"/>
  <c r="E84" i="1"/>
  <c r="E85" i="1"/>
  <c r="E73" i="1"/>
  <c r="E74" i="1"/>
  <c r="E139" i="1"/>
  <c r="E140" i="1"/>
  <c r="E106" i="1"/>
  <c r="E107" i="1"/>
  <c r="B23" i="1"/>
  <c r="F87" i="1"/>
  <c r="F88" i="1"/>
  <c r="G88" i="1"/>
  <c r="F85" i="1"/>
  <c r="G96" i="1"/>
  <c r="G100" i="1"/>
  <c r="G101" i="1"/>
  <c r="K5" i="1"/>
  <c r="C11" i="17"/>
  <c r="F76" i="1"/>
  <c r="F77" i="1"/>
  <c r="G77" i="1"/>
  <c r="F74" i="1"/>
  <c r="G75" i="1"/>
  <c r="G129" i="1"/>
  <c r="G133" i="1"/>
  <c r="G134" i="1"/>
  <c r="K8" i="1"/>
  <c r="C10" i="17"/>
  <c r="D23" i="1"/>
  <c r="I12" i="1"/>
  <c r="E23" i="1"/>
  <c r="C23" i="1"/>
  <c r="F109" i="1"/>
  <c r="F110" i="1"/>
  <c r="G110" i="1"/>
  <c r="F107" i="1"/>
  <c r="G108" i="1"/>
  <c r="G118" i="1"/>
  <c r="G122" i="1"/>
  <c r="G123" i="1"/>
  <c r="K7" i="1"/>
  <c r="C8" i="17"/>
  <c r="F140" i="1"/>
  <c r="G141" i="1"/>
  <c r="F142" i="1"/>
  <c r="F143" i="1"/>
  <c r="G143" i="1"/>
  <c r="G63" i="1"/>
  <c r="G67" i="1"/>
  <c r="G68" i="1"/>
  <c r="K2" i="1"/>
  <c r="C5" i="17"/>
  <c r="O1" i="21"/>
  <c r="N29" i="21"/>
  <c r="N9" i="21"/>
  <c r="G86" i="1"/>
  <c r="G85" i="1"/>
  <c r="G74" i="1"/>
  <c r="G78" i="1"/>
  <c r="G79" i="1"/>
  <c r="K3" i="1"/>
  <c r="C7" i="17"/>
  <c r="G140" i="1"/>
  <c r="G144" i="1"/>
  <c r="G145" i="1"/>
  <c r="K9" i="1"/>
  <c r="C12" i="17"/>
  <c r="O9" i="21"/>
  <c r="P1" i="21"/>
  <c r="O29" i="21"/>
  <c r="G107" i="1"/>
  <c r="G111" i="1"/>
  <c r="G112" i="1"/>
  <c r="K6" i="1"/>
  <c r="C6" i="17"/>
  <c r="G89" i="1"/>
  <c r="G90" i="1"/>
  <c r="K4" i="1"/>
  <c r="C9" i="17"/>
  <c r="B1" i="17"/>
  <c r="P29" i="21"/>
  <c r="P9" i="21"/>
  <c r="B2" i="17"/>
  <c r="K5" i="17"/>
  <c r="N5" i="17"/>
  <c r="K6" i="17"/>
  <c r="K53" i="17"/>
  <c r="K30" i="17"/>
  <c r="K26" i="17"/>
  <c r="K13" i="17"/>
  <c r="K41" i="17"/>
  <c r="K37" i="17"/>
  <c r="K25" i="17"/>
  <c r="K45" i="17"/>
  <c r="K31" i="17"/>
  <c r="K35" i="17"/>
  <c r="K47" i="17"/>
  <c r="K46" i="17"/>
  <c r="K19" i="17"/>
  <c r="K39" i="17"/>
  <c r="K44" i="17"/>
  <c r="K9" i="17"/>
  <c r="K27" i="17"/>
  <c r="K42" i="17"/>
  <c r="K14" i="17"/>
  <c r="K16" i="17"/>
  <c r="K49" i="17"/>
  <c r="K40" i="17"/>
  <c r="K32" i="17"/>
  <c r="K51" i="17"/>
  <c r="K12" i="17"/>
  <c r="K8" i="17"/>
  <c r="K52" i="17"/>
  <c r="K11" i="17"/>
  <c r="K50" i="17"/>
  <c r="K48" i="17"/>
  <c r="K36" i="17"/>
  <c r="K20" i="17"/>
  <c r="K28" i="17"/>
  <c r="K43" i="17"/>
  <c r="K24" i="17"/>
  <c r="K22" i="17"/>
  <c r="K18" i="17"/>
  <c r="K33" i="17"/>
  <c r="K7" i="17"/>
  <c r="K10" i="17"/>
  <c r="K54" i="17"/>
  <c r="K29" i="17"/>
  <c r="K15" i="17"/>
  <c r="K17" i="17"/>
  <c r="K55" i="17"/>
  <c r="K21" i="17"/>
  <c r="K34" i="17"/>
  <c r="K23" i="17"/>
  <c r="K38" i="17"/>
  <c r="N21" i="17"/>
  <c r="O21" i="17"/>
  <c r="N33" i="17"/>
  <c r="O33" i="17"/>
  <c r="N8" i="17"/>
  <c r="O8" i="17"/>
  <c r="N14" i="17"/>
  <c r="O14" i="17"/>
  <c r="N47" i="17"/>
  <c r="O47" i="17"/>
  <c r="N55" i="17"/>
  <c r="O55" i="17"/>
  <c r="N54" i="17"/>
  <c r="O54" i="17"/>
  <c r="N18" i="17"/>
  <c r="O18" i="17"/>
  <c r="N28" i="17"/>
  <c r="O28" i="17"/>
  <c r="N50" i="17"/>
  <c r="O50" i="17"/>
  <c r="N12" i="17"/>
  <c r="O12" i="17"/>
  <c r="N49" i="17"/>
  <c r="O49" i="17"/>
  <c r="N42" i="17"/>
  <c r="O42" i="17"/>
  <c r="N39" i="17"/>
  <c r="O39" i="17"/>
  <c r="O5" i="17"/>
  <c r="N25" i="17"/>
  <c r="O25" i="17"/>
  <c r="N26" i="17"/>
  <c r="O26" i="17"/>
  <c r="N48" i="17"/>
  <c r="O48" i="17"/>
  <c r="N13" i="17"/>
  <c r="O13" i="17"/>
  <c r="N23" i="17"/>
  <c r="O23" i="17"/>
  <c r="N10" i="17"/>
  <c r="O10" i="17"/>
  <c r="N22" i="17"/>
  <c r="O22" i="17"/>
  <c r="N20" i="17"/>
  <c r="O20" i="17"/>
  <c r="N11" i="17"/>
  <c r="O11" i="17"/>
  <c r="N51" i="17"/>
  <c r="O51" i="17"/>
  <c r="N16" i="17"/>
  <c r="O16" i="17"/>
  <c r="N27" i="17"/>
  <c r="O27" i="17"/>
  <c r="N19" i="17"/>
  <c r="O19" i="17"/>
  <c r="N35" i="17"/>
  <c r="O35" i="17"/>
  <c r="N37" i="17"/>
  <c r="O37" i="17"/>
  <c r="N30" i="17"/>
  <c r="O30" i="17"/>
  <c r="D9" i="17"/>
  <c r="D10" i="17"/>
  <c r="D11" i="17"/>
  <c r="D5" i="17"/>
  <c r="D7" i="17"/>
  <c r="D12" i="17"/>
  <c r="D8" i="17"/>
  <c r="D6" i="17"/>
  <c r="N29" i="17"/>
  <c r="O29" i="17"/>
  <c r="N43" i="17"/>
  <c r="O43" i="17"/>
  <c r="N40" i="17"/>
  <c r="O40" i="17"/>
  <c r="N44" i="17"/>
  <c r="O44" i="17"/>
  <c r="N45" i="17"/>
  <c r="O45" i="17"/>
  <c r="N38" i="17"/>
  <c r="O38" i="17"/>
  <c r="N17" i="17"/>
  <c r="O17" i="17"/>
  <c r="N34" i="17"/>
  <c r="O34" i="17"/>
  <c r="N15" i="17"/>
  <c r="O15" i="17"/>
  <c r="N7" i="17"/>
  <c r="O7" i="17"/>
  <c r="N24" i="17"/>
  <c r="O24" i="17"/>
  <c r="N36" i="17"/>
  <c r="O36" i="17"/>
  <c r="N52" i="17"/>
  <c r="O52" i="17"/>
  <c r="N32" i="17"/>
  <c r="O32" i="17"/>
  <c r="N6" i="17"/>
  <c r="O6" i="17"/>
  <c r="N9" i="17"/>
  <c r="O9" i="17"/>
  <c r="N46" i="17"/>
  <c r="O46" i="17"/>
  <c r="N31" i="17"/>
  <c r="O31" i="17"/>
  <c r="N41" i="17"/>
  <c r="O41" i="17"/>
  <c r="N53" i="17"/>
  <c r="O53" i="17"/>
  <c r="M40" i="17"/>
  <c r="L44" i="17"/>
  <c r="M53" i="17"/>
  <c r="M6" i="17"/>
  <c r="M41" i="17"/>
  <c r="M9" i="17"/>
  <c r="L43" i="17"/>
  <c r="L36" i="17"/>
  <c r="L17" i="17"/>
  <c r="M24" i="17"/>
  <c r="M34" i="17"/>
  <c r="L33" i="17"/>
  <c r="L30" i="17"/>
  <c r="M27" i="17"/>
  <c r="M13" i="17"/>
  <c r="L25" i="17"/>
  <c r="M5" i="17"/>
  <c r="L49" i="17"/>
  <c r="L18" i="17"/>
  <c r="L53" i="17"/>
  <c r="M46" i="17"/>
  <c r="L9" i="17"/>
  <c r="L52" i="17"/>
  <c r="M36" i="17"/>
  <c r="L15" i="17"/>
  <c r="L34" i="17"/>
  <c r="L45" i="17"/>
  <c r="M44" i="17"/>
  <c r="M29" i="17"/>
  <c r="L35" i="17"/>
  <c r="L19" i="17"/>
  <c r="M51" i="17"/>
  <c r="L11" i="17"/>
  <c r="M10" i="17"/>
  <c r="M23" i="17"/>
  <c r="M26" i="17"/>
  <c r="M25" i="17"/>
  <c r="M42" i="17"/>
  <c r="M49" i="17"/>
  <c r="L28" i="17"/>
  <c r="M18" i="17"/>
  <c r="M47" i="17"/>
  <c r="M14" i="17"/>
  <c r="M21" i="17"/>
  <c r="L54" i="17"/>
  <c r="L14" i="17"/>
  <c r="M31" i="17"/>
  <c r="L46" i="17"/>
  <c r="L32" i="17"/>
  <c r="M52" i="17"/>
  <c r="L7" i="17"/>
  <c r="M15" i="17"/>
  <c r="M38" i="17"/>
  <c r="M45" i="17"/>
  <c r="M43" i="17"/>
  <c r="L29" i="17"/>
  <c r="M30" i="17"/>
  <c r="L37" i="17"/>
  <c r="M35" i="17"/>
  <c r="L16" i="17"/>
  <c r="L51" i="17"/>
  <c r="L22" i="17"/>
  <c r="L10" i="17"/>
  <c r="M48" i="17"/>
  <c r="L26" i="17"/>
  <c r="M39" i="17"/>
  <c r="L42" i="17"/>
  <c r="M50" i="17"/>
  <c r="M28" i="17"/>
  <c r="M55" i="17"/>
  <c r="L47" i="17"/>
  <c r="M33" i="17"/>
  <c r="L21" i="17"/>
  <c r="M19" i="17"/>
  <c r="M11" i="17"/>
  <c r="M20" i="17"/>
  <c r="L23" i="17"/>
  <c r="M12" i="17"/>
  <c r="M8" i="17"/>
  <c r="L41" i="17"/>
  <c r="L31" i="17"/>
  <c r="L6" i="17"/>
  <c r="M32" i="17"/>
  <c r="L24" i="17"/>
  <c r="M7" i="17"/>
  <c r="M17" i="17"/>
  <c r="L38" i="17"/>
  <c r="L40" i="17"/>
  <c r="M37" i="17"/>
  <c r="L27" i="17"/>
  <c r="M16" i="17"/>
  <c r="L20" i="17"/>
  <c r="M22" i="17"/>
  <c r="L13" i="17"/>
  <c r="L48" i="17"/>
  <c r="L5" i="17"/>
  <c r="L39" i="17"/>
  <c r="L12" i="17"/>
  <c r="L50" i="17"/>
  <c r="M54" i="17"/>
  <c r="L55" i="17"/>
  <c r="L8"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2" authorId="0" shapeId="0" xr:uid="{82C856D3-FF15-41CB-920B-D8FAAB779B2E}">
      <text>
        <r>
          <rPr>
            <b/>
            <sz val="9"/>
            <color indexed="81"/>
            <rFont val="Tahoma"/>
            <family val="2"/>
          </rPr>
          <t>Erik Kobayashi-Solomon:</t>
        </r>
        <r>
          <rPr>
            <sz val="9"/>
            <color indexed="81"/>
            <rFont val="Tahoma"/>
            <family val="2"/>
          </rPr>
          <t xml:space="preserve">
If you want to estimate ECF as a percentage of OCP, select "1" from the cell B12. If you want to provide a direct estimate of ECF in nominal (i.e., dollar) terms, select "0" from the cell B12.</t>
        </r>
      </text>
    </comment>
    <comment ref="A14"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7"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<sst xmlns="http://schemas.openxmlformats.org/spreadsheetml/2006/main" count="380" uniqueCount="195">
  <si>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</si>
  <si>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</si>
  <si>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</si>
  <si>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</si>
  <si>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</si>
  <si>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</si>
  <si>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</si>
  <si>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</si>
  <si>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</si>
  <si>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</si>
  <si>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</si>
  <si>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</si>
  <si>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</si>
  <si>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</si>
  <si>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</si>
  <si>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</si>
  <si>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</si>
  <si>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</si>
  <si>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</si>
  <si>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</si>
  <si>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</si>
  <si>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</si>
  <si>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</si>
  <si>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</si>
  <si>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</si>
  <si>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</si>
  <si>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</si>
  <si>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</si>
  <si>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</si>
  <si>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</si>
  <si>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</si>
  <si>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</si>
  <si>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</si>
  <si>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</si>
  <si>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</si>
  <si>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</si>
  <si>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</si>
  <si>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</si>
  <si>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</si>
  <si>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</si>
  <si>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</si>
  <si>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</si>
  <si>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</si>
  <si>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</si>
  <si>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</si>
  <si>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</si>
  <si>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</si>
  <si>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</si>
  <si>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</si>
  <si>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</si>
  <si>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</si>
  <si>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</si>
  <si>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</si>
  <si>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</si>
  <si>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</si>
  <si>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</si>
  <si>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</si>
  <si>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</si>
  <si>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</si>
  <si>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</si>
  <si>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</si>
  <si>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</si>
  <si>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</si>
  <si>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</si>
  <si>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</si>
  <si>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</si>
  <si>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</si>
  <si>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</si>
  <si>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</si>
  <si>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</si>
  <si>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</si>
  <si>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</si>
  <si>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</si>
  <si>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</si>
  <si>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</si>
  <si>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</si>
  <si>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</si>
  <si>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</si>
  <si>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</si>
  <si>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</si>
  <si>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</si>
  <si>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</si>
  <si>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</si>
  <si>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</si>
  <si>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</si>
  <si>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</si>
  <si>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</si>
  <si>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</si>
  <si>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</si>
  <si>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</si>
  <si>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</si>
  <si>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</si>
  <si>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</si>
  <si>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</si>
  <si>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</si>
  <si>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</si>
  <si>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</si>
  <si>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</si>
  <si>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</si>
  <si>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</si>
  <si>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</si>
  <si>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</si>
  <si>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</si>
  <si>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</si>
  <si>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</si>
  <si>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</si>
  <si>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</si>
  <si>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</si>
  <si>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</si>
  <si>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</si>
  <si>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</si>
  <si>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</si>
  <si>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</si>
  <si>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</si>
  <si>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</si>
  <si>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</si>
  <si>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</si>
  <si>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</si>
  <si>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</si>
  <si>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</si>
  <si>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</si>
  <si>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</si>
  <si>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</si>
  <si>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</si>
  <si>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</si>
  <si>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</si>
  <si>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</si>
  <si>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</si>
  <si>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</si>
  <si>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</si>
  <si>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</si>
  <si>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</si>
  <si>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</si>
  <si>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</si>
  <si>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</si>
  <si>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</si>
  <si>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</si>
  <si>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</si>
  <si>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</si>
  <si>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</si>
  <si>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</si>
  <si>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</si>
  <si>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</si>
  <si>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</si>
  <si>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</si>
  <si>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</si>
  <si>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</si>
  <si>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</si>
  <si>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</si>
  <si>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</si>
  <si>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</si>
  <si>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</si>
  <si>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</si>
  <si>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</si>
  <si>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</si>
  <si>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</si>
  <si>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</si>
  <si>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</si>
  <si>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</si>
  <si>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</si>
  <si>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</si>
  <si>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</si>
  <si>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</si>
  <si>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</si>
  <si>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</si>
  <si>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</si>
  <si>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</si>
  <si>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</si>
  <si>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</si>
  <si>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</si>
  <si>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</si>
  <si>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</si>
  <si>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</si>
  <si>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</si>
  <si>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</si>
  <si>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</si>
  <si>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</si>
  <si>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</si>
  <si>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</si>
  <si>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</si>
  <si>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</si>
  <si>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</si>
  <si>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</si>
  <si>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</si>
  <si>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</si>
  <si>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</si>
  <si>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</si>
  <si>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</si>
  <si>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</si>
  <si>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</si>
  <si>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</si>
  <si>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Nominal Expansionary Cash Flow (ECF)</t>
  </si>
  <si>
    <t>ECF Controls</t>
  </si>
  <si>
    <t>CSCO</t>
  </si>
  <si>
    <t>Cisco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</si>
</sst>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0.0"/>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0">
    <xf numFmtId="0" fontId="0" fillId="0" borderId="0" xfId="0"/>
    <xf numFmtId="0" fontId="0" fillId="0" borderId="1" xfId="0" applyBorder="1"/>
    <xf numFmtId="16" fontId="0" fillId="0" borderId="0" xfId="0" applyNumberFormat="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0" fontId="0" fillId="0" borderId="4" xfId="0" applyBorder="1"/>
    <xf numFmtId="14" fontId="0" fillId="2" borderId="0" xfId="0" applyNumberFormat="1" applyFill="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5" xfId="1" applyNumberFormat="1" applyFont="1" applyFill="1" applyBorder="1" applyAlignment="1">
      <alignment horizontal="righ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Font="1"/>
    <xf numFmtId="9" fontId="5" fillId="0" borderId="0" xfId="3" applyFont="1"/>
    <xf numFmtId="43" fontId="0" fillId="0" borderId="0" xfId="0" applyNumberFormat="1"/>
    <xf numFmtId="164" fontId="0" fillId="0" borderId="0" xfId="0" applyNumberFormat="1"/>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Alignment="1">
      <alignment horizontal="right"/>
    </xf>
    <xf numFmtId="0" fontId="3" fillId="0" borderId="0" xfId="0" applyFont="1"/>
    <xf numFmtId="9" fontId="0" fillId="0" borderId="0" xfId="3" applyFont="1" applyFill="1" applyBorder="1" applyAlignment="1">
      <alignment horizontal="center"/>
    </xf>
    <xf numFmtId="0" fontId="0" fillId="0" borderId="18" xfId="0" applyBorder="1"/>
    <xf numFmtId="43" fontId="0" fillId="2" borderId="0" xfId="1" applyFont="1" applyFill="1" applyBorder="1"/>
    <xf numFmtId="0" fontId="43" fillId="2" borderId="0" xfId="0" applyFont="1" applyFill="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Border="1" applyAlignment="1">
      <alignment horizontal="center"/>
    </xf>
    <xf numFmtId="9" fontId="49" fillId="0" borderId="19" xfId="3" applyFont="1" applyFill="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Font="1" applyFill="1" applyProtection="1">
      <protection locked="0"/>
    </xf>
    <xf numFmtId="0" fontId="52" fillId="8" borderId="0" xfId="0" applyFont="1" applyFill="1" applyAlignment="1">
      <alignment horizontal="left" indent="2"/>
    </xf>
    <xf numFmtId="0" fontId="52" fillId="0" borderId="23" xfId="0" applyFont="1" applyBorder="1" applyAlignment="1">
      <alignment horizontal="left" indent="2"/>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208" fontId="0" fillId="0" borderId="0" xfId="0" applyNumberFormat="1"/>
    <xf numFmtId="0" fontId="3" fillId="3" borderId="4" xfId="0" applyFont="1" applyFill="1" applyBorder="1" applyAlignment="1">
      <alignment horizontal="left"/>
    </xf>
    <xf numFmtId="0" fontId="0" fillId="0" borderId="5" xfId="0" applyBorder="1" applyAlignment="1">
      <alignment horizontal="left" vertical="center"/>
    </xf>
    <xf numFmtId="0" fontId="0" fillId="0" borderId="6" xfId="0" applyBorder="1" applyAlignment="1">
      <alignment horizontal="left" vertical="center"/>
    </xf>
    <xf numFmtId="164" fontId="52" fillId="2" borderId="0" xfId="1" applyNumberFormat="1" applyFont="1" applyFill="1" applyBorder="1" applyProtection="1">
      <protection locked="0"/>
    </xf>
    <xf numFmtId="164" fontId="52" fillId="2" borderId="23" xfId="1" applyNumberFormat="1" applyFont="1" applyFill="1" applyBorder="1" applyProtection="1">
      <protection locked="0"/>
    </xf>
    <xf numFmtId="164" fontId="0" fillId="2" borderId="0" xfId="1" applyNumberFormat="1" applyFont="1" applyFill="1" applyProtection="1">
      <protection locked="0"/>
    </xf>
    <xf numFmtId="0" fontId="0" fillId="8" borderId="6" xfId="0" applyFill="1" applyBorder="1" applyAlignment="1">
      <alignment horizontal="left"/>
    </xf>
    <xf numFmtId="165" fontId="0" fillId="2" borderId="6" xfId="1" applyNumberFormat="1" applyFont="1" applyFill="1" applyBorder="1" applyAlignment="1">
      <alignment horizontal="right"/>
    </xf>
    <xf numFmtId="165" fontId="0" fillId="2" borderId="1" xfId="1" applyNumberFormat="1" applyFont="1" applyFill="1" applyBorder="1"/>
    <xf numFmtId="0" fontId="0" fillId="2" borderId="6" xfId="0"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3" fillId="3" borderId="4" xfId="0" applyFont="1" applyFill="1" applyBorder="1" applyAlignment="1">
      <alignment horizontal="left"/>
    </xf>
    <xf numFmtId="0" fontId="0" fillId="0" borderId="5" xfId="0" applyBorder="1" applyAlignment="1">
      <alignment horizontal="left" vertical="center"/>
    </xf>
    <xf numFmtId="0" fontId="0" fillId="0" borderId="6" xfId="0"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6" xfId="0"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4">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patternType="none">
          <bgColor auto="1"/>
        </patternFill>
      </fill>
    </dxf>
    <dxf>
      <fill>
        <patternFill>
          <bgColor theme="3" tint="0.79998168889431442"/>
        </patternFill>
      </fill>
    </dxf>
    <dxf>
      <fill>
        <patternFill>
          <bgColor theme="3" tint="0.79998168889431442"/>
        </patternFill>
      </fill>
    </dxf>
    <dxf>
      <fill>
        <patternFill patternType="none">
          <bgColor auto="1"/>
        </patternFill>
      </fill>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6.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chartsheet" Target="chartsheets/sheet4.xml"/><Relationship Id="rId12" Type="http://schemas.openxmlformats.org/officeDocument/2006/relationships/worksheet" Target="worksheets/sheet5.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4.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worksheet" Target="worksheets/sheet8.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externalLink" Target="externalLinks/externalLink3.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7.xml"/><Relationship Id="rId22"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Data'!$B$2:$P$2</c:f>
              <c:numCache>
                <c:formatCode>_(* #,##0_);_(* \(#,##0\);_(* "-"??_);_(@_)</c:formatCode>
                <c:ptCount val="15"/>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Data'!$B$3:$P$3</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Data'!$B$4:$P$4</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Data'!$B$5:$P$5</c:f>
              <c:numCache>
                <c:formatCode>0%</c:formatCode>
                <c:ptCount val="15"/>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Data'!$B$6:$P$6</c:f>
              <c:numCache>
                <c:formatCode>General</c:formatCode>
                <c:ptCount val="15"/>
                <c:pt idx="9" formatCode="0%">
                  <c:v>0</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Data'!$B$7:$P$7</c:f>
              <c:numCache>
                <c:formatCode>General</c:formatCode>
                <c:ptCount val="15"/>
                <c:pt idx="9" formatCode="0%">
                  <c:v>0</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Data'!$B$10:$P$10</c:f>
              <c:numCache>
                <c:formatCode>_(* #,##0_);_(* \(#,##0\);_(* "-"??_);_(@_)</c:formatCode>
                <c:ptCount val="15"/>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Data'!$B$11:$P$11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Data'!$B$12:$P$12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Data'!$B$13:$P$13</c:f>
              <c:numCache>
                <c:formatCode>0%</c:formatCode>
                <c:ptCount val="15"/>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Data'!$B$14:$P$14</c:f>
              <c:numCache>
                <c:formatCode>General</c:formatCode>
                <c:ptCount val="15"/>
                <c:pt idx="9" formatCode="0%">
                  <c:v>0</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Data'!$B$15:$P$15</c:f>
              <c:numCache>
                <c:formatCode>General</c:formatCode>
                <c:ptCount val="15"/>
                <c:pt idx="9" formatCode="0%">
                  <c:v>0</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Data'!$B$18:$K$18</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Data'!$B$19:$K$19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Data'!$B$22:$K$22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Data'!$B$24:$K$24</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Data'!$B$27:$K$27</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Data'!$B$23:$K$23</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Data'!$B$33:$P$33</c:f>
              <c:numCache>
                <c:formatCode>0%</c:formatCode>
                <c:ptCount val="15"/>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Data'!$B$35:$P$35</c:f>
              <c:numCache>
                <c:formatCode>General</c:formatCode>
                <c:ptCount val="15"/>
                <c:pt idx="9" formatCode="0%">
                  <c:v>0</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41264</c:v>
                </c:pt>
                <c:pt idx="1">
                  <c:v>41629</c:v>
                </c:pt>
                <c:pt idx="2">
                  <c:v>41994</c:v>
                </c:pt>
                <c:pt idx="3">
                  <c:v>42359</c:v>
                </c:pt>
                <c:pt idx="4">
                  <c:v>42725</c:v>
                </c:pt>
                <c:pt idx="5">
                  <c:v>43090</c:v>
                </c:pt>
                <c:pt idx="6">
                  <c:v>43455</c:v>
                </c:pt>
                <c:pt idx="7">
                  <c:v>43820</c:v>
                </c:pt>
                <c:pt idx="8">
                  <c:v>44186</c:v>
                </c:pt>
                <c:pt idx="9">
                  <c:v>44551</c:v>
                </c:pt>
                <c:pt idx="10">
                  <c:v>44916</c:v>
                </c:pt>
                <c:pt idx="11">
                  <c:v>45281</c:v>
                </c:pt>
                <c:pt idx="12">
                  <c:v>45646</c:v>
                </c:pt>
                <c:pt idx="13">
                  <c:v>46011</c:v>
                </c:pt>
                <c:pt idx="14">
                  <c:v>46376</c:v>
                </c:pt>
              </c:numCache>
            </c:numRef>
          </c:cat>
          <c:val>
            <c:numRef>
              <c:f>'Graphing Data'!$B$34:$P$34</c:f>
              <c:numCache>
                <c:formatCode>General</c:formatCode>
                <c:ptCount val="15"/>
                <c:pt idx="9" formatCode="0%">
                  <c:v>0</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CSCO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CSCO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CSCO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Data'!$B$40:$K$40</c:f>
              <c:numCache>
                <c:formatCode>0%</c:formatCode>
                <c:ptCount val="10"/>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CSCO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41264</c:v>
                </c:pt>
                <c:pt idx="1">
                  <c:v>41629</c:v>
                </c:pt>
                <c:pt idx="2">
                  <c:v>41994</c:v>
                </c:pt>
                <c:pt idx="3">
                  <c:v>42359</c:v>
                </c:pt>
                <c:pt idx="4">
                  <c:v>42725</c:v>
                </c:pt>
                <c:pt idx="5">
                  <c:v>43090</c:v>
                </c:pt>
                <c:pt idx="6">
                  <c:v>43455</c:v>
                </c:pt>
                <c:pt idx="7">
                  <c:v>43820</c:v>
                </c:pt>
                <c:pt idx="8">
                  <c:v>44186</c:v>
                </c:pt>
                <c:pt idx="9">
                  <c:v>44551</c:v>
                </c:pt>
              </c:numCache>
            </c:numRef>
          </c:cat>
          <c:val>
            <c:numRef>
              <c:f>'Graphing Data'!$B$41:$K$41</c:f>
              <c:numCache>
                <c:formatCode>0%</c:formatCode>
                <c:ptCount val="10"/>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Cisco Systems (CSCO)</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2.9105969548786005E-251</c:v>
                </c:pt>
                <c:pt idx="1">
                  <c:v>2.2841364152884649E-105</c:v>
                </c:pt>
                <c:pt idx="2">
                  <c:v>9.7970145410370705E-82</c:v>
                </c:pt>
                <c:pt idx="3">
                  <c:v>3.8676836706576333E-69</c:v>
                </c:pt>
                <c:pt idx="4">
                  <c:v>8.3776672851517547E-61</c:v>
                </c:pt>
                <c:pt idx="5">
                  <c:v>1.0770906924372234E-54</c:v>
                </c:pt>
                <c:pt idx="6">
                  <c:v>6.1374137476943924E-50</c:v>
                </c:pt>
                <c:pt idx="7">
                  <c:v>4.3794659055460096E-46</c:v>
                </c:pt>
                <c:pt idx="8">
                  <c:v>7.150424930825819E-43</c:v>
                </c:pt>
                <c:pt idx="9">
                  <c:v>3.9025079522743892E-40</c:v>
                </c:pt>
                <c:pt idx="10">
                  <c:v>9.1686189204405712E-38</c:v>
                </c:pt>
                <c:pt idx="11">
                  <c:v>1.1064229118972888E-35</c:v>
                </c:pt>
                <c:pt idx="12">
                  <c:v>7.7935379006296218E-34</c:v>
                </c:pt>
                <c:pt idx="13">
                  <c:v>3.5249786214520543E-32</c:v>
                </c:pt>
                <c:pt idx="14">
                  <c:v>1.1011044751764981E-30</c:v>
                </c:pt>
                <c:pt idx="15">
                  <c:v>2.5143802741548925E-29</c:v>
                </c:pt>
                <c:pt idx="16">
                  <c:v>4.3909292740601821E-28</c:v>
                </c:pt>
                <c:pt idx="17">
                  <c:v>6.0813224380461013E-27</c:v>
                </c:pt>
                <c:pt idx="18">
                  <c:v>6.8810865288705918E-26</c:v>
                </c:pt>
                <c:pt idx="19">
                  <c:v>6.5192423491157549E-25</c:v>
                </c:pt>
                <c:pt idx="20">
                  <c:v>5.2786780691465094E-24</c:v>
                </c:pt>
                <c:pt idx="21">
                  <c:v>3.7166393679116921E-23</c:v>
                </c:pt>
                <c:pt idx="22">
                  <c:v>2.3091774697016984E-22</c:v>
                </c:pt>
                <c:pt idx="23">
                  <c:v>1.2820808906896979E-21</c:v>
                </c:pt>
                <c:pt idx="24">
                  <c:v>6.4304758415546405E-21</c:v>
                </c:pt>
                <c:pt idx="25">
                  <c:v>2.9412804149991174E-20</c:v>
                </c:pt>
                <c:pt idx="26">
                  <c:v>1.2370062574953457E-19</c:v>
                </c:pt>
                <c:pt idx="27">
                  <c:v>4.8182467739599209E-19</c:v>
                </c:pt>
                <c:pt idx="28">
                  <c:v>1.749272185690105E-18</c:v>
                </c:pt>
                <c:pt idx="29">
                  <c:v>5.9529363440592759E-18</c:v>
                </c:pt>
                <c:pt idx="30">
                  <c:v>1.9085112690440111E-17</c:v>
                </c:pt>
                <c:pt idx="31">
                  <c:v>5.7902760569226336E-17</c:v>
                </c:pt>
                <c:pt idx="32">
                  <c:v>1.6691476502410341E-16</c:v>
                </c:pt>
                <c:pt idx="33">
                  <c:v>4.5883420121351433E-16</c:v>
                </c:pt>
                <c:pt idx="34">
                  <c:v>1.2067124367420701E-15</c:v>
                </c:pt>
                <c:pt idx="35">
                  <c:v>3.0452702960307839E-15</c:v>
                </c:pt>
                <c:pt idx="36">
                  <c:v>7.3941914891228309E-15</c:v>
                </c:pt>
                <c:pt idx="37">
                  <c:v>1.7316593946347838E-14</c:v>
                </c:pt>
                <c:pt idx="38">
                  <c:v>3.9202391538418158E-14</c:v>
                </c:pt>
                <c:pt idx="39">
                  <c:v>8.5966607676046473E-14</c:v>
                </c:pt>
                <c:pt idx="40">
                  <c:v>1.8294869298635684E-13</c:v>
                </c:pt>
                <c:pt idx="41">
                  <c:v>3.7849516246377216E-13</c:v>
                </c:pt>
                <c:pt idx="42">
                  <c:v>7.6245262536970071E-13</c:v>
                </c:pt>
                <c:pt idx="43">
                  <c:v>1.4976958866252953E-12</c:v>
                </c:pt>
                <c:pt idx="44">
                  <c:v>2.8726407540801764E-12</c:v>
                </c:pt>
                <c:pt idx="45">
                  <c:v>5.386803092098071E-12</c:v>
                </c:pt>
                <c:pt idx="46">
                  <c:v>9.8873242844557374E-12</c:v>
                </c:pt>
                <c:pt idx="47">
                  <c:v>1.7782562665336753E-11</c:v>
                </c:pt>
                <c:pt idx="48">
                  <c:v>3.1370050886191064E-11</c:v>
                </c:pt>
                <c:pt idx="49">
                  <c:v>5.433117523353517E-11</c:v>
                </c:pt>
                <c:pt idx="50">
                  <c:v>9.2464816572082724E-11</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4"/>
  <sheetViews>
    <sheetView zoomScale="72"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5"/>
  <sheetViews>
    <sheetView zoomScale="72"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6"/>
  <sheetViews>
    <sheetView zoomScale="72"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7"/>
  <sheetViews>
    <sheetView zoomScale="7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8"/>
  <sheetViews>
    <sheetView zoomScale="96"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9"/>
  <sheetViews>
    <sheetView zoomScale="96"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10"/>
  <sheetViews>
    <sheetView zoomScale="96" workbookViewId="0" zoomToFit="1"/>
  </sheetViews>
  <pageMargins left="0.7" right="0.7" top="0.75" bottom="0.75" header="0.3" footer="0.3"/>
  <pageSetup paperSize="5"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403542" cy="6283854"/>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403542" cy="628385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3542" cy="628385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403542" cy="6283854"/>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395273" cy="628054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395273" cy="6280547"/>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395273" cy="6280547"/>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6"/>
  <sheetViews>
    <sheetView showGridLines="0" tabSelected="1" zoomScaleNormal="100" workbookViewId="0">
      <selection activeCell="B22" sqref="B22"/>
    </sheetView>
  </sheetViews>
  <sheetFormatPr defaultRowHeight="14.25"/>
  <cols>
    <col min="1" max="1" width="38.73046875" bestFit="1" customWidth="1"/>
    <col min="2" max="7" width="11.73046875" customWidth="1"/>
    <col min="8" max="9" width="10.59765625" bestFit="1" customWidth="1"/>
    <col min="10" max="10" width="11.3984375" customWidth="1"/>
    <col min="11" max="11" width="10.59765625" bestFit="1" customWidth="1"/>
    <col min="12" max="13" width="9.59765625" bestFit="1" customWidth="1"/>
    <col min="14" max="14" width="10.59765625" bestFit="1" customWidth="1"/>
    <col min="15" max="15" width="11.59765625" bestFit="1" customWidth="1"/>
  </cols>
  <sheetData>
    <row r="1" spans="1:13" ht="14.65" thickBot="1">
      <c r="A1" s="149" t="s">
        <v>61</v>
      </c>
      <c r="B1" s="149"/>
      <c r="C1" s="149"/>
      <c r="D1" s="149"/>
      <c r="E1" s="149"/>
      <c r="F1" s="149"/>
      <c r="G1" s="149"/>
      <c r="I1" s="158" t="s">
        <v>51</v>
      </c>
      <c r="J1" s="159"/>
      <c r="K1" s="82" t="s">
        <v>58</v>
      </c>
      <c r="L1" s="55" t="s">
        <v>108</v>
      </c>
    </row>
    <row r="2" spans="1:13">
      <c r="A2" s="43" t="s">
        <v>194</v>
      </c>
      <c r="B2" s="38" t="s">
        <v>193</v>
      </c>
      <c r="C2" s="88" t="str">
        <f>A2&amp;" ("&amp;ticker&amp;")"</f>
        <v>Cisco Systems (CSCO)</v>
      </c>
      <c r="E2" t="s">
        <v>57</v>
      </c>
      <c r="G2" s="42">
        <v>53.51</v>
      </c>
      <c r="I2" s="154" t="e">
        <f>(ROUND(AVERAGE(C9:G9)*100,0)&amp;"% | "&amp;ROUND(AVERAGE(C11:G11)*100,0)&amp;"% | "&amp;ROUND(C19*100,0)&amp;"%")</f>
        <v>#DIV/0!</v>
      </c>
      <c r="J2" s="155"/>
      <c r="K2" s="83">
        <f ca="1">TRUNC(Scenario1)+B14/G4</f>
        <v>0</v>
      </c>
      <c r="L2" s="85" t="s">
        <v>53</v>
      </c>
      <c r="M2" s="39"/>
    </row>
    <row r="3" spans="1:13">
      <c r="A3" t="s">
        <v>0</v>
      </c>
      <c r="B3" s="11">
        <v>44551</v>
      </c>
      <c r="E3" t="s">
        <v>60</v>
      </c>
      <c r="G3" s="26">
        <f>'Company Analysis'!K3</f>
        <v>0</v>
      </c>
      <c r="I3" s="154" t="e">
        <f>(ROUND(AVERAGE(C9:G9)*100,0)&amp;"% | "&amp;ROUND(AVERAGE(C11:G11)*100,0)&amp;"% | "&amp;ROUND(C18*100,0)&amp;"%")</f>
        <v>#DIV/0!</v>
      </c>
      <c r="J3" s="155"/>
      <c r="K3" s="83">
        <f ca="1">TRUNC(Scenario2)+B14/G4</f>
        <v>0</v>
      </c>
      <c r="L3" s="85" t="s">
        <v>53</v>
      </c>
      <c r="M3" s="24"/>
    </row>
    <row r="4" spans="1:13" ht="14.65" thickBot="1">
      <c r="A4" s="60" t="s">
        <v>1</v>
      </c>
      <c r="B4" s="44">
        <v>0.1</v>
      </c>
      <c r="C4" s="10"/>
      <c r="D4" s="10"/>
      <c r="E4" s="10" t="s">
        <v>6</v>
      </c>
      <c r="F4" s="10"/>
      <c r="G4" s="45">
        <v>100</v>
      </c>
      <c r="I4" s="154" t="e">
        <f>(ROUND(AVERAGE(C9:G9)*100,0)&amp;"% | "&amp;ROUND(AVERAGE(C10:G10)*100,0)&amp;"% | "&amp;ROUND(C19*100,0)&amp;"%")</f>
        <v>#DIV/0!</v>
      </c>
      <c r="J4" s="155"/>
      <c r="K4" s="83">
        <f ca="1">TRUNC(Scenario3)+B14/G4</f>
        <v>0</v>
      </c>
      <c r="L4" s="86" t="s">
        <v>53</v>
      </c>
      <c r="M4" s="40"/>
    </row>
    <row r="5" spans="1:13">
      <c r="B5" s="2"/>
      <c r="I5" s="154" t="e">
        <f>(ROUND(AVERAGE(C9:G9)*100,0)&amp;"% | "&amp;ROUND(AVERAGE(C10:G10)*100,0)&amp;"% | "&amp;ROUND(C18*100,0)&amp;"%")</f>
        <v>#DIV/0!</v>
      </c>
      <c r="J5" s="155"/>
      <c r="K5" s="83">
        <f ca="1">TRUNC(Scenario4)+B14/G4</f>
        <v>0</v>
      </c>
      <c r="L5" s="86" t="s">
        <v>53</v>
      </c>
      <c r="M5" s="40"/>
    </row>
    <row r="6" spans="1:13" s="8" customFormat="1" ht="14.65" thickBot="1">
      <c r="A6" s="149" t="s">
        <v>96</v>
      </c>
      <c r="B6" s="149"/>
      <c r="C6" s="149"/>
      <c r="D6" s="149"/>
      <c r="E6" s="149"/>
      <c r="F6" s="149"/>
      <c r="G6" s="149"/>
      <c r="H6" s="7"/>
      <c r="I6" s="154" t="e">
        <f>(ROUND(AVERAGE(C8:G8)*100,0)&amp;"% | "&amp;ROUND(AVERAGE(C11:G11)*100,0)&amp;"% | "&amp;ROUND(C19*100,0)&amp;"%")</f>
        <v>#DIV/0!</v>
      </c>
      <c r="J6" s="155"/>
      <c r="K6" s="83">
        <f ca="1">TRUNC(Scenario5)+B14/G4</f>
        <v>0</v>
      </c>
      <c r="L6" s="85" t="s">
        <v>53</v>
      </c>
    </row>
    <row r="7" spans="1:13">
      <c r="A7" s="6"/>
      <c r="B7" s="6" t="s">
        <v>2</v>
      </c>
      <c r="C7" s="6">
        <v>1</v>
      </c>
      <c r="D7" s="6">
        <v>2</v>
      </c>
      <c r="E7" s="6">
        <v>3</v>
      </c>
      <c r="F7" s="6">
        <v>4</v>
      </c>
      <c r="G7" s="6">
        <v>5</v>
      </c>
      <c r="I7" s="154" t="e">
        <f>(ROUND(AVERAGE(C8:G8)*100,0)&amp;"% | "&amp;ROUND(AVERAGE(C11:G11)*100,0)&amp;"% | "&amp;ROUND(C18*100,0)&amp;"%")</f>
        <v>#DIV/0!</v>
      </c>
      <c r="J7" s="155"/>
      <c r="K7" s="83">
        <f ca="1">TRUNC(Scenario6)+B14/G4</f>
        <v>0</v>
      </c>
      <c r="L7" s="85" t="s">
        <v>53</v>
      </c>
    </row>
    <row r="8" spans="1:13">
      <c r="A8" s="152" t="s">
        <v>5</v>
      </c>
      <c r="B8" s="19" t="s">
        <v>3</v>
      </c>
      <c r="C8" s="20"/>
      <c r="D8" s="20"/>
      <c r="E8" s="20"/>
      <c r="F8" s="20"/>
      <c r="G8" s="20"/>
      <c r="I8" s="154" t="e">
        <f>(ROUND(AVERAGE(C8:G8)*100,0)&amp;"% | "&amp;ROUND(AVERAGE(C10:G10)*100,0)&amp;"% | "&amp;ROUND(C19*100,0)&amp;"%")</f>
        <v>#DIV/0!</v>
      </c>
      <c r="J8" s="155"/>
      <c r="K8" s="83">
        <f ca="1">TRUNC(Scenario7)+B14/G4</f>
        <v>0</v>
      </c>
      <c r="L8" s="85" t="s">
        <v>53</v>
      </c>
    </row>
    <row r="9" spans="1:13">
      <c r="A9" s="153"/>
      <c r="B9" s="12" t="s">
        <v>4</v>
      </c>
      <c r="C9" s="21"/>
      <c r="D9" s="21"/>
      <c r="E9" s="21"/>
      <c r="F9" s="21"/>
      <c r="G9" s="21"/>
      <c r="I9" s="156" t="e">
        <f>(ROUND(AVERAGE(C8:G8)*100,0)&amp;"% | "&amp;ROUND(AVERAGE(C10:G10)*100,0)&amp;"% | "&amp;ROUND(C18*100,0)&amp;"%")</f>
        <v>#DIV/0!</v>
      </c>
      <c r="J9" s="157"/>
      <c r="K9" s="84">
        <f ca="1">TRUNC(Scenario8)+B14/G4</f>
        <v>0</v>
      </c>
      <c r="L9" s="87" t="s">
        <v>53</v>
      </c>
    </row>
    <row r="10" spans="1:13">
      <c r="A10" s="150" t="s">
        <v>124</v>
      </c>
      <c r="B10" s="19" t="s">
        <v>3</v>
      </c>
      <c r="C10" s="126"/>
      <c r="D10" s="126"/>
      <c r="E10" s="126"/>
      <c r="F10" s="126"/>
      <c r="G10" s="126"/>
    </row>
    <row r="11" spans="1:13">
      <c r="A11" s="151"/>
      <c r="B11" s="12" t="s">
        <v>4</v>
      </c>
      <c r="C11" s="127"/>
      <c r="D11" s="127"/>
      <c r="E11" s="127"/>
      <c r="F11" s="127"/>
      <c r="G11" s="127"/>
      <c r="I11" s="139" t="str">
        <f>A2&amp;" ("&amp;B2&amp;")"</f>
        <v>Cisco Systems (CSCO)</v>
      </c>
      <c r="J11" s="140"/>
      <c r="K11" s="140"/>
      <c r="L11" s="141"/>
    </row>
    <row r="12" spans="1:13">
      <c r="A12" s="135" t="s">
        <v>62</v>
      </c>
      <c r="B12" s="138">
        <v>1</v>
      </c>
      <c r="C12" s="22"/>
      <c r="D12" s="22"/>
      <c r="E12" s="22"/>
      <c r="F12" s="22"/>
      <c r="G12" s="22"/>
      <c r="I12" s="142" t="str">
        <f ca="1">"$"&amp;ROUND(F22/G4,0)&amp;" Scenario"</f>
        <v>$0 Scenario</v>
      </c>
      <c r="J12" s="143"/>
      <c r="K12" s="143"/>
      <c r="L12" s="144"/>
    </row>
    <row r="13" spans="1:13">
      <c r="A13" s="1" t="s">
        <v>191</v>
      </c>
      <c r="B13" s="1"/>
      <c r="C13" s="137"/>
      <c r="D13" s="137"/>
      <c r="E13" s="137"/>
      <c r="F13" s="137"/>
      <c r="G13" s="137"/>
      <c r="I13" s="64" t="s">
        <v>16</v>
      </c>
      <c r="K13" s="65"/>
      <c r="L13" s="57" t="s">
        <v>4</v>
      </c>
    </row>
    <row r="14" spans="1:13">
      <c r="A14" s="135" t="s">
        <v>10</v>
      </c>
      <c r="B14" s="136">
        <v>0</v>
      </c>
      <c r="I14" s="63" t="s">
        <v>17</v>
      </c>
      <c r="K14" s="14"/>
      <c r="L14" s="57" t="s">
        <v>3</v>
      </c>
    </row>
    <row r="15" spans="1:13">
      <c r="B15" s="2"/>
      <c r="I15" s="66" t="s">
        <v>118</v>
      </c>
      <c r="J15" s="67"/>
      <c r="K15" s="67"/>
      <c r="L15" s="58" t="s">
        <v>4</v>
      </c>
    </row>
    <row r="16" spans="1:13" ht="14.65" thickBot="1">
      <c r="A16" s="129" t="s">
        <v>97</v>
      </c>
      <c r="B16" s="129"/>
      <c r="C16" s="129"/>
      <c r="E16" s="129" t="s">
        <v>98</v>
      </c>
      <c r="F16" s="129"/>
      <c r="G16" s="129"/>
      <c r="I16" s="41" t="s">
        <v>117</v>
      </c>
      <c r="L16" s="49" t="e">
        <f>(F27/G3)^0.2-1</f>
        <v>#DIV/0!</v>
      </c>
    </row>
    <row r="17" spans="1:12">
      <c r="A17" s="59" t="s">
        <v>11</v>
      </c>
      <c r="B17" s="23">
        <v>5</v>
      </c>
      <c r="C17" t="s">
        <v>12</v>
      </c>
      <c r="E17" s="14" t="s">
        <v>14</v>
      </c>
      <c r="G17" s="27">
        <v>2.5000000000000001E-2</v>
      </c>
      <c r="I17" s="63" t="s">
        <v>116</v>
      </c>
      <c r="K17" s="14"/>
      <c r="L17" s="46" t="e">
        <f>SUM(B30:F30)/SUM(B27:F27)</f>
        <v>#DIV/0!</v>
      </c>
    </row>
    <row r="18" spans="1:12">
      <c r="A18" s="130" t="s">
        <v>59</v>
      </c>
      <c r="B18" s="18" t="s">
        <v>3</v>
      </c>
      <c r="C18" s="20">
        <v>0.05</v>
      </c>
      <c r="D18" s="32">
        <f>IF(C18=B$4,C18-0.0001,C18)</f>
        <v>0.05</v>
      </c>
      <c r="E18" s="14" t="s">
        <v>15</v>
      </c>
      <c r="G18" s="27">
        <v>2.5000000000000001E-2</v>
      </c>
      <c r="I18" s="66" t="s">
        <v>119</v>
      </c>
      <c r="K18" s="14"/>
      <c r="L18" s="48">
        <f ca="1">(F22/G4)/G2-1</f>
        <v>-1</v>
      </c>
    </row>
    <row r="19" spans="1:12">
      <c r="A19" s="131"/>
      <c r="B19" s="13" t="s">
        <v>4</v>
      </c>
      <c r="C19" s="21">
        <v>0.05</v>
      </c>
      <c r="D19" s="32">
        <f>IF(C19=B$4,C19-0.0001,C19)</f>
        <v>0.05</v>
      </c>
      <c r="G19" s="2"/>
      <c r="J19" s="47"/>
      <c r="K19" s="47"/>
      <c r="L19" s="47"/>
    </row>
    <row r="20" spans="1:12">
      <c r="I20" s="145" t="s">
        <v>123</v>
      </c>
      <c r="J20" s="146"/>
      <c r="K20" s="146"/>
      <c r="L20" s="147"/>
    </row>
    <row r="21" spans="1:12" ht="14.65" thickBot="1">
      <c r="A21" s="51" t="s">
        <v>7</v>
      </c>
      <c r="B21" s="56" t="s">
        <v>92</v>
      </c>
      <c r="C21" s="56" t="s">
        <v>93</v>
      </c>
      <c r="D21" s="56" t="s">
        <v>94</v>
      </c>
      <c r="E21" s="56" t="s">
        <v>95</v>
      </c>
      <c r="F21" s="56" t="s">
        <v>8</v>
      </c>
      <c r="I21" s="91"/>
      <c r="J21" s="92"/>
      <c r="K21" s="61" t="s">
        <v>120</v>
      </c>
      <c r="L21" s="62" t="s">
        <v>121</v>
      </c>
    </row>
    <row r="22" spans="1:12">
      <c r="A22" s="14" t="s">
        <v>13</v>
      </c>
      <c r="B22" s="15">
        <f ca="1">SUM(B44:F44)</f>
        <v>0</v>
      </c>
      <c r="C22" s="15">
        <f ca="1">B55*F44</f>
        <v>0</v>
      </c>
      <c r="D22" s="15">
        <f ca="1">B52*B51</f>
        <v>0</v>
      </c>
      <c r="E22" s="15">
        <f>B14</f>
        <v>0</v>
      </c>
      <c r="F22" s="15">
        <f ca="1">B22+C22+D22+E22</f>
        <v>0</v>
      </c>
      <c r="I22" s="90" t="s">
        <v>122</v>
      </c>
      <c r="J22" s="13"/>
      <c r="K22" s="93">
        <v>0.25</v>
      </c>
      <c r="L22" s="94">
        <v>0.25600000000000001</v>
      </c>
    </row>
    <row r="23" spans="1:12">
      <c r="A23" s="14" t="s">
        <v>9</v>
      </c>
      <c r="B23" s="52" t="str">
        <f ca="1">IFERROR(B22/$F22,"")</f>
        <v/>
      </c>
      <c r="C23" s="52" t="str">
        <f ca="1">IFERROR(C22/$F22,"")</f>
        <v/>
      </c>
      <c r="D23" s="52" t="str">
        <f ca="1">IFERROR(D22/$F22,"")</f>
        <v/>
      </c>
      <c r="E23" s="52" t="str">
        <f ca="1">IFERROR(E22/$F22,"")</f>
        <v/>
      </c>
      <c r="F23" s="52">
        <v>1</v>
      </c>
    </row>
    <row r="24" spans="1:12">
      <c r="A24" s="14"/>
      <c r="B24" s="17"/>
      <c r="C24" s="17"/>
      <c r="D24" s="17"/>
      <c r="E24" s="17"/>
      <c r="F24" s="17"/>
    </row>
    <row r="25" spans="1:12" ht="15.75" hidden="1" customHeight="1" thickBot="1">
      <c r="A25" s="51" t="s">
        <v>74</v>
      </c>
      <c r="B25" s="53">
        <v>1</v>
      </c>
      <c r="C25" s="53">
        <v>2</v>
      </c>
      <c r="D25" s="53">
        <v>3</v>
      </c>
      <c r="E25" s="53">
        <v>4</v>
      </c>
      <c r="F25" s="53">
        <v>5</v>
      </c>
      <c r="I25" t="s">
        <v>115</v>
      </c>
      <c r="K25" s="89">
        <v>0.25</v>
      </c>
      <c r="L25" s="89">
        <v>0.25</v>
      </c>
    </row>
    <row r="26" spans="1:12" s="8" customFormat="1" ht="12" hidden="1" customHeight="1">
      <c r="B26" s="28">
        <f>DATE(YEAR($B$3)+B25,MONTH($B$3),DAY($B$3))</f>
        <v>44916</v>
      </c>
      <c r="C26" s="28">
        <f t="shared" ref="C26:F26" si="0">DATE(YEAR($B$3)+C25,MONTH($B$3),DAY($B$3))</f>
        <v>45281</v>
      </c>
      <c r="D26" s="28">
        <f t="shared" si="0"/>
        <v>45647</v>
      </c>
      <c r="E26" s="28">
        <f t="shared" si="0"/>
        <v>46012</v>
      </c>
      <c r="F26" s="28">
        <f t="shared" si="0"/>
        <v>46377</v>
      </c>
      <c r="I26" s="8" t="s">
        <v>57</v>
      </c>
      <c r="L26" s="8">
        <v>26.29</v>
      </c>
    </row>
    <row r="27" spans="1:12" hidden="1">
      <c r="A27" t="s">
        <v>37</v>
      </c>
      <c r="B27" s="25">
        <f>(CHOOSE($B37,C8,C9)+1)*G3</f>
        <v>0</v>
      </c>
      <c r="C27" s="25">
        <f>(CHOOSE($B37,D8,D9)+1)*B27</f>
        <v>0</v>
      </c>
      <c r="D27" s="25">
        <f>(CHOOSE($B37,E8,E9)+1)*C27</f>
        <v>0</v>
      </c>
      <c r="E27" s="25">
        <f>(CHOOSE($B37,F8,F9)+1)*D27</f>
        <v>0</v>
      </c>
      <c r="F27" s="25">
        <f>(CHOOSE($B37,G8,G9)+1)*E27</f>
        <v>0</v>
      </c>
    </row>
    <row r="28" spans="1:12" hidden="1">
      <c r="A28" t="s">
        <v>71</v>
      </c>
      <c r="B28" s="50">
        <f>CHOOSE($B38,C10,C11)*B27</f>
        <v>0</v>
      </c>
      <c r="C28" s="4">
        <f>CHOOSE($B38,D10,D11)*C27</f>
        <v>0</v>
      </c>
      <c r="D28" s="4">
        <f>CHOOSE($B38,E10,E11)*D27</f>
        <v>0</v>
      </c>
      <c r="E28" s="4">
        <f>CHOOSE($B38,F10,F11)*E27</f>
        <v>0</v>
      </c>
      <c r="F28" s="4">
        <f>CHOOSE($B38,G10,G11)*F27</f>
        <v>0</v>
      </c>
    </row>
    <row r="29" spans="1:12" hidden="1">
      <c r="A29" t="s">
        <v>72</v>
      </c>
      <c r="B29" s="50">
        <f>-C12*B28</f>
        <v>0</v>
      </c>
      <c r="C29" s="50">
        <f t="shared" ref="C29:E29" si="1">-D12*C28</f>
        <v>0</v>
      </c>
      <c r="D29" s="50">
        <f t="shared" si="1"/>
        <v>0</v>
      </c>
      <c r="E29" s="50">
        <f t="shared" si="1"/>
        <v>0</v>
      </c>
      <c r="F29" s="50">
        <f>-G12*F28</f>
        <v>0</v>
      </c>
    </row>
    <row r="30" spans="1:12" ht="14.65" hidden="1" thickBot="1">
      <c r="A30" t="s">
        <v>73</v>
      </c>
      <c r="B30" s="3">
        <f>B28+B29</f>
        <v>0</v>
      </c>
      <c r="C30" s="3">
        <f>C28+C29</f>
        <v>0</v>
      </c>
      <c r="D30" s="3">
        <f>D28+D29</f>
        <v>0</v>
      </c>
      <c r="E30" s="3">
        <f>E28+E29</f>
        <v>0</v>
      </c>
      <c r="F30" s="3">
        <f>F28+F29</f>
        <v>0</v>
      </c>
    </row>
    <row r="31" spans="1:12" ht="14.65" hidden="1" thickTop="1">
      <c r="B31" s="54"/>
      <c r="C31" s="54"/>
      <c r="D31" s="54"/>
      <c r="E31" s="54"/>
      <c r="F31" s="54"/>
    </row>
    <row r="32" spans="1:12" hidden="1">
      <c r="B32" s="30" t="s">
        <v>20</v>
      </c>
      <c r="E32" s="30" t="s">
        <v>52</v>
      </c>
      <c r="G32" s="30" t="s">
        <v>192</v>
      </c>
    </row>
    <row r="33" spans="1:16" hidden="1">
      <c r="B33" s="24" t="s">
        <v>3</v>
      </c>
      <c r="E33" s="24" t="s">
        <v>55</v>
      </c>
      <c r="G33" s="24">
        <v>1</v>
      </c>
    </row>
    <row r="34" spans="1:16" hidden="1">
      <c r="B34" s="24" t="s">
        <v>4</v>
      </c>
      <c r="E34" s="24" t="s">
        <v>53</v>
      </c>
      <c r="G34" s="24">
        <v>0</v>
      </c>
    </row>
    <row r="35" spans="1:16" hidden="1">
      <c r="E35" s="24" t="s">
        <v>54</v>
      </c>
    </row>
    <row r="36" spans="1:16" hidden="1">
      <c r="A36" s="9" t="s">
        <v>34</v>
      </c>
    </row>
    <row r="37" spans="1:16" hidden="1">
      <c r="A37" t="s">
        <v>16</v>
      </c>
      <c r="B37">
        <f>IF(L13="Best",1,2)</f>
        <v>2</v>
      </c>
    </row>
    <row r="38" spans="1:16" hidden="1">
      <c r="A38" t="s">
        <v>19</v>
      </c>
      <c r="B38">
        <f>IF(L14="Best",1,2)</f>
        <v>1</v>
      </c>
    </row>
    <row r="39" spans="1:16" hidden="1">
      <c r="A39" t="s">
        <v>18</v>
      </c>
      <c r="B39">
        <f>IF(L15="Best",1,2)</f>
        <v>2</v>
      </c>
    </row>
    <row r="40" spans="1:16" hidden="1"/>
    <row r="41" spans="1:16" hidden="1"/>
    <row r="42" spans="1:16" hidden="1">
      <c r="A42" s="148" t="s">
        <v>35</v>
      </c>
      <c r="B42" s="148"/>
      <c r="C42" s="148"/>
      <c r="D42" s="148"/>
      <c r="E42" s="148"/>
      <c r="F42" s="148"/>
    </row>
    <row r="43" spans="1:16" hidden="1">
      <c r="A43" t="s">
        <v>21</v>
      </c>
      <c r="B43">
        <f ca="1">B26-TODAY()</f>
        <v>-202</v>
      </c>
      <c r="C43">
        <f ca="1">C26-TODAY()</f>
        <v>163</v>
      </c>
      <c r="D43">
        <f ca="1">D26-TODAY()</f>
        <v>529</v>
      </c>
      <c r="E43">
        <f ca="1">E26-TODAY()</f>
        <v>894</v>
      </c>
      <c r="F43">
        <f ca="1">F26-TODAY()</f>
        <v>1259</v>
      </c>
      <c r="P43" s="33"/>
    </row>
    <row r="44" spans="1:16" hidden="1">
      <c r="A44" t="s">
        <v>22</v>
      </c>
      <c r="B44" s="15">
        <f ca="1">B30*EXP(-$B$4*B43/365.25)</f>
        <v>0</v>
      </c>
      <c r="C44" s="15">
        <f ca="1">C30*EXP(-$B$4*C43/365.25)</f>
        <v>0</v>
      </c>
      <c r="D44" s="15">
        <f ca="1">D30*EXP(-$B$4*D43/365.25)</f>
        <v>0</v>
      </c>
      <c r="E44" s="15">
        <f ca="1">E30*EXP(-$B$4*E43/365.25)</f>
        <v>0</v>
      </c>
      <c r="F44" s="15">
        <f ca="1">F30*EXP(-$B$4*F43/365.25)</f>
        <v>0</v>
      </c>
      <c r="O44" s="34"/>
    </row>
    <row r="45" spans="1:16" hidden="1"/>
    <row r="46" spans="1:16" hidden="1">
      <c r="A46" s="5" t="s">
        <v>26</v>
      </c>
      <c r="B46">
        <f>MONTH(B3)</f>
        <v>12</v>
      </c>
    </row>
    <row r="47" spans="1:16" hidden="1">
      <c r="A47" s="5" t="s">
        <v>27</v>
      </c>
      <c r="B47">
        <f>DAY(B3)</f>
        <v>21</v>
      </c>
    </row>
    <row r="48" spans="1:16" hidden="1">
      <c r="A48" s="5" t="s">
        <v>23</v>
      </c>
      <c r="B48">
        <f>YEAR(F26)+B17</f>
        <v>2031</v>
      </c>
    </row>
    <row r="49" spans="1:7" hidden="1">
      <c r="A49" s="5" t="s">
        <v>28</v>
      </c>
      <c r="B49">
        <f ca="1">DATE(B48,B46,B47)-TODAY()</f>
        <v>3085</v>
      </c>
      <c r="C49" s="29"/>
    </row>
    <row r="50" spans="1:7" hidden="1">
      <c r="A50" s="5" t="s">
        <v>24</v>
      </c>
      <c r="B50" s="15">
        <f>F30*EXP(CHOOSE(B39,C18,C19)*B17)</f>
        <v>0</v>
      </c>
    </row>
    <row r="51" spans="1:7" hidden="1">
      <c r="A51" s="5" t="s">
        <v>29</v>
      </c>
      <c r="B51" s="15">
        <f ca="1">B50*EXP(-B4*B49/365.25)</f>
        <v>0</v>
      </c>
    </row>
    <row r="52" spans="1:7" hidden="1">
      <c r="A52" s="5" t="s">
        <v>31</v>
      </c>
      <c r="B52" s="15">
        <f>(1+SUM(G17,G18))/(B4-SUM(G17,G18))</f>
        <v>21</v>
      </c>
    </row>
    <row r="53" spans="1:7" hidden="1">
      <c r="A53" s="5" t="s">
        <v>32</v>
      </c>
      <c r="B53" s="16">
        <f>(1+CHOOSE(B39,D18,D19))/(B4-(CHOOSE(B39,D18,D19)))</f>
        <v>21</v>
      </c>
      <c r="F53" s="33"/>
    </row>
    <row r="54" spans="1:7" hidden="1">
      <c r="A54" s="5" t="s">
        <v>33</v>
      </c>
      <c r="B54" s="33">
        <f>1-(((1+CHOOSE(B39,D18,D19))/(1+B4))^B17)</f>
        <v>0.20752956361649433</v>
      </c>
      <c r="F54" s="34"/>
    </row>
    <row r="55" spans="1:7" hidden="1">
      <c r="A55" s="5" t="s">
        <v>30</v>
      </c>
      <c r="B55" s="31">
        <f>B53*B54</f>
        <v>4.358120835946381</v>
      </c>
    </row>
    <row r="56" spans="1:7" hidden="1"/>
    <row r="57" spans="1:7" hidden="1"/>
    <row r="58" spans="1:7" hidden="1">
      <c r="A58" s="35" t="s">
        <v>36</v>
      </c>
    </row>
    <row r="59" spans="1:7" hidden="1">
      <c r="A59" t="s">
        <v>37</v>
      </c>
      <c r="B59" s="16">
        <f>$G$3*(1+C$9)</f>
        <v>0</v>
      </c>
      <c r="C59" s="16">
        <f>B59*(1+D$9)</f>
        <v>0</v>
      </c>
      <c r="D59" s="16">
        <f>C59*(1+E$9)</f>
        <v>0</v>
      </c>
      <c r="E59" s="16">
        <f>D59*(1+F$9)</f>
        <v>0</v>
      </c>
      <c r="F59" s="16">
        <f>E59*(1+G$9)</f>
        <v>0</v>
      </c>
    </row>
    <row r="60" spans="1:7" hidden="1">
      <c r="A60" t="s">
        <v>38</v>
      </c>
      <c r="B60" s="16">
        <f>B59*C$11</f>
        <v>0</v>
      </c>
      <c r="C60" s="16">
        <f>C59*D$11</f>
        <v>0</v>
      </c>
      <c r="D60" s="16">
        <f>D59*E$11</f>
        <v>0</v>
      </c>
      <c r="E60" s="16">
        <f>E59*F$11</f>
        <v>0</v>
      </c>
      <c r="F60" s="16">
        <f>F59*G$11</f>
        <v>0</v>
      </c>
    </row>
    <row r="61" spans="1:7" hidden="1">
      <c r="B61" s="17" t="e">
        <f>B60/B59</f>
        <v>#DIV/0!</v>
      </c>
      <c r="C61" s="17" t="e">
        <f>C60/C59</f>
        <v>#DIV/0!</v>
      </c>
      <c r="D61" s="17" t="e">
        <f>D60/D59</f>
        <v>#DIV/0!</v>
      </c>
      <c r="E61" s="17" t="e">
        <f>E60/E59</f>
        <v>#DIV/0!</v>
      </c>
      <c r="F61" s="17" t="e">
        <f>F60/F59</f>
        <v>#DIV/0!</v>
      </c>
    </row>
    <row r="62" spans="1:7" hidden="1">
      <c r="A62" t="s">
        <v>39</v>
      </c>
      <c r="B62" s="33">
        <f>B60-IF($B$12=1,(C$12*B60),-C$13)</f>
        <v>0</v>
      </c>
      <c r="C62" s="33">
        <f t="shared" ref="C62:F62" si="2">C60-IF($B$12=1,(D$12*C60),-D$13)</f>
        <v>0</v>
      </c>
      <c r="D62" s="33">
        <f t="shared" si="2"/>
        <v>0</v>
      </c>
      <c r="E62" s="33">
        <f t="shared" si="2"/>
        <v>0</v>
      </c>
      <c r="F62" s="33">
        <f t="shared" si="2"/>
        <v>0</v>
      </c>
    </row>
    <row r="63" spans="1:7" hidden="1">
      <c r="A63" t="s">
        <v>42</v>
      </c>
      <c r="B63" s="16">
        <f ca="1">B62*EXP(-$B$4*B$43/365.25)</f>
        <v>0</v>
      </c>
      <c r="C63" s="16">
        <f ca="1">C62*EXP(-$B$4*C$43/365.25)</f>
        <v>0</v>
      </c>
      <c r="D63" s="16">
        <f ca="1">D62*EXP(-$B$4*D$43/365.25)</f>
        <v>0</v>
      </c>
      <c r="E63" s="16">
        <f ca="1">E62*EXP(-$B$4*E$43/365.25)</f>
        <v>0</v>
      </c>
      <c r="F63" s="16">
        <f ca="1">F62*EXP(-$B$4*F$43/365.25)</f>
        <v>0</v>
      </c>
      <c r="G63" s="16">
        <f ca="1">SUM(B63:F63)</f>
        <v>0</v>
      </c>
    </row>
    <row r="64" spans="1:7" hidden="1">
      <c r="A64" t="s">
        <v>41</v>
      </c>
      <c r="F64" s="33">
        <f>((1+$D$19)/($B$4-$D$19)*(1-(((1+$D$19)/(1+$B$4))^$B$17)))</f>
        <v>4.358120835946381</v>
      </c>
      <c r="G64" s="16">
        <f ca="1">F64*F63</f>
        <v>0</v>
      </c>
    </row>
    <row r="65" spans="1:7" hidden="1">
      <c r="A65" t="s">
        <v>40</v>
      </c>
      <c r="B65" s="33"/>
      <c r="F65" s="16">
        <f>F62*EXP($C$19*$B$17)</f>
        <v>0</v>
      </c>
    </row>
    <row r="66" spans="1:7" hidden="1">
      <c r="A66" t="s">
        <v>43</v>
      </c>
      <c r="F66" s="16">
        <f ca="1">F65*EXP(-$B$4*B$49/365.25)</f>
        <v>0</v>
      </c>
      <c r="G66" s="36">
        <f ca="1">F66*B$52</f>
        <v>0</v>
      </c>
    </row>
    <row r="67" spans="1:7" hidden="1">
      <c r="A67" t="s">
        <v>44</v>
      </c>
      <c r="G67" s="16">
        <f ca="1">SUM(G63:G64,G66)</f>
        <v>0</v>
      </c>
    </row>
    <row r="68" spans="1:7" hidden="1">
      <c r="A68" t="s">
        <v>25</v>
      </c>
      <c r="G68" s="37">
        <f ca="1">G67/$G$4</f>
        <v>0</v>
      </c>
    </row>
    <row r="69" spans="1:7" hidden="1">
      <c r="G69" s="33"/>
    </row>
    <row r="70" spans="1:7" hidden="1">
      <c r="A70" s="35" t="s">
        <v>45</v>
      </c>
    </row>
    <row r="71" spans="1:7" hidden="1">
      <c r="A71" t="s">
        <v>37</v>
      </c>
      <c r="B71" s="16">
        <f>$G$3*(1+C$9)</f>
        <v>0</v>
      </c>
      <c r="C71" s="16">
        <f>B71*(1+D$9)</f>
        <v>0</v>
      </c>
      <c r="D71" s="16">
        <f>C71*(1+E$9)</f>
        <v>0</v>
      </c>
      <c r="E71" s="16">
        <f>D71*(1+F$9)</f>
        <v>0</v>
      </c>
      <c r="F71" s="16">
        <f>E71*(1+G$9)</f>
        <v>0</v>
      </c>
    </row>
    <row r="72" spans="1:7" hidden="1">
      <c r="A72" t="s">
        <v>38</v>
      </c>
      <c r="B72" s="16">
        <f>B71*C$11</f>
        <v>0</v>
      </c>
      <c r="C72" s="16">
        <f>C71*D$11</f>
        <v>0</v>
      </c>
      <c r="D72" s="16">
        <f>D71*E$11</f>
        <v>0</v>
      </c>
      <c r="E72" s="16">
        <f>E71*F$11</f>
        <v>0</v>
      </c>
      <c r="F72" s="16">
        <f>F71*G$11</f>
        <v>0</v>
      </c>
    </row>
    <row r="73" spans="1:7" hidden="1">
      <c r="A73" t="s">
        <v>39</v>
      </c>
      <c r="B73" s="33">
        <f>B72-IF($B$12=1,(C$12*B72),-C$13)</f>
        <v>0</v>
      </c>
      <c r="C73" s="33">
        <f t="shared" ref="C73:F73" si="3">C72-IF($B$12=1,(D$12*C72),-D$13)</f>
        <v>0</v>
      </c>
      <c r="D73" s="33">
        <f t="shared" si="3"/>
        <v>0</v>
      </c>
      <c r="E73" s="33">
        <f t="shared" si="3"/>
        <v>0</v>
      </c>
      <c r="F73" s="33">
        <f t="shared" si="3"/>
        <v>0</v>
      </c>
    </row>
    <row r="74" spans="1:7" hidden="1">
      <c r="A74" t="s">
        <v>42</v>
      </c>
      <c r="B74" s="16">
        <f ca="1">B73*EXP(-$B$4*B$43/365.25)</f>
        <v>0</v>
      </c>
      <c r="C74" s="16">
        <f ca="1">C73*EXP(-$B$4*C$43/365.25)</f>
        <v>0</v>
      </c>
      <c r="D74" s="16">
        <f ca="1">D73*EXP(-$B$4*D$43/365.25)</f>
        <v>0</v>
      </c>
      <c r="E74" s="16">
        <f ca="1">E73*EXP(-$B$4*E$43/365.25)</f>
        <v>0</v>
      </c>
      <c r="F74" s="16">
        <f ca="1">F73*EXP(-$B$4*F$43/365.25)</f>
        <v>0</v>
      </c>
      <c r="G74" s="16">
        <f ca="1">SUM(B74:F74)</f>
        <v>0</v>
      </c>
    </row>
    <row r="75" spans="1:7" hidden="1">
      <c r="A75" t="s">
        <v>41</v>
      </c>
      <c r="F75" s="33">
        <f>((1+$D$18)/($B$4-$D$18)*(1-(((1+$D$18)/(1+$B$4))^$B$17)))</f>
        <v>4.358120835946381</v>
      </c>
      <c r="G75" s="16">
        <f ca="1">F75*F74</f>
        <v>0</v>
      </c>
    </row>
    <row r="76" spans="1:7" hidden="1">
      <c r="A76" t="s">
        <v>40</v>
      </c>
      <c r="B76" s="33"/>
      <c r="F76" s="16">
        <f>F73*EXP($C$18*$B$17)</f>
        <v>0</v>
      </c>
    </row>
    <row r="77" spans="1:7" hidden="1">
      <c r="A77" t="s">
        <v>43</v>
      </c>
      <c r="F77" s="16">
        <f ca="1">F76*EXP(-$B$4*B$49/365.25)</f>
        <v>0</v>
      </c>
      <c r="G77" s="36">
        <f ca="1">F77*B$52</f>
        <v>0</v>
      </c>
    </row>
    <row r="78" spans="1:7" hidden="1">
      <c r="A78" t="s">
        <v>44</v>
      </c>
      <c r="G78" s="16">
        <f ca="1">SUM(G74:G75,G77)</f>
        <v>0</v>
      </c>
    </row>
    <row r="79" spans="1:7" hidden="1">
      <c r="A79" t="s">
        <v>25</v>
      </c>
      <c r="G79" s="37">
        <f ca="1">G78/$G$4</f>
        <v>0</v>
      </c>
    </row>
    <row r="80" spans="1:7" hidden="1"/>
    <row r="81" spans="1:7" hidden="1">
      <c r="A81" s="35" t="s">
        <v>46</v>
      </c>
    </row>
    <row r="82" spans="1:7" hidden="1">
      <c r="A82" t="s">
        <v>37</v>
      </c>
      <c r="B82" s="16">
        <f>$G$3*(1+C$9)</f>
        <v>0</v>
      </c>
      <c r="C82" s="16">
        <f>B82*(1+D$9)</f>
        <v>0</v>
      </c>
      <c r="D82" s="16">
        <f>C82*(1+E$9)</f>
        <v>0</v>
      </c>
      <c r="E82" s="16">
        <f>D82*(1+F$9)</f>
        <v>0</v>
      </c>
      <c r="F82" s="16">
        <f>E82*(1+G$9)</f>
        <v>0</v>
      </c>
    </row>
    <row r="83" spans="1:7" hidden="1">
      <c r="A83" t="s">
        <v>38</v>
      </c>
      <c r="B83" s="16">
        <f>B82*C$10</f>
        <v>0</v>
      </c>
      <c r="C83" s="16">
        <f>C82*D$10</f>
        <v>0</v>
      </c>
      <c r="D83" s="16">
        <f>D82*E$10</f>
        <v>0</v>
      </c>
      <c r="E83" s="16">
        <f>E82*F$10</f>
        <v>0</v>
      </c>
      <c r="F83" s="16">
        <f>F82*G$10</f>
        <v>0</v>
      </c>
    </row>
    <row r="84" spans="1:7" hidden="1">
      <c r="A84" t="s">
        <v>39</v>
      </c>
      <c r="B84" s="33">
        <f>B83-IF($B$12=1,(C$12*B83),-C$13)</f>
        <v>0</v>
      </c>
      <c r="C84" s="33">
        <f t="shared" ref="C84" si="4">C83-IF($B$12=1,(D$12*C83),-D$13)</f>
        <v>0</v>
      </c>
      <c r="D84" s="33">
        <f t="shared" ref="D84" si="5">D83-IF($B$12=1,(E$12*D83),-E$13)</f>
        <v>0</v>
      </c>
      <c r="E84" s="33">
        <f t="shared" ref="E84" si="6">E83-IF($B$12=1,(F$12*E83),-F$13)</f>
        <v>0</v>
      </c>
      <c r="F84" s="33">
        <f t="shared" ref="F84" si="7">F83-IF($B$12=1,(G$12*F83),-G$13)</f>
        <v>0</v>
      </c>
    </row>
    <row r="85" spans="1:7" hidden="1">
      <c r="A85" t="s">
        <v>42</v>
      </c>
      <c r="B85" s="16">
        <f ca="1">B84*EXP(-$B$4*B$43/365.25)</f>
        <v>0</v>
      </c>
      <c r="C85" s="16">
        <f ca="1">C84*EXP(-$B$4*C$43/365.25)</f>
        <v>0</v>
      </c>
      <c r="D85" s="16">
        <f ca="1">D84*EXP(-$B$4*D$43/365.25)</f>
        <v>0</v>
      </c>
      <c r="E85" s="16">
        <f ca="1">E84*EXP(-$B$4*E$43/365.25)</f>
        <v>0</v>
      </c>
      <c r="F85" s="16">
        <f ca="1">F84*EXP(-$B$4*F$43/365.25)</f>
        <v>0</v>
      </c>
      <c r="G85" s="16">
        <f ca="1">SUM(B85:F85)</f>
        <v>0</v>
      </c>
    </row>
    <row r="86" spans="1:7" hidden="1">
      <c r="A86" t="s">
        <v>41</v>
      </c>
      <c r="F86" s="33">
        <f>((1+$D$19)/($B$4-$D$19)*(1-(((1+$D$19)/(1+$B$4))^$B$17)))</f>
        <v>4.358120835946381</v>
      </c>
      <c r="G86" s="16">
        <f ca="1">F86*F85</f>
        <v>0</v>
      </c>
    </row>
    <row r="87" spans="1:7" hidden="1">
      <c r="A87" t="s">
        <v>40</v>
      </c>
      <c r="B87" s="33"/>
      <c r="F87" s="16">
        <f>F84*EXP($C$19*$B$17)</f>
        <v>0</v>
      </c>
    </row>
    <row r="88" spans="1:7" hidden="1">
      <c r="A88" t="s">
        <v>43</v>
      </c>
      <c r="F88" s="16">
        <f ca="1">F87*EXP(-$B$4*B$49/365.25)</f>
        <v>0</v>
      </c>
      <c r="G88" s="36">
        <f ca="1">F88*B$52</f>
        <v>0</v>
      </c>
    </row>
    <row r="89" spans="1:7" hidden="1">
      <c r="A89" t="s">
        <v>44</v>
      </c>
      <c r="G89" s="16">
        <f ca="1">SUM(G85:G86,G88)</f>
        <v>0</v>
      </c>
    </row>
    <row r="90" spans="1:7" hidden="1">
      <c r="A90" t="s">
        <v>25</v>
      </c>
      <c r="G90" s="37">
        <f ca="1">G89/$G$4</f>
        <v>0</v>
      </c>
    </row>
    <row r="91" spans="1:7" hidden="1"/>
    <row r="92" spans="1:7" hidden="1">
      <c r="A92" s="35" t="s">
        <v>47</v>
      </c>
    </row>
    <row r="93" spans="1:7" hidden="1">
      <c r="A93" t="s">
        <v>37</v>
      </c>
      <c r="B93" s="16">
        <f>$G$3*(1+C$9)</f>
        <v>0</v>
      </c>
      <c r="C93" s="16">
        <f>B93*(1+D$9)</f>
        <v>0</v>
      </c>
      <c r="D93" s="16">
        <f>C93*(1+E$9)</f>
        <v>0</v>
      </c>
      <c r="E93" s="16">
        <f>D93*(1+F$9)</f>
        <v>0</v>
      </c>
      <c r="F93" s="16">
        <f>E93*(1+G$9)</f>
        <v>0</v>
      </c>
    </row>
    <row r="94" spans="1:7" hidden="1">
      <c r="A94" t="s">
        <v>38</v>
      </c>
      <c r="B94" s="16">
        <f>B93*C$10</f>
        <v>0</v>
      </c>
      <c r="C94" s="16">
        <f>C93*D$10</f>
        <v>0</v>
      </c>
      <c r="D94" s="16">
        <f>D93*E$10</f>
        <v>0</v>
      </c>
      <c r="E94" s="16">
        <f>E93*F$10</f>
        <v>0</v>
      </c>
      <c r="F94" s="16">
        <f>F93*G$10</f>
        <v>0</v>
      </c>
    </row>
    <row r="95" spans="1:7" hidden="1">
      <c r="A95" t="s">
        <v>39</v>
      </c>
      <c r="B95" s="33">
        <f>B94-IF($B$12=1,(C$12*B94),-C$13)</f>
        <v>0</v>
      </c>
      <c r="C95" s="33">
        <f t="shared" ref="C95" si="8">C94-IF($B$12=1,(D$12*C94),-D$13)</f>
        <v>0</v>
      </c>
      <c r="D95" s="33">
        <f t="shared" ref="D95" si="9">D94-IF($B$12=1,(E$12*D94),-E$13)</f>
        <v>0</v>
      </c>
      <c r="E95" s="33">
        <f t="shared" ref="E95" si="10">E94-IF($B$12=1,(F$12*E94),-F$13)</f>
        <v>0</v>
      </c>
      <c r="F95" s="33">
        <f t="shared" ref="F95" si="11">F94-IF($B$12=1,(G$12*F94),-G$13)</f>
        <v>0</v>
      </c>
    </row>
    <row r="96" spans="1:7" hidden="1">
      <c r="A96" t="s">
        <v>42</v>
      </c>
      <c r="B96" s="16">
        <f ca="1">B95*EXP(-$B$4*B$43/365.25)</f>
        <v>0</v>
      </c>
      <c r="C96" s="16">
        <f ca="1">C95*EXP(-$B$4*C$43/365.25)</f>
        <v>0</v>
      </c>
      <c r="D96" s="16">
        <f ca="1">D95*EXP(-$B$4*D$43/365.25)</f>
        <v>0</v>
      </c>
      <c r="E96" s="16">
        <f ca="1">E95*EXP(-$B$4*E$43/365.25)</f>
        <v>0</v>
      </c>
      <c r="F96" s="16">
        <f ca="1">F95*EXP(-$B$4*F$43/365.25)</f>
        <v>0</v>
      </c>
      <c r="G96" s="16">
        <f ca="1">SUM(B96:F96)</f>
        <v>0</v>
      </c>
    </row>
    <row r="97" spans="1:7" hidden="1">
      <c r="A97" t="s">
        <v>41</v>
      </c>
      <c r="F97" s="33">
        <f>((1+$D$18)/($B$4-$D$18)*(1-(((1+$D$18)/(1+$B$4))^$B$17)))</f>
        <v>4.358120835946381</v>
      </c>
      <c r="G97" s="16">
        <f ca="1">F97*F96</f>
        <v>0</v>
      </c>
    </row>
    <row r="98" spans="1:7" hidden="1">
      <c r="A98" t="s">
        <v>40</v>
      </c>
      <c r="B98" s="33"/>
      <c r="F98" s="16">
        <f>F95*EXP($C$18*$B$17)</f>
        <v>0</v>
      </c>
    </row>
    <row r="99" spans="1:7" hidden="1">
      <c r="A99" t="s">
        <v>43</v>
      </c>
      <c r="F99" s="16">
        <f ca="1">F98*EXP(-$B$4*B$49/365.25)</f>
        <v>0</v>
      </c>
      <c r="G99" s="36">
        <f ca="1">F99*B$52</f>
        <v>0</v>
      </c>
    </row>
    <row r="100" spans="1:7" hidden="1">
      <c r="A100" t="s">
        <v>44</v>
      </c>
      <c r="G100" s="16">
        <f ca="1">SUM(G96:G97,G99)</f>
        <v>0</v>
      </c>
    </row>
    <row r="101" spans="1:7" hidden="1">
      <c r="A101" t="s">
        <v>25</v>
      </c>
      <c r="G101" s="37">
        <f ca="1">G100/$G$4</f>
        <v>0</v>
      </c>
    </row>
    <row r="102" spans="1:7" hidden="1"/>
    <row r="103" spans="1:7" hidden="1">
      <c r="A103" s="35" t="s">
        <v>48</v>
      </c>
    </row>
    <row r="104" spans="1:7" hidden="1">
      <c r="A104" t="s">
        <v>37</v>
      </c>
      <c r="B104" s="16">
        <f>$G$3*(1+C$8)</f>
        <v>0</v>
      </c>
      <c r="C104" s="16">
        <f>B104*(1+D$8)</f>
        <v>0</v>
      </c>
      <c r="D104" s="16">
        <f>C104*(1+E$8)</f>
        <v>0</v>
      </c>
      <c r="E104" s="16">
        <f>D104*(1+F$8)</f>
        <v>0</v>
      </c>
      <c r="F104" s="16">
        <f>E104*(1+G$8)</f>
        <v>0</v>
      </c>
    </row>
    <row r="105" spans="1:7" hidden="1">
      <c r="A105" t="s">
        <v>38</v>
      </c>
      <c r="B105" s="16">
        <f>B104*C$11</f>
        <v>0</v>
      </c>
      <c r="C105" s="16">
        <f>C104*D$11</f>
        <v>0</v>
      </c>
      <c r="D105" s="16">
        <f>D104*E$11</f>
        <v>0</v>
      </c>
      <c r="E105" s="16">
        <f>E104*F$11</f>
        <v>0</v>
      </c>
      <c r="F105" s="16">
        <f>F104*G$11</f>
        <v>0</v>
      </c>
    </row>
    <row r="106" spans="1:7" hidden="1">
      <c r="A106" t="s">
        <v>39</v>
      </c>
      <c r="B106" s="33">
        <f>B105-IF($B$12=1,(C$12*B105),-C$13)</f>
        <v>0</v>
      </c>
      <c r="C106" s="33">
        <f t="shared" ref="C106" si="12">C105-IF($B$12=1,(D$12*C105),-D$13)</f>
        <v>0</v>
      </c>
      <c r="D106" s="33">
        <f t="shared" ref="D106" si="13">D105-IF($B$12=1,(E$12*D105),-E$13)</f>
        <v>0</v>
      </c>
      <c r="E106" s="33">
        <f t="shared" ref="E106" si="14">E105-IF($B$12=1,(F$12*E105),-F$13)</f>
        <v>0</v>
      </c>
      <c r="F106" s="33">
        <f t="shared" ref="F106" si="15">F105-IF($B$12=1,(G$12*F105),-G$13)</f>
        <v>0</v>
      </c>
    </row>
    <row r="107" spans="1:7" hidden="1">
      <c r="A107" t="s">
        <v>42</v>
      </c>
      <c r="B107" s="16">
        <f ca="1">B106*EXP(-$B$4*B$43/365.25)</f>
        <v>0</v>
      </c>
      <c r="C107" s="16">
        <f ca="1">C106*EXP(-$B$4*C$43/365.25)</f>
        <v>0</v>
      </c>
      <c r="D107" s="16">
        <f ca="1">D106*EXP(-$B$4*D$43/365.25)</f>
        <v>0</v>
      </c>
      <c r="E107" s="16">
        <f ca="1">E106*EXP(-$B$4*E$43/365.25)</f>
        <v>0</v>
      </c>
      <c r="F107" s="16">
        <f ca="1">F106*EXP(-$B$4*F$43/365.25)</f>
        <v>0</v>
      </c>
      <c r="G107" s="16">
        <f ca="1">SUM(B107:F107)</f>
        <v>0</v>
      </c>
    </row>
    <row r="108" spans="1:7" hidden="1">
      <c r="A108" t="s">
        <v>41</v>
      </c>
      <c r="F108" s="33">
        <f>((1+$D$19)/($B$4-$D$19)*(1-(((1+$D$19)/(1+$B$4))^$B$17)))</f>
        <v>4.358120835946381</v>
      </c>
      <c r="G108" s="16">
        <f ca="1">F108*F107</f>
        <v>0</v>
      </c>
    </row>
    <row r="109" spans="1:7" hidden="1">
      <c r="A109" t="s">
        <v>40</v>
      </c>
      <c r="B109" s="33"/>
      <c r="F109" s="16">
        <f>F106*EXP($C$19*$B$17)</f>
        <v>0</v>
      </c>
    </row>
    <row r="110" spans="1:7" hidden="1">
      <c r="A110" t="s">
        <v>43</v>
      </c>
      <c r="F110" s="16">
        <f ca="1">F109*EXP(-$B$4*B$49/365.25)</f>
        <v>0</v>
      </c>
      <c r="G110" s="36">
        <f ca="1">F110*B$52</f>
        <v>0</v>
      </c>
    </row>
    <row r="111" spans="1:7" hidden="1">
      <c r="A111" t="s">
        <v>44</v>
      </c>
      <c r="G111" s="16">
        <f ca="1">SUM(G107:G108,G110)</f>
        <v>0</v>
      </c>
    </row>
    <row r="112" spans="1:7" hidden="1">
      <c r="A112" t="s">
        <v>25</v>
      </c>
      <c r="G112" s="37">
        <f ca="1">G111/$G$4</f>
        <v>0</v>
      </c>
    </row>
    <row r="113" spans="1:7" hidden="1"/>
    <row r="114" spans="1:7" hidden="1">
      <c r="A114" s="35" t="s">
        <v>49</v>
      </c>
    </row>
    <row r="115" spans="1:7" hidden="1">
      <c r="A115" t="s">
        <v>37</v>
      </c>
      <c r="B115" s="16">
        <f>$G$3*(1+C$8)</f>
        <v>0</v>
      </c>
      <c r="C115" s="16">
        <f>B115*(1+D$8)</f>
        <v>0</v>
      </c>
      <c r="D115" s="16">
        <f>C115*(1+E$8)</f>
        <v>0</v>
      </c>
      <c r="E115" s="16">
        <f>D115*(1+F$8)</f>
        <v>0</v>
      </c>
      <c r="F115" s="16">
        <f>E115*(1+G$8)</f>
        <v>0</v>
      </c>
    </row>
    <row r="116" spans="1:7" hidden="1">
      <c r="A116" t="s">
        <v>38</v>
      </c>
      <c r="B116" s="16">
        <f>B115*C$11</f>
        <v>0</v>
      </c>
      <c r="C116" s="16">
        <f>C115*D$11</f>
        <v>0</v>
      </c>
      <c r="D116" s="16">
        <f>D115*E$11</f>
        <v>0</v>
      </c>
      <c r="E116" s="16">
        <f>E115*F$11</f>
        <v>0</v>
      </c>
      <c r="F116" s="16">
        <f>F115*G$11</f>
        <v>0</v>
      </c>
    </row>
    <row r="117" spans="1:7" hidden="1">
      <c r="A117" t="s">
        <v>39</v>
      </c>
      <c r="B117" s="33">
        <f>B116-IF($B$12=1,(C$12*B116),-C$13)</f>
        <v>0</v>
      </c>
      <c r="C117" s="33">
        <f t="shared" ref="C117" si="16">C116-IF($B$12=1,(D$12*C116),-D$13)</f>
        <v>0</v>
      </c>
      <c r="D117" s="33">
        <f t="shared" ref="D117" si="17">D116-IF($B$12=1,(E$12*D116),-E$13)</f>
        <v>0</v>
      </c>
      <c r="E117" s="33">
        <f t="shared" ref="E117" si="18">E116-IF($B$12=1,(F$12*E116),-F$13)</f>
        <v>0</v>
      </c>
      <c r="F117" s="33">
        <f t="shared" ref="F117" si="19">F116-IF($B$12=1,(G$12*F116),-G$13)</f>
        <v>0</v>
      </c>
    </row>
    <row r="118" spans="1:7" hidden="1">
      <c r="A118" t="s">
        <v>42</v>
      </c>
      <c r="B118" s="16">
        <f ca="1">B117*EXP(-$B$4*B$43/365.25)</f>
        <v>0</v>
      </c>
      <c r="C118" s="16">
        <f ca="1">C117*EXP(-$B$4*C$43/365.25)</f>
        <v>0</v>
      </c>
      <c r="D118" s="16">
        <f ca="1">D117*EXP(-$B$4*D$43/365.25)</f>
        <v>0</v>
      </c>
      <c r="E118" s="16">
        <f ca="1">E117*EXP(-$B$4*E$43/365.25)</f>
        <v>0</v>
      </c>
      <c r="F118" s="16">
        <f ca="1">F117*EXP(-$B$4*F$43/365.25)</f>
        <v>0</v>
      </c>
      <c r="G118" s="16">
        <f ca="1">SUM(B118:F118)</f>
        <v>0</v>
      </c>
    </row>
    <row r="119" spans="1:7" hidden="1">
      <c r="A119" t="s">
        <v>41</v>
      </c>
      <c r="F119" s="33">
        <f>((1+$D$18)/($B$4-$D$18)*(1-(((1+$D$18)/(1+$B$4))^$B$17)))</f>
        <v>4.358120835946381</v>
      </c>
      <c r="G119" s="16">
        <f ca="1">F119*F118</f>
        <v>0</v>
      </c>
    </row>
    <row r="120" spans="1:7" hidden="1">
      <c r="A120" t="s">
        <v>40</v>
      </c>
      <c r="B120" s="33"/>
      <c r="F120" s="16">
        <f>F117*EXP($C$18*$B$17)</f>
        <v>0</v>
      </c>
    </row>
    <row r="121" spans="1:7" hidden="1">
      <c r="A121" t="s">
        <v>43</v>
      </c>
      <c r="F121" s="16">
        <f ca="1">F120*EXP(-$B$4*B$49/365.25)</f>
        <v>0</v>
      </c>
      <c r="G121" s="36">
        <f ca="1">F121*B$52</f>
        <v>0</v>
      </c>
    </row>
    <row r="122" spans="1:7" hidden="1">
      <c r="A122" t="s">
        <v>44</v>
      </c>
      <c r="G122" s="16">
        <f ca="1">SUM(G118:G119,G121)</f>
        <v>0</v>
      </c>
    </row>
    <row r="123" spans="1:7" hidden="1">
      <c r="A123" t="s">
        <v>25</v>
      </c>
      <c r="G123" s="37">
        <f ca="1">G122/$G$4</f>
        <v>0</v>
      </c>
    </row>
    <row r="124" spans="1:7" hidden="1"/>
    <row r="125" spans="1:7" hidden="1">
      <c r="A125" s="35" t="s">
        <v>50</v>
      </c>
    </row>
    <row r="126" spans="1:7" hidden="1">
      <c r="A126" t="s">
        <v>37</v>
      </c>
      <c r="B126" s="16">
        <f>$G$3*(1+C$8)</f>
        <v>0</v>
      </c>
      <c r="C126" s="16">
        <f>B126*(1+D$8)</f>
        <v>0</v>
      </c>
      <c r="D126" s="16">
        <f>C126*(1+E$8)</f>
        <v>0</v>
      </c>
      <c r="E126" s="16">
        <f>D126*(1+F$8)</f>
        <v>0</v>
      </c>
      <c r="F126" s="16">
        <f>E126*(1+G$8)</f>
        <v>0</v>
      </c>
    </row>
    <row r="127" spans="1:7" hidden="1">
      <c r="A127" t="s">
        <v>38</v>
      </c>
      <c r="B127" s="16">
        <f>B126*C$10</f>
        <v>0</v>
      </c>
      <c r="C127" s="16">
        <f>C126*D$10</f>
        <v>0</v>
      </c>
      <c r="D127" s="16">
        <f>D126*E$10</f>
        <v>0</v>
      </c>
      <c r="E127" s="16">
        <f>E126*F$10</f>
        <v>0</v>
      </c>
      <c r="F127" s="16">
        <f>F126*G$10</f>
        <v>0</v>
      </c>
    </row>
    <row r="128" spans="1:7" hidden="1">
      <c r="A128" t="s">
        <v>39</v>
      </c>
      <c r="B128" s="33">
        <f>B127-IF($B$12=1,(C$12*B127),-C$13)</f>
        <v>0</v>
      </c>
      <c r="C128" s="33">
        <f t="shared" ref="C128" si="20">C127-IF($B$12=1,(D$12*C127),-D$13)</f>
        <v>0</v>
      </c>
      <c r="D128" s="33">
        <f t="shared" ref="D128" si="21">D127-IF($B$12=1,(E$12*D127),-E$13)</f>
        <v>0</v>
      </c>
      <c r="E128" s="33">
        <f t="shared" ref="E128" si="22">E127-IF($B$12=1,(F$12*E127),-F$13)</f>
        <v>0</v>
      </c>
      <c r="F128" s="33">
        <f t="shared" ref="F128" si="23">F127-IF($B$12=1,(G$12*F127),-G$13)</f>
        <v>0</v>
      </c>
    </row>
    <row r="129" spans="1:11" hidden="1">
      <c r="A129" t="s">
        <v>42</v>
      </c>
      <c r="B129" s="16">
        <f ca="1">B128*EXP(-$B$4*B$43/365.25)</f>
        <v>0</v>
      </c>
      <c r="C129" s="16">
        <f ca="1">C128*EXP(-$B$4*C$43/365.25)</f>
        <v>0</v>
      </c>
      <c r="D129" s="16">
        <f ca="1">D128*EXP(-$B$4*D$43/365.25)</f>
        <v>0</v>
      </c>
      <c r="E129" s="16">
        <f ca="1">E128*EXP(-$B$4*E$43/365.25)</f>
        <v>0</v>
      </c>
      <c r="F129" s="16">
        <f ca="1">F128*EXP(-$B$4*F$43/365.25)</f>
        <v>0</v>
      </c>
      <c r="G129" s="16">
        <f ca="1">SUM(B129:F129)</f>
        <v>0</v>
      </c>
    </row>
    <row r="130" spans="1:11" hidden="1">
      <c r="A130" t="s">
        <v>41</v>
      </c>
      <c r="F130" s="33">
        <f>((1+$D$19)/($B$4-$D$19)*(1-(((1+$D$19)/(1+$B$4))^$B$17)))</f>
        <v>4.358120835946381</v>
      </c>
      <c r="G130" s="16">
        <f ca="1">F130*F129</f>
        <v>0</v>
      </c>
    </row>
    <row r="131" spans="1:11" hidden="1">
      <c r="A131" t="s">
        <v>40</v>
      </c>
      <c r="B131" s="33"/>
      <c r="F131" s="16">
        <f>F128*EXP($C$19*$B$17)</f>
        <v>0</v>
      </c>
    </row>
    <row r="132" spans="1:11" hidden="1">
      <c r="A132" t="s">
        <v>43</v>
      </c>
      <c r="F132" s="16">
        <f ca="1">F131*EXP(-$B$4*B$49/365.25)</f>
        <v>0</v>
      </c>
      <c r="G132" s="36">
        <f ca="1">F132*B$52</f>
        <v>0</v>
      </c>
    </row>
    <row r="133" spans="1:11" hidden="1">
      <c r="A133" t="s">
        <v>44</v>
      </c>
      <c r="G133" s="16">
        <f ca="1">SUM(G129:G130,G132)</f>
        <v>0</v>
      </c>
    </row>
    <row r="134" spans="1:11" hidden="1">
      <c r="A134" t="s">
        <v>25</v>
      </c>
      <c r="G134" s="37">
        <f ca="1">G133/$G$4</f>
        <v>0</v>
      </c>
    </row>
    <row r="135" spans="1:11" hidden="1"/>
    <row r="136" spans="1:11" hidden="1">
      <c r="A136" s="35" t="s">
        <v>49</v>
      </c>
    </row>
    <row r="137" spans="1:11" hidden="1">
      <c r="A137" t="s">
        <v>37</v>
      </c>
      <c r="B137" s="16">
        <f>$G$3*(1+C$8)</f>
        <v>0</v>
      </c>
      <c r="C137" s="16">
        <f>B137*(1+D$8)</f>
        <v>0</v>
      </c>
      <c r="D137" s="16">
        <f>C137*(1+E$8)</f>
        <v>0</v>
      </c>
      <c r="E137" s="16">
        <f>D137*(1+F$8)</f>
        <v>0</v>
      </c>
      <c r="F137" s="16">
        <f>E137*(1+G$8)</f>
        <v>0</v>
      </c>
    </row>
    <row r="138" spans="1:11" hidden="1">
      <c r="A138" t="s">
        <v>38</v>
      </c>
      <c r="B138" s="16">
        <f>B137*C$10</f>
        <v>0</v>
      </c>
      <c r="C138" s="16">
        <f>C137*D$10</f>
        <v>0</v>
      </c>
      <c r="D138" s="16">
        <f>D137*E$10</f>
        <v>0</v>
      </c>
      <c r="E138" s="16">
        <f>E137*F$10</f>
        <v>0</v>
      </c>
      <c r="F138" s="16">
        <f>F137*G$10</f>
        <v>0</v>
      </c>
    </row>
    <row r="139" spans="1:11" hidden="1">
      <c r="A139" t="s">
        <v>39</v>
      </c>
      <c r="B139" s="33">
        <f>B138-IF($B$12=1,(C$12*B138),-C$13)</f>
        <v>0</v>
      </c>
      <c r="C139" s="33">
        <f t="shared" ref="C139" si="24">C138-IF($B$12=1,(D$12*C138),-D$13)</f>
        <v>0</v>
      </c>
      <c r="D139" s="33">
        <f t="shared" ref="D139" si="25">D138-IF($B$12=1,(E$12*D138),-E$13)</f>
        <v>0</v>
      </c>
      <c r="E139" s="33">
        <f t="shared" ref="E139" si="26">E138-IF($B$12=1,(F$12*E138),-F$13)</f>
        <v>0</v>
      </c>
      <c r="F139" s="33">
        <f t="shared" ref="F139" si="27">F138-IF($B$12=1,(G$12*F138),-G$13)</f>
        <v>0</v>
      </c>
    </row>
    <row r="140" spans="1:11" hidden="1">
      <c r="A140" t="s">
        <v>42</v>
      </c>
      <c r="B140" s="16">
        <f ca="1">B139*EXP(-$B$4*B$43/365.25)</f>
        <v>0</v>
      </c>
      <c r="C140" s="16">
        <f ca="1">C139*EXP(-$B$4*C$43/365.25)</f>
        <v>0</v>
      </c>
      <c r="D140" s="16">
        <f ca="1">D139*EXP(-$B$4*D$43/365.25)</f>
        <v>0</v>
      </c>
      <c r="E140" s="16">
        <f ca="1">E139*EXP(-$B$4*E$43/365.25)</f>
        <v>0</v>
      </c>
      <c r="F140" s="16">
        <f ca="1">F139*EXP(-$B$4*F$43/365.25)</f>
        <v>0</v>
      </c>
      <c r="G140" s="16">
        <f ca="1">SUM(B140:F140)</f>
        <v>0</v>
      </c>
      <c r="H140" s="16"/>
      <c r="I140" s="16"/>
      <c r="J140" s="16"/>
      <c r="K140" s="16"/>
    </row>
    <row r="141" spans="1:11" hidden="1">
      <c r="A141" t="s">
        <v>41</v>
      </c>
      <c r="F141" s="33">
        <f>((1+$D$18)/($B$4-$D$18)*(1-(((1+$D$18)/(1+$B$4))^$B$17)))</f>
        <v>4.358120835946381</v>
      </c>
      <c r="G141" s="16">
        <f ca="1">F141*F140</f>
        <v>0</v>
      </c>
    </row>
    <row r="142" spans="1:11" hidden="1">
      <c r="A142" t="s">
        <v>40</v>
      </c>
      <c r="B142" s="33"/>
      <c r="F142" s="16">
        <f>F139*EXP($C$18*$B$17)</f>
        <v>0</v>
      </c>
    </row>
    <row r="143" spans="1:11" hidden="1">
      <c r="A143" t="s">
        <v>43</v>
      </c>
      <c r="F143" s="16">
        <f ca="1">F142*EXP(-$B$4*B$49/365.25)</f>
        <v>0</v>
      </c>
      <c r="G143" s="36">
        <f ca="1">F143*B$52</f>
        <v>0</v>
      </c>
    </row>
    <row r="144" spans="1:11" hidden="1">
      <c r="A144" t="s">
        <v>44</v>
      </c>
      <c r="G144" s="16">
        <f ca="1">SUM(G140:G141,G143)</f>
        <v>0</v>
      </c>
    </row>
    <row r="145" spans="1:11" hidden="1">
      <c r="A145" t="s">
        <v>25</v>
      </c>
      <c r="G145" s="37">
        <f ca="1">G144/$G$4</f>
        <v>0</v>
      </c>
    </row>
    <row r="146" spans="1:11">
      <c r="K146" s="95"/>
    </row>
  </sheetData>
  <mergeCells count="17">
    <mergeCell ref="A6:G6"/>
    <mergeCell ref="I11:L11"/>
    <mergeCell ref="I12:L12"/>
    <mergeCell ref="I20:L20"/>
    <mergeCell ref="A42:F42"/>
    <mergeCell ref="A1:G1"/>
    <mergeCell ref="A10:A11"/>
    <mergeCell ref="A8:A9"/>
    <mergeCell ref="I6:J6"/>
    <mergeCell ref="I7:J7"/>
    <mergeCell ref="I8:J8"/>
    <mergeCell ref="I9:J9"/>
    <mergeCell ref="I1:J1"/>
    <mergeCell ref="I2:J2"/>
    <mergeCell ref="I3:J3"/>
    <mergeCell ref="I4:J4"/>
    <mergeCell ref="I5:J5"/>
  </mergeCells>
  <conditionalFormatting sqref="C12:G12">
    <cfRule type="expression" dxfId="13" priority="3">
      <formula>$B$12=0</formula>
    </cfRule>
    <cfRule type="expression" dxfId="12" priority="4">
      <formula>$B$12=1</formula>
    </cfRule>
  </conditionalFormatting>
  <conditionalFormatting sqref="C13:G13">
    <cfRule type="expression" dxfId="11" priority="1">
      <formula>$B$12=0</formula>
    </cfRule>
    <cfRule type="expression" dxfId="10" priority="2">
      <formula>$B$12=1</formula>
    </cfRule>
  </conditionalFormatting>
  <dataValidations count="5">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 type="list" allowBlank="1" showInputMessage="1" showErrorMessage="1" sqref="B12" xr:uid="{EB98D554-094B-4435-9177-079D33FC87EE}">
      <formula1>$G$33:$G$34</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45"/>
  <sheetViews>
    <sheetView showGridLines="0" zoomScaleNormal="100" workbookViewId="0">
      <selection activeCell="I24" sqref="I24:I26"/>
    </sheetView>
  </sheetViews>
  <sheetFormatPr defaultRowHeight="14.25"/>
  <cols>
    <col min="1" max="1" width="38.73046875" bestFit="1" customWidth="1"/>
    <col min="2" max="7" width="11.73046875" customWidth="1"/>
    <col min="8" max="8" width="10.73046875" customWidth="1"/>
    <col min="9" max="10" width="11.265625" bestFit="1" customWidth="1"/>
    <col min="11" max="11" width="10.73046875" customWidth="1"/>
    <col min="12" max="12" width="11.59765625" bestFit="1" customWidth="1"/>
    <col min="13" max="13" width="12.59765625" bestFit="1" customWidth="1"/>
    <col min="14" max="14" width="15" bestFit="1" customWidth="1"/>
    <col min="15" max="15" width="13.1328125" bestFit="1" customWidth="1"/>
    <col min="16" max="16" width="16" bestFit="1" customWidth="1"/>
  </cols>
  <sheetData>
    <row r="1" spans="1:11" s="8" customFormat="1" ht="14.65" thickBot="1">
      <c r="A1" s="51" t="s">
        <v>129</v>
      </c>
      <c r="B1" s="53">
        <v>-9</v>
      </c>
      <c r="C1" s="53">
        <v>-8</v>
      </c>
      <c r="D1" s="53">
        <v>-7</v>
      </c>
      <c r="E1" s="53">
        <v>-6</v>
      </c>
      <c r="F1" s="53">
        <v>-5</v>
      </c>
      <c r="G1" s="53">
        <v>-4</v>
      </c>
      <c r="H1" s="53">
        <v>-3</v>
      </c>
      <c r="I1" s="53">
        <v>-2</v>
      </c>
      <c r="J1" s="53">
        <v>-1</v>
      </c>
      <c r="K1" s="53">
        <v>0</v>
      </c>
    </row>
    <row r="2" spans="1:11">
      <c r="A2" s="6" t="s">
        <v>130</v>
      </c>
      <c r="B2" s="96">
        <f>DATE(YEAR('Valuation Model'!$B3)+B1,MONTH('Valuation Model'!$B3),DAY('Valuation Model'!$B3))</f>
        <v>41264</v>
      </c>
      <c r="C2" s="96">
        <f>DATE(YEAR('Valuation Model'!$B3)+C1,MONTH('Valuation Model'!$B3),DAY('Valuation Model'!$B3))</f>
        <v>41629</v>
      </c>
      <c r="D2" s="96">
        <f>DATE(YEAR('Valuation Model'!$B3)+D1,MONTH('Valuation Model'!$B3),DAY('Valuation Model'!$B3))</f>
        <v>41994</v>
      </c>
      <c r="E2" s="96">
        <f>DATE(YEAR('Valuation Model'!$B3)+E1,MONTH('Valuation Model'!$B3),DAY('Valuation Model'!$B3))</f>
        <v>42359</v>
      </c>
      <c r="F2" s="96">
        <f>DATE(YEAR('Valuation Model'!$B3)+F1,MONTH('Valuation Model'!$B3),DAY('Valuation Model'!$B3))</f>
        <v>42725</v>
      </c>
      <c r="G2" s="96">
        <f>DATE(YEAR('Valuation Model'!$B3)+G1,MONTH('Valuation Model'!$B3),DAY('Valuation Model'!$B3))</f>
        <v>43090</v>
      </c>
      <c r="H2" s="96">
        <f>DATE(YEAR('Valuation Model'!$B3)+H1,MONTH('Valuation Model'!$B3),DAY('Valuation Model'!$B3))</f>
        <v>43455</v>
      </c>
      <c r="I2" s="96">
        <f>DATE(YEAR('Valuation Model'!$B3)+I1,MONTH('Valuation Model'!$B3),DAY('Valuation Model'!$B3))</f>
        <v>43820</v>
      </c>
      <c r="J2" s="96">
        <f>DATE(YEAR('Valuation Model'!$B3)+J1,MONTH('Valuation Model'!$B3),DAY('Valuation Model'!$B3))</f>
        <v>44186</v>
      </c>
      <c r="K2" s="96">
        <f>DATE(YEAR('Valuation Model'!$B3)+K1,MONTH('Valuation Model'!$B3),DAY('Valuation Model'!$B3))</f>
        <v>44551</v>
      </c>
    </row>
    <row r="3" spans="1:11">
      <c r="A3" s="1" t="s">
        <v>37</v>
      </c>
      <c r="B3" s="97"/>
      <c r="C3" s="97"/>
      <c r="D3" s="97"/>
      <c r="E3" s="97"/>
      <c r="F3" s="97"/>
      <c r="G3" s="97"/>
      <c r="H3" s="97"/>
      <c r="I3" s="97"/>
      <c r="J3" s="97"/>
      <c r="K3" s="97"/>
    </row>
    <row r="4" spans="1:11">
      <c r="A4" s="98" t="s">
        <v>131</v>
      </c>
      <c r="B4" s="98"/>
      <c r="C4" s="99" t="str">
        <f t="shared" ref="C4:F4" si="0">IFERROR(C3/B3-1,"")</f>
        <v/>
      </c>
      <c r="D4" s="99" t="str">
        <f t="shared" si="0"/>
        <v/>
      </c>
      <c r="E4" s="99" t="str">
        <f t="shared" si="0"/>
        <v/>
      </c>
      <c r="F4" s="99" t="str">
        <f t="shared" si="0"/>
        <v/>
      </c>
      <c r="G4" s="99" t="str">
        <f>IFERROR(G3/F3-1,"")</f>
        <v/>
      </c>
      <c r="H4" s="99" t="str">
        <f t="shared" ref="H4:K4" si="1">IFERROR(H3/G3-1,"")</f>
        <v/>
      </c>
      <c r="I4" s="99" t="str">
        <f t="shared" si="1"/>
        <v/>
      </c>
      <c r="J4" s="99" t="str">
        <f t="shared" si="1"/>
        <v/>
      </c>
      <c r="K4" s="99" t="str">
        <f t="shared" si="1"/>
        <v/>
      </c>
    </row>
    <row r="5" spans="1:11">
      <c r="A5" s="98" t="s">
        <v>132</v>
      </c>
      <c r="B5" s="98"/>
      <c r="C5" s="98"/>
      <c r="D5" s="98"/>
      <c r="E5" s="99" t="str">
        <f>IFERROR(SUM(C3:E3)/SUM(B3:D3)-1,"")</f>
        <v/>
      </c>
      <c r="F5" s="99" t="str">
        <f t="shared" ref="F5:K5" si="2">IFERROR(SUM(D3:F3)/SUM(C3:E3)-1,"")</f>
        <v/>
      </c>
      <c r="G5" s="99" t="str">
        <f t="shared" si="2"/>
        <v/>
      </c>
      <c r="H5" s="99" t="str">
        <f t="shared" si="2"/>
        <v/>
      </c>
      <c r="I5" s="99" t="str">
        <f t="shared" si="2"/>
        <v/>
      </c>
      <c r="J5" s="99" t="str">
        <f t="shared" si="2"/>
        <v/>
      </c>
      <c r="K5" s="99" t="str">
        <f t="shared" si="2"/>
        <v/>
      </c>
    </row>
    <row r="6" spans="1:11">
      <c r="A6" s="98" t="s">
        <v>133</v>
      </c>
      <c r="B6" s="98"/>
      <c r="C6" s="98"/>
      <c r="D6" s="98"/>
      <c r="E6" s="98"/>
      <c r="F6" s="100"/>
      <c r="G6" s="99" t="str">
        <f>IFERROR(SUM(C3:G3)/SUM(B3:F3)-1,"")</f>
        <v/>
      </c>
      <c r="H6" s="99" t="str">
        <f t="shared" ref="H6:K6" si="3">IFERROR(SUM(D3:H3)/SUM(C3:G3)-1,"")</f>
        <v/>
      </c>
      <c r="I6" s="99" t="str">
        <f t="shared" si="3"/>
        <v/>
      </c>
      <c r="J6" s="99" t="str">
        <f t="shared" si="3"/>
        <v/>
      </c>
      <c r="K6" s="99" t="str">
        <f t="shared" si="3"/>
        <v/>
      </c>
    </row>
    <row r="8" spans="1:11" s="8" customFormat="1" ht="14.65" thickBot="1">
      <c r="A8" s="51" t="s">
        <v>134</v>
      </c>
      <c r="B8" s="101">
        <f t="shared" ref="B8:J8" si="4">B2</f>
        <v>41264</v>
      </c>
      <c r="C8" s="101">
        <f t="shared" si="4"/>
        <v>41629</v>
      </c>
      <c r="D8" s="101">
        <f t="shared" si="4"/>
        <v>41994</v>
      </c>
      <c r="E8" s="101">
        <f t="shared" si="4"/>
        <v>42359</v>
      </c>
      <c r="F8" s="101">
        <f t="shared" si="4"/>
        <v>42725</v>
      </c>
      <c r="G8" s="101">
        <f t="shared" si="4"/>
        <v>43090</v>
      </c>
      <c r="H8" s="101">
        <f t="shared" si="4"/>
        <v>43455</v>
      </c>
      <c r="I8" s="101">
        <f t="shared" si="4"/>
        <v>43820</v>
      </c>
      <c r="J8" s="101">
        <f t="shared" si="4"/>
        <v>44186</v>
      </c>
      <c r="K8" s="101">
        <f>K2</f>
        <v>44551</v>
      </c>
    </row>
    <row r="9" spans="1:11">
      <c r="A9" s="102" t="s">
        <v>135</v>
      </c>
      <c r="B9" s="103"/>
      <c r="C9" s="103"/>
      <c r="D9" s="103"/>
      <c r="E9" s="103"/>
      <c r="F9" s="103"/>
      <c r="G9" s="103"/>
      <c r="H9" s="103"/>
      <c r="I9" s="103"/>
      <c r="J9" s="103"/>
      <c r="K9" s="103"/>
    </row>
    <row r="10" spans="1:11">
      <c r="A10" s="104" t="s">
        <v>136</v>
      </c>
      <c r="B10" s="103"/>
      <c r="C10" s="103"/>
      <c r="D10" s="103"/>
      <c r="E10" s="103"/>
      <c r="F10" s="103"/>
      <c r="G10" s="103"/>
      <c r="H10" s="103"/>
      <c r="I10" s="103"/>
      <c r="J10" s="103"/>
      <c r="K10" s="103"/>
    </row>
    <row r="11" spans="1:11">
      <c r="A11" s="105" t="s">
        <v>137</v>
      </c>
      <c r="B11" s="4">
        <f t="shared" ref="B11:K11" si="5">B9+B10</f>
        <v>0</v>
      </c>
      <c r="C11" s="4">
        <f t="shared" si="5"/>
        <v>0</v>
      </c>
      <c r="D11" s="4">
        <f t="shared" si="5"/>
        <v>0</v>
      </c>
      <c r="E11" s="4">
        <f t="shared" si="5"/>
        <v>0</v>
      </c>
      <c r="F11" s="4">
        <f t="shared" si="5"/>
        <v>0</v>
      </c>
      <c r="G11" s="4">
        <f t="shared" si="5"/>
        <v>0</v>
      </c>
      <c r="H11" s="4">
        <f t="shared" si="5"/>
        <v>0</v>
      </c>
      <c r="I11" s="4">
        <f t="shared" si="5"/>
        <v>0</v>
      </c>
      <c r="J11" s="4">
        <f t="shared" si="5"/>
        <v>0</v>
      </c>
      <c r="K11" s="4">
        <f t="shared" si="5"/>
        <v>0</v>
      </c>
    </row>
    <row r="12" spans="1:11">
      <c r="A12" s="98" t="s">
        <v>127</v>
      </c>
      <c r="B12" s="99" t="str">
        <f t="shared" ref="B12:K12" si="6">IFERROR(B11/B$3,"")</f>
        <v/>
      </c>
      <c r="C12" s="99" t="str">
        <f t="shared" si="6"/>
        <v/>
      </c>
      <c r="D12" s="99" t="str">
        <f t="shared" si="6"/>
        <v/>
      </c>
      <c r="E12" s="99" t="str">
        <f t="shared" si="6"/>
        <v/>
      </c>
      <c r="F12" s="99" t="str">
        <f t="shared" si="6"/>
        <v/>
      </c>
      <c r="G12" s="99" t="str">
        <f t="shared" si="6"/>
        <v/>
      </c>
      <c r="H12" s="99" t="str">
        <f t="shared" si="6"/>
        <v/>
      </c>
      <c r="I12" s="99" t="str">
        <f t="shared" si="6"/>
        <v/>
      </c>
      <c r="J12" s="99" t="str">
        <f t="shared" si="6"/>
        <v/>
      </c>
      <c r="K12" s="99" t="str">
        <f t="shared" si="6"/>
        <v/>
      </c>
    </row>
    <row r="13" spans="1:11">
      <c r="A13" s="98" t="s">
        <v>138</v>
      </c>
      <c r="B13" s="98"/>
      <c r="C13" s="99" t="str">
        <f t="shared" ref="C13:F13" si="7">IFERROR(C11/B11-1,"")</f>
        <v/>
      </c>
      <c r="D13" s="99" t="str">
        <f t="shared" si="7"/>
        <v/>
      </c>
      <c r="E13" s="99" t="str">
        <f t="shared" si="7"/>
        <v/>
      </c>
      <c r="F13" s="99" t="str">
        <f t="shared" si="7"/>
        <v/>
      </c>
      <c r="G13" s="99" t="str">
        <f>IFERROR(G11/F11-1,"")</f>
        <v/>
      </c>
      <c r="H13" s="99" t="str">
        <f t="shared" ref="H13:K13" si="8">IFERROR(H11/G11-1,"")</f>
        <v/>
      </c>
      <c r="I13" s="99" t="str">
        <f t="shared" si="8"/>
        <v/>
      </c>
      <c r="J13" s="99" t="str">
        <f t="shared" si="8"/>
        <v/>
      </c>
      <c r="K13" s="99" t="str">
        <f t="shared" si="8"/>
        <v/>
      </c>
    </row>
    <row r="14" spans="1:11">
      <c r="A14" s="98" t="s">
        <v>139</v>
      </c>
      <c r="B14" s="98"/>
      <c r="C14" s="98"/>
      <c r="D14" s="98"/>
      <c r="E14" s="99" t="str">
        <f>IFERROR(SUM(C11:E11)/SUM(B11:D11)-1,"")</f>
        <v/>
      </c>
      <c r="F14" s="99" t="str">
        <f t="shared" ref="F14:K14" si="9">IFERROR(SUM(D11:F11)/SUM(C11:E11)-1,"")</f>
        <v/>
      </c>
      <c r="G14" s="99" t="str">
        <f t="shared" si="9"/>
        <v/>
      </c>
      <c r="H14" s="99" t="str">
        <f t="shared" si="9"/>
        <v/>
      </c>
      <c r="I14" s="99" t="str">
        <f t="shared" si="9"/>
        <v/>
      </c>
      <c r="J14" s="99" t="str">
        <f t="shared" si="9"/>
        <v/>
      </c>
      <c r="K14" s="99" t="str">
        <f t="shared" si="9"/>
        <v/>
      </c>
    </row>
    <row r="15" spans="1:11">
      <c r="A15" s="98" t="s">
        <v>133</v>
      </c>
      <c r="B15" s="98"/>
      <c r="C15" s="98"/>
      <c r="D15" s="98"/>
      <c r="E15" s="98"/>
      <c r="F15" s="99"/>
      <c r="G15" s="99" t="str">
        <f>IFERROR(SUM(C11:G11)/SUM(B11:F11)-1,"")</f>
        <v/>
      </c>
      <c r="H15" s="99" t="str">
        <f t="shared" ref="H15:K15" si="10">IFERROR(SUM(D11:H11)/SUM(C11:G11)-1,"")</f>
        <v/>
      </c>
      <c r="I15" s="99" t="str">
        <f t="shared" si="10"/>
        <v/>
      </c>
      <c r="J15" s="99" t="str">
        <f t="shared" si="10"/>
        <v/>
      </c>
      <c r="K15" s="99" t="str">
        <f t="shared" si="10"/>
        <v/>
      </c>
    </row>
    <row r="16" spans="1:11" s="8" customFormat="1">
      <c r="A16"/>
      <c r="B16"/>
      <c r="C16"/>
      <c r="D16"/>
      <c r="E16"/>
      <c r="F16"/>
      <c r="G16"/>
      <c r="H16"/>
      <c r="I16"/>
      <c r="J16"/>
      <c r="K16"/>
    </row>
    <row r="17" spans="1:16" s="8" customFormat="1" ht="14.65" thickBot="1">
      <c r="A17" s="51" t="s">
        <v>140</v>
      </c>
      <c r="B17" s="101">
        <f t="shared" ref="B17:J17" si="11">B2</f>
        <v>41264</v>
      </c>
      <c r="C17" s="101">
        <f t="shared" si="11"/>
        <v>41629</v>
      </c>
      <c r="D17" s="101">
        <f t="shared" si="11"/>
        <v>41994</v>
      </c>
      <c r="E17" s="101">
        <f t="shared" si="11"/>
        <v>42359</v>
      </c>
      <c r="F17" s="101">
        <f t="shared" si="11"/>
        <v>42725</v>
      </c>
      <c r="G17" s="101">
        <f t="shared" si="11"/>
        <v>43090</v>
      </c>
      <c r="H17" s="101">
        <f t="shared" si="11"/>
        <v>43455</v>
      </c>
      <c r="I17" s="101">
        <f t="shared" si="11"/>
        <v>43820</v>
      </c>
      <c r="J17" s="101">
        <f t="shared" si="11"/>
        <v>44186</v>
      </c>
      <c r="K17" s="101">
        <f>K2</f>
        <v>44551</v>
      </c>
    </row>
    <row r="18" spans="1:16">
      <c r="A18" s="102" t="s">
        <v>141</v>
      </c>
      <c r="B18" s="103"/>
      <c r="C18" s="103"/>
      <c r="D18" s="103"/>
      <c r="E18" s="103"/>
      <c r="F18" s="103"/>
      <c r="G18" s="103"/>
      <c r="H18" s="103"/>
      <c r="I18" s="103"/>
      <c r="J18" s="103"/>
      <c r="K18" s="103"/>
    </row>
    <row r="19" spans="1:16" s="107" customFormat="1">
      <c r="A19" s="104" t="s">
        <v>178</v>
      </c>
      <c r="B19" s="106">
        <f t="shared" ref="B19:K19" si="12">B18-B10</f>
        <v>0</v>
      </c>
      <c r="C19" s="106">
        <f t="shared" si="12"/>
        <v>0</v>
      </c>
      <c r="D19" s="106">
        <f t="shared" si="12"/>
        <v>0</v>
      </c>
      <c r="E19" s="106">
        <f t="shared" si="12"/>
        <v>0</v>
      </c>
      <c r="F19" s="106">
        <f t="shared" si="12"/>
        <v>0</v>
      </c>
      <c r="G19" s="106">
        <f t="shared" si="12"/>
        <v>0</v>
      </c>
      <c r="H19" s="106">
        <f t="shared" si="12"/>
        <v>0</v>
      </c>
      <c r="I19" s="106">
        <f t="shared" si="12"/>
        <v>0</v>
      </c>
      <c r="J19" s="106">
        <f t="shared" si="12"/>
        <v>0</v>
      </c>
      <c r="K19" s="106">
        <f t="shared" si="12"/>
        <v>0</v>
      </c>
    </row>
    <row r="20" spans="1:16" s="107" customFormat="1">
      <c r="A20" s="104" t="s">
        <v>142</v>
      </c>
      <c r="B20" s="103"/>
      <c r="C20" s="134"/>
      <c r="D20" s="134"/>
      <c r="E20" s="134"/>
      <c r="F20" s="134"/>
      <c r="G20" s="134"/>
      <c r="H20" s="134"/>
      <c r="I20" s="134"/>
      <c r="J20" s="134"/>
      <c r="K20" s="134"/>
    </row>
    <row r="21" spans="1:16" s="107" customFormat="1">
      <c r="A21" s="104" t="s">
        <v>143</v>
      </c>
      <c r="B21" s="103"/>
      <c r="C21" s="134"/>
      <c r="D21" s="134"/>
      <c r="E21" s="134"/>
      <c r="F21" s="134"/>
      <c r="G21" s="134"/>
      <c r="H21" s="134"/>
      <c r="I21" s="103"/>
      <c r="J21" s="103"/>
      <c r="K21" s="103"/>
    </row>
    <row r="22" spans="1:16">
      <c r="A22" s="102" t="s">
        <v>144</v>
      </c>
      <c r="B22" s="134"/>
      <c r="C22" s="134"/>
      <c r="D22" s="134"/>
      <c r="E22" s="134"/>
      <c r="F22" s="134"/>
      <c r="G22" s="134"/>
      <c r="H22" s="134"/>
      <c r="I22" s="103"/>
      <c r="J22" s="103"/>
      <c r="K22" s="103"/>
    </row>
    <row r="23" spans="1:16">
      <c r="A23" s="102" t="s">
        <v>189</v>
      </c>
      <c r="B23" s="134"/>
      <c r="C23" s="134"/>
      <c r="D23" s="134"/>
      <c r="E23" s="134"/>
      <c r="F23" s="134"/>
      <c r="G23" s="134"/>
      <c r="H23" s="134"/>
      <c r="I23" s="103"/>
      <c r="J23" s="103"/>
      <c r="K23" s="103"/>
    </row>
    <row r="24" spans="1:16">
      <c r="A24" s="108" t="s">
        <v>145</v>
      </c>
      <c r="B24" s="109"/>
      <c r="C24" s="109"/>
      <c r="D24" s="109"/>
      <c r="E24" s="109"/>
      <c r="F24" s="109"/>
      <c r="G24" s="109"/>
      <c r="H24" s="109"/>
      <c r="I24" s="109"/>
      <c r="J24" s="109"/>
      <c r="K24" s="109"/>
    </row>
    <row r="25" spans="1:16">
      <c r="A25" s="110" t="s">
        <v>146</v>
      </c>
      <c r="B25" s="132"/>
      <c r="C25" s="132"/>
      <c r="D25" s="132"/>
      <c r="E25" s="132"/>
      <c r="F25" s="132"/>
      <c r="G25" s="132"/>
      <c r="H25" s="132"/>
      <c r="I25" s="132"/>
      <c r="J25" s="132"/>
      <c r="K25" s="132"/>
      <c r="M25" s="15"/>
      <c r="N25" s="16"/>
      <c r="O25" s="16"/>
      <c r="P25" s="16"/>
    </row>
    <row r="26" spans="1:16">
      <c r="A26" s="111" t="s">
        <v>147</v>
      </c>
      <c r="B26" s="133"/>
      <c r="C26" s="132"/>
      <c r="D26" s="132"/>
      <c r="E26" s="133"/>
      <c r="F26" s="133"/>
      <c r="G26" s="133"/>
      <c r="H26" s="133"/>
      <c r="I26" s="133"/>
      <c r="J26" s="133"/>
      <c r="K26" s="133"/>
    </row>
    <row r="27" spans="1:16">
      <c r="A27" s="102" t="s">
        <v>148</v>
      </c>
      <c r="B27" s="112">
        <f t="shared" ref="B27:E27" si="13">-B24*B25+B26</f>
        <v>0</v>
      </c>
      <c r="C27" s="112">
        <f t="shared" si="13"/>
        <v>0</v>
      </c>
      <c r="D27" s="112">
        <f t="shared" si="13"/>
        <v>0</v>
      </c>
      <c r="E27" s="112">
        <f t="shared" si="13"/>
        <v>0</v>
      </c>
      <c r="F27" s="112">
        <f>-F24*F25+F26</f>
        <v>0</v>
      </c>
      <c r="G27" s="112">
        <f t="shared" ref="G27:K27" si="14">-G24*G25+G26</f>
        <v>0</v>
      </c>
      <c r="H27" s="112">
        <f t="shared" si="14"/>
        <v>0</v>
      </c>
      <c r="I27" s="112">
        <f t="shared" si="14"/>
        <v>0</v>
      </c>
      <c r="J27" s="112">
        <f t="shared" si="14"/>
        <v>0</v>
      </c>
      <c r="K27" s="112">
        <f t="shared" si="14"/>
        <v>0</v>
      </c>
    </row>
    <row r="28" spans="1:16">
      <c r="A28" s="1" t="s">
        <v>149</v>
      </c>
      <c r="B28" s="4">
        <f>B19+B20+B21+B22+B23+B27</f>
        <v>0</v>
      </c>
      <c r="C28" s="4">
        <f t="shared" ref="C28:K28" si="15">C19+C20+C21+C22+C23+C27</f>
        <v>0</v>
      </c>
      <c r="D28" s="4">
        <f t="shared" si="15"/>
        <v>0</v>
      </c>
      <c r="E28" s="4">
        <f t="shared" si="15"/>
        <v>0</v>
      </c>
      <c r="F28" s="4">
        <f t="shared" si="15"/>
        <v>0</v>
      </c>
      <c r="G28" s="4">
        <f t="shared" si="15"/>
        <v>0</v>
      </c>
      <c r="H28" s="4">
        <f t="shared" si="15"/>
        <v>0</v>
      </c>
      <c r="I28" s="4">
        <f t="shared" si="15"/>
        <v>0</v>
      </c>
      <c r="J28" s="4">
        <f t="shared" si="15"/>
        <v>0</v>
      </c>
      <c r="K28" s="4">
        <f t="shared" si="15"/>
        <v>0</v>
      </c>
    </row>
    <row r="29" spans="1:16">
      <c r="A29" s="98" t="s">
        <v>150</v>
      </c>
      <c r="B29" s="99" t="str">
        <f t="shared" ref="B29:E29" si="16">IFERROR(-B28/B11,"")</f>
        <v/>
      </c>
      <c r="C29" s="99" t="str">
        <f t="shared" si="16"/>
        <v/>
      </c>
      <c r="D29" s="99" t="str">
        <f t="shared" si="16"/>
        <v/>
      </c>
      <c r="E29" s="99" t="str">
        <f t="shared" si="16"/>
        <v/>
      </c>
      <c r="F29" s="99" t="str">
        <f>IFERROR(-F28/F11,"")</f>
        <v/>
      </c>
      <c r="G29" s="99" t="str">
        <f t="shared" ref="G29:K29" si="17">IFERROR(-G28/G11,"")</f>
        <v/>
      </c>
      <c r="H29" s="99" t="str">
        <f t="shared" si="17"/>
        <v/>
      </c>
      <c r="I29" s="99" t="str">
        <f t="shared" si="17"/>
        <v/>
      </c>
      <c r="J29" s="99" t="str">
        <f t="shared" si="17"/>
        <v/>
      </c>
      <c r="K29" s="99" t="str">
        <f t="shared" si="17"/>
        <v/>
      </c>
    </row>
    <row r="31" spans="1:16" s="8" customFormat="1" ht="14.65" thickBot="1">
      <c r="A31" s="51" t="s">
        <v>151</v>
      </c>
      <c r="B31" s="101">
        <f t="shared" ref="B31:J31" si="18">B2</f>
        <v>41264</v>
      </c>
      <c r="C31" s="101">
        <f t="shared" si="18"/>
        <v>41629</v>
      </c>
      <c r="D31" s="101">
        <f t="shared" si="18"/>
        <v>41994</v>
      </c>
      <c r="E31" s="101">
        <f t="shared" si="18"/>
        <v>42359</v>
      </c>
      <c r="F31" s="101">
        <f t="shared" si="18"/>
        <v>42725</v>
      </c>
      <c r="G31" s="101">
        <f t="shared" si="18"/>
        <v>43090</v>
      </c>
      <c r="H31" s="101">
        <f t="shared" si="18"/>
        <v>43455</v>
      </c>
      <c r="I31" s="101">
        <f t="shared" si="18"/>
        <v>43820</v>
      </c>
      <c r="J31" s="101">
        <f t="shared" si="18"/>
        <v>44186</v>
      </c>
      <c r="K31" s="101">
        <f>K2</f>
        <v>44551</v>
      </c>
    </row>
    <row r="32" spans="1:16" ht="14.65" thickBot="1">
      <c r="A32" s="113" t="s">
        <v>152</v>
      </c>
      <c r="B32" s="3">
        <f t="shared" ref="B32:K32" si="19">B11+B28</f>
        <v>0</v>
      </c>
      <c r="C32" s="3">
        <f t="shared" si="19"/>
        <v>0</v>
      </c>
      <c r="D32" s="3">
        <f t="shared" si="19"/>
        <v>0</v>
      </c>
      <c r="E32" s="3">
        <f t="shared" si="19"/>
        <v>0</v>
      </c>
      <c r="F32" s="3">
        <f t="shared" si="19"/>
        <v>0</v>
      </c>
      <c r="G32" s="3">
        <f t="shared" si="19"/>
        <v>0</v>
      </c>
      <c r="H32" s="3">
        <f t="shared" si="19"/>
        <v>0</v>
      </c>
      <c r="I32" s="3">
        <f t="shared" si="19"/>
        <v>0</v>
      </c>
      <c r="J32" s="3">
        <f t="shared" si="19"/>
        <v>0</v>
      </c>
      <c r="K32" s="3">
        <f t="shared" si="19"/>
        <v>0</v>
      </c>
    </row>
    <row r="33" spans="1:11" ht="14.65" thickTop="1">
      <c r="A33" s="98" t="s">
        <v>128</v>
      </c>
      <c r="B33" s="99" t="str">
        <f t="shared" ref="B33:K33" si="20">IFERROR(B32/B$3,"")</f>
        <v/>
      </c>
      <c r="C33" s="99" t="str">
        <f t="shared" si="20"/>
        <v/>
      </c>
      <c r="D33" s="99" t="str">
        <f t="shared" si="20"/>
        <v/>
      </c>
      <c r="E33" s="99" t="str">
        <f t="shared" si="20"/>
        <v/>
      </c>
      <c r="F33" s="99" t="str">
        <f t="shared" si="20"/>
        <v/>
      </c>
      <c r="G33" s="99" t="str">
        <f t="shared" si="20"/>
        <v/>
      </c>
      <c r="H33" s="99" t="str">
        <f t="shared" si="20"/>
        <v/>
      </c>
      <c r="I33" s="99" t="str">
        <f t="shared" si="20"/>
        <v/>
      </c>
      <c r="J33" s="99" t="str">
        <f t="shared" si="20"/>
        <v/>
      </c>
      <c r="K33" s="99" t="str">
        <f t="shared" si="20"/>
        <v/>
      </c>
    </row>
    <row r="34" spans="1:11">
      <c r="A34" s="98" t="s">
        <v>138</v>
      </c>
      <c r="B34" s="98"/>
      <c r="C34" s="99" t="str">
        <f t="shared" ref="C34:F34" si="21">IFERROR(C32/B32-1,"")</f>
        <v/>
      </c>
      <c r="D34" s="99" t="str">
        <f t="shared" si="21"/>
        <v/>
      </c>
      <c r="E34" s="99" t="str">
        <f t="shared" si="21"/>
        <v/>
      </c>
      <c r="F34" s="99" t="str">
        <f t="shared" si="21"/>
        <v/>
      </c>
      <c r="G34" s="99" t="str">
        <f>IFERROR(G32/F32-1,"")</f>
        <v/>
      </c>
      <c r="H34" s="99" t="str">
        <f t="shared" ref="H34:K34" si="22">IFERROR(H32/G32-1,"")</f>
        <v/>
      </c>
      <c r="I34" s="99" t="str">
        <f t="shared" si="22"/>
        <v/>
      </c>
      <c r="J34" s="99" t="str">
        <f t="shared" si="22"/>
        <v/>
      </c>
      <c r="K34" s="99" t="str">
        <f t="shared" si="22"/>
        <v/>
      </c>
    </row>
    <row r="35" spans="1:11">
      <c r="A35" s="98" t="s">
        <v>139</v>
      </c>
      <c r="B35" s="98"/>
      <c r="C35" s="98"/>
      <c r="D35" s="98"/>
      <c r="E35" s="99" t="str">
        <f>IFERROR(SUM(C32:E32)/SUM(B32:D32)-1,"")</f>
        <v/>
      </c>
      <c r="F35" s="99" t="str">
        <f t="shared" ref="F35" si="23">IFERROR(SUM(D32:F32)/SUM(C32:E32)-1,"")</f>
        <v/>
      </c>
      <c r="G35" s="99" t="str">
        <f t="shared" ref="G35:K35" si="24">IFERROR(SUM(E32:G32)/SUM(D32:F32)-1,"")</f>
        <v/>
      </c>
      <c r="H35" s="99" t="str">
        <f t="shared" si="24"/>
        <v/>
      </c>
      <c r="I35" s="99" t="str">
        <f t="shared" si="24"/>
        <v/>
      </c>
      <c r="J35" s="99" t="str">
        <f t="shared" si="24"/>
        <v/>
      </c>
      <c r="K35" s="99" t="str">
        <f t="shared" si="24"/>
        <v/>
      </c>
    </row>
    <row r="36" spans="1:11">
      <c r="A36" s="98" t="s">
        <v>133</v>
      </c>
      <c r="B36" s="98"/>
      <c r="C36" s="98"/>
      <c r="D36" s="98"/>
      <c r="E36" s="98"/>
      <c r="F36" s="99"/>
      <c r="G36" s="99" t="str">
        <f>IFERROR(SUM(C32:G32)/SUM(B32:F32)-1,"")</f>
        <v/>
      </c>
      <c r="H36" s="99" t="str">
        <f t="shared" ref="H36" si="25">IFERROR(SUM(D32:H32)/SUM(C32:G32)-1,"")</f>
        <v/>
      </c>
      <c r="I36" s="99" t="str">
        <f t="shared" ref="I36:K36" si="26">IFERROR(SUM(E32:I32)/SUM(D32:H32)-1,"")</f>
        <v/>
      </c>
      <c r="J36" s="99" t="str">
        <f t="shared" si="26"/>
        <v/>
      </c>
      <c r="K36" s="99" t="str">
        <f t="shared" si="26"/>
        <v/>
      </c>
    </row>
    <row r="38" spans="1:11" s="8" customFormat="1" ht="14.65" thickBot="1">
      <c r="A38" s="51" t="s">
        <v>153</v>
      </c>
      <c r="B38" s="114">
        <f t="shared" ref="B38:E38" si="27">B2</f>
        <v>41264</v>
      </c>
      <c r="C38" s="114">
        <f t="shared" si="27"/>
        <v>41629</v>
      </c>
      <c r="D38" s="114">
        <f t="shared" si="27"/>
        <v>41994</v>
      </c>
      <c r="E38" s="114">
        <f t="shared" si="27"/>
        <v>42359</v>
      </c>
      <c r="F38" s="114">
        <f>F2</f>
        <v>42725</v>
      </c>
      <c r="G38" s="114">
        <f t="shared" ref="G38:K38" si="28">G2</f>
        <v>43090</v>
      </c>
      <c r="H38" s="114">
        <f t="shared" si="28"/>
        <v>43455</v>
      </c>
      <c r="I38" s="114">
        <f t="shared" si="28"/>
        <v>43820</v>
      </c>
      <c r="J38" s="114">
        <f t="shared" si="28"/>
        <v>44186</v>
      </c>
      <c r="K38" s="114">
        <f t="shared" si="28"/>
        <v>44551</v>
      </c>
    </row>
    <row r="39" spans="1:11" s="107" customFormat="1" ht="14.65" thickBot="1">
      <c r="A39" s="115" t="s">
        <v>154</v>
      </c>
      <c r="B39" s="116">
        <f>VLOOKUP(B38,'GDP Data'!$A$2:$B$73,2,TRUE)</f>
        <v>16268.9</v>
      </c>
      <c r="C39" s="116">
        <f>VLOOKUP(C38,'GDP Data'!$A$2:$B$73,2,TRUE)</f>
        <v>16872.3</v>
      </c>
      <c r="D39" s="116">
        <f>VLOOKUP(D38,'GDP Data'!$A$2:$B$73,2,TRUE)</f>
        <v>17599.8</v>
      </c>
      <c r="E39" s="116">
        <f>VLOOKUP(E38,'GDP Data'!$A$2:$B$73,2,TRUE)</f>
        <v>18060.2</v>
      </c>
      <c r="F39" s="116">
        <f>VLOOKUP(F38,'GDP Data'!$A$2:$B$73,2,TRUE)</f>
        <v>18729.13</v>
      </c>
      <c r="G39" s="116">
        <f>VLOOKUP(G38,'GDP Data'!$A$2:$B$73,2,TRUE)</f>
        <v>19500.601999999999</v>
      </c>
      <c r="H39" s="116">
        <f>VLOOKUP(H38,'GDP Data'!$A$2:$B$73,2,TRUE)</f>
        <v>19754.101999999999</v>
      </c>
      <c r="I39" s="116">
        <f>VLOOKUP(I38,'GDP Data'!$A$2:$B$73,2,TRUE)</f>
        <v>19754.101999999999</v>
      </c>
      <c r="J39" s="116">
        <f>VLOOKUP(J38,'GDP Data'!$A$2:$B$73,2,TRUE)</f>
        <v>19754.101999999999</v>
      </c>
      <c r="K39" s="116">
        <f>VLOOKUP(K38,'GDP Data'!$A$2:$B$73,2,TRUE)</f>
        <v>19754.101999999999</v>
      </c>
    </row>
    <row r="40" spans="1:11">
      <c r="A40" t="s">
        <v>155</v>
      </c>
      <c r="C40" s="117">
        <f t="shared" ref="C40" si="29">C39/B39-1</f>
        <v>3.7089170134428251E-2</v>
      </c>
      <c r="D40" s="117">
        <f t="shared" ref="D40" si="30">D39/C39-1</f>
        <v>4.3118009992709982E-2</v>
      </c>
      <c r="E40" s="117">
        <f t="shared" ref="E40:F40" si="31">E39/D39-1</f>
        <v>2.6159388174865628E-2</v>
      </c>
      <c r="F40" s="117">
        <f t="shared" si="31"/>
        <v>3.70389032236631E-2</v>
      </c>
      <c r="G40" s="117">
        <f>G39/F39-1</f>
        <v>4.1191021686538543E-2</v>
      </c>
      <c r="H40" s="117">
        <f t="shared" ref="H40:K40" si="32">H39/G39-1</f>
        <v>1.299959867905609E-2</v>
      </c>
      <c r="I40" s="117">
        <f t="shared" si="32"/>
        <v>0</v>
      </c>
      <c r="J40" s="117">
        <f t="shared" si="32"/>
        <v>0</v>
      </c>
      <c r="K40" s="117">
        <f t="shared" si="32"/>
        <v>0</v>
      </c>
    </row>
    <row r="41" spans="1:11">
      <c r="A41" s="118" t="s">
        <v>156</v>
      </c>
      <c r="B41" s="118"/>
      <c r="C41" s="119" t="str">
        <f t="shared" ref="C41:F41" si="33">C13</f>
        <v/>
      </c>
      <c r="D41" s="119" t="str">
        <f t="shared" si="33"/>
        <v/>
      </c>
      <c r="E41" s="119" t="str">
        <f t="shared" si="33"/>
        <v/>
      </c>
      <c r="F41" s="119" t="str">
        <f t="shared" si="33"/>
        <v/>
      </c>
      <c r="G41" s="119" t="str">
        <f>G13</f>
        <v/>
      </c>
      <c r="H41" s="119" t="str">
        <f t="shared" ref="H41:K41" si="34">H13</f>
        <v/>
      </c>
      <c r="I41" s="119" t="str">
        <f t="shared" si="34"/>
        <v/>
      </c>
      <c r="J41" s="119" t="str">
        <f t="shared" si="34"/>
        <v/>
      </c>
      <c r="K41" s="119" t="str">
        <f t="shared" si="34"/>
        <v/>
      </c>
    </row>
    <row r="42" spans="1:11">
      <c r="A42" t="s">
        <v>157</v>
      </c>
      <c r="D42" s="120"/>
      <c r="E42" s="120">
        <f t="shared" ref="E42" si="35">SUM(C39:E39)/SUM(B39:D39)-1</f>
        <v>3.5302812321396981E-2</v>
      </c>
      <c r="F42" s="120">
        <f t="shared" ref="F42" si="36">SUM(D39:F39)/SUM(C39:E39)-1</f>
        <v>3.5346443997312127E-2</v>
      </c>
      <c r="G42" s="120">
        <f t="shared" ref="G42:J42" si="37">SUM(E39:G39)/SUM(D39:F39)-1</f>
        <v>3.4948196450283353E-2</v>
      </c>
      <c r="H42" s="120">
        <f t="shared" si="37"/>
        <v>3.0092450635754942E-2</v>
      </c>
      <c r="I42" s="120">
        <f t="shared" si="37"/>
        <v>1.7676858001490547E-2</v>
      </c>
      <c r="J42" s="120">
        <f t="shared" si="37"/>
        <v>4.2959689779182852E-3</v>
      </c>
      <c r="K42" s="120">
        <f>SUM(I39:K39)/SUM(H39:J39)-1</f>
        <v>0</v>
      </c>
    </row>
    <row r="43" spans="1:11">
      <c r="A43" s="118" t="s">
        <v>158</v>
      </c>
      <c r="B43" s="118"/>
      <c r="C43" s="118"/>
      <c r="D43" s="119"/>
      <c r="E43" s="119" t="str">
        <f t="shared" ref="E43:J43" si="38">E14</f>
        <v/>
      </c>
      <c r="F43" s="119" t="str">
        <f t="shared" si="38"/>
        <v/>
      </c>
      <c r="G43" s="119" t="str">
        <f t="shared" si="38"/>
        <v/>
      </c>
      <c r="H43" s="119" t="str">
        <f t="shared" si="38"/>
        <v/>
      </c>
      <c r="I43" s="119" t="str">
        <f t="shared" si="38"/>
        <v/>
      </c>
      <c r="J43" s="119" t="str">
        <f t="shared" si="38"/>
        <v/>
      </c>
      <c r="K43" s="119" t="str">
        <f>K14</f>
        <v/>
      </c>
    </row>
    <row r="44" spans="1:11">
      <c r="A44" t="s">
        <v>159</v>
      </c>
      <c r="G44" s="120">
        <f t="shared" ref="G44:J44" si="39">SUM(C39:G39)/SUM(B39:F39)-1</f>
        <v>3.6920939290415067E-2</v>
      </c>
      <c r="H44" s="120">
        <f t="shared" si="39"/>
        <v>3.1751184239682928E-2</v>
      </c>
      <c r="I44" s="120">
        <f t="shared" si="39"/>
        <v>2.300527336375402E-2</v>
      </c>
      <c r="J44" s="120">
        <f t="shared" si="39"/>
        <v>1.7681993311435606E-2</v>
      </c>
      <c r="K44" s="120">
        <f>SUM(G39:K39)/SUM(F39:J39)-1</f>
        <v>1.0513391873087974E-2</v>
      </c>
    </row>
    <row r="45" spans="1:11">
      <c r="A45" s="118" t="s">
        <v>160</v>
      </c>
      <c r="B45" s="118"/>
      <c r="C45" s="118"/>
      <c r="D45" s="118"/>
      <c r="E45" s="119"/>
      <c r="F45" s="119"/>
      <c r="G45" s="119" t="str">
        <f t="shared" ref="G45:J45" si="40">G15</f>
        <v/>
      </c>
      <c r="H45" s="119" t="str">
        <f t="shared" si="40"/>
        <v/>
      </c>
      <c r="I45" s="119" t="str">
        <f t="shared" si="40"/>
        <v/>
      </c>
      <c r="J45" s="119" t="str">
        <f t="shared" si="40"/>
        <v/>
      </c>
      <c r="K45" s="119" t="str">
        <f>K15</f>
        <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41"/>
  <sheetViews>
    <sheetView workbookViewId="0">
      <selection activeCell="L14" sqref="L14"/>
    </sheetView>
  </sheetViews>
  <sheetFormatPr defaultRowHeight="14.25"/>
  <cols>
    <col min="1" max="1" width="37.3984375" bestFit="1" customWidth="1"/>
    <col min="12" max="12" width="9.59765625" bestFit="1" customWidth="1"/>
  </cols>
  <sheetData>
    <row r="1" spans="1:16">
      <c r="A1" s="9" t="s">
        <v>37</v>
      </c>
      <c r="B1" s="122">
        <f>'Company Analysis'!B2</f>
        <v>41264</v>
      </c>
      <c r="C1" s="122">
        <f>'Company Analysis'!C2</f>
        <v>41629</v>
      </c>
      <c r="D1" s="122">
        <f>'Company Analysis'!D2</f>
        <v>41994</v>
      </c>
      <c r="E1" s="122">
        <f>'Company Analysis'!E2</f>
        <v>42359</v>
      </c>
      <c r="F1" s="122">
        <f>'Company Analysis'!F2</f>
        <v>42725</v>
      </c>
      <c r="G1" s="122">
        <f>'Company Analysis'!G2</f>
        <v>43090</v>
      </c>
      <c r="H1" s="122">
        <f>'Company Analysis'!H2</f>
        <v>43455</v>
      </c>
      <c r="I1" s="122">
        <f>'Company Analysis'!I2</f>
        <v>43820</v>
      </c>
      <c r="J1" s="122">
        <f>'Company Analysis'!J2</f>
        <v>44186</v>
      </c>
      <c r="K1" s="122">
        <f>'Company Analysis'!K2</f>
        <v>44551</v>
      </c>
      <c r="L1" s="122">
        <f>'Graphing Data'!K1+365</f>
        <v>44916</v>
      </c>
      <c r="M1" s="122">
        <f>'Graphing Data'!L1+365</f>
        <v>45281</v>
      </c>
      <c r="N1" s="122">
        <f>'Graphing Data'!M1+365</f>
        <v>45646</v>
      </c>
      <c r="O1" s="122">
        <f>'Graphing Data'!N1+365</f>
        <v>46011</v>
      </c>
      <c r="P1" s="122">
        <f>'Graphing Data'!O1+365</f>
        <v>46376</v>
      </c>
    </row>
    <row r="2" spans="1:16">
      <c r="A2" t="s">
        <v>163</v>
      </c>
      <c r="B2" s="15">
        <f>'Company Analysis'!B3</f>
        <v>0</v>
      </c>
      <c r="C2" s="15">
        <f>'Company Analysis'!C3</f>
        <v>0</v>
      </c>
      <c r="D2" s="15">
        <f>'Company Analysis'!D3</f>
        <v>0</v>
      </c>
      <c r="E2" s="15">
        <f>'Company Analysis'!E3</f>
        <v>0</v>
      </c>
      <c r="F2" s="15">
        <f>'Company Analysis'!F3</f>
        <v>0</v>
      </c>
      <c r="G2" s="15">
        <f>'Company Analysis'!G3</f>
        <v>0</v>
      </c>
      <c r="H2" s="15">
        <f>'Company Analysis'!H3</f>
        <v>0</v>
      </c>
      <c r="I2" s="15">
        <f>'Company Analysis'!I3</f>
        <v>0</v>
      </c>
      <c r="J2" s="15">
        <f>'Company Analysis'!J3</f>
        <v>0</v>
      </c>
      <c r="K2" s="15">
        <f>'Company Analysis'!K3</f>
        <v>0</v>
      </c>
      <c r="L2" s="15"/>
      <c r="M2" s="15"/>
      <c r="N2" s="15"/>
      <c r="O2" s="15"/>
      <c r="P2" s="15"/>
    </row>
    <row r="3" spans="1:16">
      <c r="A3" t="s">
        <v>164</v>
      </c>
      <c r="L3" s="15">
        <f>$K$2*(1+'Valuation Model'!C8)</f>
        <v>0</v>
      </c>
      <c r="M3" s="15">
        <f>L3*(1+'Valuation Model'!D8)</f>
        <v>0</v>
      </c>
      <c r="N3" s="15">
        <f>M3*(1+'Valuation Model'!E8)</f>
        <v>0</v>
      </c>
      <c r="O3" s="15">
        <f>N3*(1+'Valuation Model'!F8)</f>
        <v>0</v>
      </c>
      <c r="P3" s="15">
        <f>O3*(1+'Valuation Model'!G8)</f>
        <v>0</v>
      </c>
    </row>
    <row r="4" spans="1:16">
      <c r="A4" t="s">
        <v>165</v>
      </c>
      <c r="L4" s="15">
        <f>$K$2*(1+'Valuation Model'!C9)</f>
        <v>0</v>
      </c>
      <c r="M4" s="15">
        <f>L4*(1+'Valuation Model'!D9)</f>
        <v>0</v>
      </c>
      <c r="N4" s="15">
        <f>M4*(1+'Valuation Model'!E9)</f>
        <v>0</v>
      </c>
      <c r="O4" s="15">
        <f>N4*(1+'Valuation Model'!F9)</f>
        <v>0</v>
      </c>
      <c r="P4" s="15">
        <f>O4*(1+'Valuation Model'!G9)</f>
        <v>0</v>
      </c>
    </row>
    <row r="5" spans="1:16">
      <c r="A5" t="s">
        <v>166</v>
      </c>
      <c r="C5" s="17" t="e">
        <f>C2/B2-1</f>
        <v>#DIV/0!</v>
      </c>
      <c r="D5" s="17" t="e">
        <f t="shared" ref="D5:K5" si="0">D2/C2-1</f>
        <v>#DIV/0!</v>
      </c>
      <c r="E5" s="17" t="e">
        <f t="shared" si="0"/>
        <v>#DIV/0!</v>
      </c>
      <c r="F5" s="17" t="e">
        <f t="shared" si="0"/>
        <v>#DIV/0!</v>
      </c>
      <c r="G5" s="17" t="e">
        <f t="shared" si="0"/>
        <v>#DIV/0!</v>
      </c>
      <c r="H5" s="17" t="e">
        <f t="shared" si="0"/>
        <v>#DIV/0!</v>
      </c>
      <c r="I5" s="17" t="e">
        <f t="shared" si="0"/>
        <v>#DIV/0!</v>
      </c>
      <c r="J5" s="17" t="e">
        <f t="shared" si="0"/>
        <v>#DIV/0!</v>
      </c>
      <c r="K5" s="17" t="e">
        <f t="shared" si="0"/>
        <v>#DIV/0!</v>
      </c>
    </row>
    <row r="6" spans="1:16">
      <c r="A6" t="s">
        <v>167</v>
      </c>
      <c r="K6" s="89" t="e">
        <f>K5</f>
        <v>#DIV/0!</v>
      </c>
      <c r="L6" s="89">
        <f>'Valuation Model'!C8</f>
        <v>0</v>
      </c>
      <c r="M6" s="89">
        <f>'Valuation Model'!D8</f>
        <v>0</v>
      </c>
      <c r="N6" s="89">
        <f>'Valuation Model'!E8</f>
        <v>0</v>
      </c>
      <c r="O6" s="89">
        <f>'Valuation Model'!F8</f>
        <v>0</v>
      </c>
      <c r="P6" s="89">
        <f>'Valuation Model'!G8</f>
        <v>0</v>
      </c>
    </row>
    <row r="7" spans="1:16">
      <c r="A7" t="s">
        <v>168</v>
      </c>
      <c r="K7" s="89" t="e">
        <f>K5</f>
        <v>#DIV/0!</v>
      </c>
      <c r="L7" s="89">
        <f>'Valuation Model'!C9</f>
        <v>0</v>
      </c>
      <c r="M7" s="89">
        <f>'Valuation Model'!D9</f>
        <v>0</v>
      </c>
      <c r="N7" s="89">
        <f>'Valuation Model'!E9</f>
        <v>0</v>
      </c>
      <c r="O7" s="89">
        <f>'Valuation Model'!F9</f>
        <v>0</v>
      </c>
      <c r="P7" s="89">
        <f>'Valuation Model'!G9</f>
        <v>0</v>
      </c>
    </row>
    <row r="9" spans="1:16">
      <c r="A9" s="9" t="s">
        <v>71</v>
      </c>
      <c r="B9" s="122">
        <f>B1</f>
        <v>41264</v>
      </c>
      <c r="C9" s="122">
        <f t="shared" ref="C9:P9" si="1">C1</f>
        <v>41629</v>
      </c>
      <c r="D9" s="122">
        <f t="shared" si="1"/>
        <v>41994</v>
      </c>
      <c r="E9" s="122">
        <f t="shared" si="1"/>
        <v>42359</v>
      </c>
      <c r="F9" s="122">
        <f t="shared" si="1"/>
        <v>42725</v>
      </c>
      <c r="G9" s="122">
        <f t="shared" si="1"/>
        <v>43090</v>
      </c>
      <c r="H9" s="122">
        <f t="shared" si="1"/>
        <v>43455</v>
      </c>
      <c r="I9" s="122">
        <f t="shared" si="1"/>
        <v>43820</v>
      </c>
      <c r="J9" s="122">
        <f t="shared" si="1"/>
        <v>44186</v>
      </c>
      <c r="K9" s="122">
        <f t="shared" si="1"/>
        <v>44551</v>
      </c>
      <c r="L9" s="122">
        <f t="shared" si="1"/>
        <v>44916</v>
      </c>
      <c r="M9" s="122">
        <f t="shared" si="1"/>
        <v>45281</v>
      </c>
      <c r="N9" s="122">
        <f t="shared" si="1"/>
        <v>45646</v>
      </c>
      <c r="O9" s="122">
        <f t="shared" si="1"/>
        <v>46011</v>
      </c>
      <c r="P9" s="122">
        <f t="shared" si="1"/>
        <v>46376</v>
      </c>
    </row>
    <row r="10" spans="1:16">
      <c r="A10" t="s">
        <v>169</v>
      </c>
      <c r="B10" s="15">
        <f>'Company Analysis'!B11</f>
        <v>0</v>
      </c>
      <c r="C10" s="15">
        <f>'Company Analysis'!C11</f>
        <v>0</v>
      </c>
      <c r="D10" s="15">
        <f>'Company Analysis'!D11</f>
        <v>0</v>
      </c>
      <c r="E10" s="15">
        <f>'Company Analysis'!E11</f>
        <v>0</v>
      </c>
      <c r="F10" s="15">
        <f>'Company Analysis'!F11</f>
        <v>0</v>
      </c>
      <c r="G10" s="15">
        <f>'Company Analysis'!G11</f>
        <v>0</v>
      </c>
      <c r="H10" s="15">
        <f>'Company Analysis'!H11</f>
        <v>0</v>
      </c>
      <c r="I10" s="15">
        <f>'Company Analysis'!I11</f>
        <v>0</v>
      </c>
      <c r="J10" s="15">
        <f>'Company Analysis'!J11</f>
        <v>0</v>
      </c>
      <c r="K10" s="15">
        <f>'Company Analysis'!K11</f>
        <v>0</v>
      </c>
    </row>
    <row r="11" spans="1:16">
      <c r="A11" t="s">
        <v>170</v>
      </c>
      <c r="L11" s="16">
        <f>'Valuation Model'!C10*'Graphing Data'!L3</f>
        <v>0</v>
      </c>
      <c r="M11" s="16">
        <f>'Valuation Model'!D10*'Graphing Data'!M3</f>
        <v>0</v>
      </c>
      <c r="N11" s="16">
        <f>'Valuation Model'!E10*'Graphing Data'!N3</f>
        <v>0</v>
      </c>
      <c r="O11" s="16">
        <f>'Valuation Model'!F10*'Graphing Data'!O3</f>
        <v>0</v>
      </c>
      <c r="P11" s="16">
        <f>'Valuation Model'!G10*'Graphing Data'!P3</f>
        <v>0</v>
      </c>
    </row>
    <row r="12" spans="1:16">
      <c r="A12" t="s">
        <v>171</v>
      </c>
      <c r="L12" s="16">
        <f>'Valuation Model'!C11*'Graphing Data'!L4</f>
        <v>0</v>
      </c>
      <c r="M12" s="16">
        <f>'Valuation Model'!D11*'Graphing Data'!M4</f>
        <v>0</v>
      </c>
      <c r="N12" s="16">
        <f>'Valuation Model'!E11*'Graphing Data'!N4</f>
        <v>0</v>
      </c>
      <c r="O12" s="16">
        <f>'Valuation Model'!F11*'Graphing Data'!O4</f>
        <v>0</v>
      </c>
      <c r="P12" s="16">
        <f>'Valuation Model'!G11*'Graphing Data'!P4</f>
        <v>0</v>
      </c>
    </row>
    <row r="13" spans="1:16">
      <c r="A13" t="s">
        <v>172</v>
      </c>
      <c r="B13" s="17" t="e">
        <f>B10/B2</f>
        <v>#DIV/0!</v>
      </c>
      <c r="C13" s="17" t="e">
        <f t="shared" ref="C13:K13" si="2">C10/C2</f>
        <v>#DIV/0!</v>
      </c>
      <c r="D13" s="17" t="e">
        <f t="shared" si="2"/>
        <v>#DIV/0!</v>
      </c>
      <c r="E13" s="17" t="e">
        <f t="shared" si="2"/>
        <v>#DIV/0!</v>
      </c>
      <c r="F13" s="17" t="e">
        <f t="shared" si="2"/>
        <v>#DIV/0!</v>
      </c>
      <c r="G13" s="17" t="e">
        <f t="shared" si="2"/>
        <v>#DIV/0!</v>
      </c>
      <c r="H13" s="17" t="e">
        <f t="shared" si="2"/>
        <v>#DIV/0!</v>
      </c>
      <c r="I13" s="17" t="e">
        <f t="shared" si="2"/>
        <v>#DIV/0!</v>
      </c>
      <c r="J13" s="17" t="e">
        <f t="shared" si="2"/>
        <v>#DIV/0!</v>
      </c>
      <c r="K13" s="17" t="e">
        <f t="shared" si="2"/>
        <v>#DIV/0!</v>
      </c>
    </row>
    <row r="14" spans="1:16">
      <c r="A14" t="s">
        <v>173</v>
      </c>
      <c r="K14" s="89" t="e">
        <f>K13</f>
        <v>#DIV/0!</v>
      </c>
      <c r="L14" s="89">
        <f>'Valuation Model'!C10</f>
        <v>0</v>
      </c>
      <c r="M14" s="89">
        <f>'Valuation Model'!D10</f>
        <v>0</v>
      </c>
      <c r="N14" s="89">
        <f>'Valuation Model'!E10</f>
        <v>0</v>
      </c>
      <c r="O14" s="89">
        <f>'Valuation Model'!F10</f>
        <v>0</v>
      </c>
      <c r="P14" s="89">
        <f>'Valuation Model'!G10</f>
        <v>0</v>
      </c>
    </row>
    <row r="15" spans="1:16">
      <c r="A15" t="s">
        <v>174</v>
      </c>
      <c r="K15" s="89" t="e">
        <f>K13</f>
        <v>#DIV/0!</v>
      </c>
      <c r="L15" s="89">
        <f>'Valuation Model'!C11</f>
        <v>0</v>
      </c>
      <c r="M15" s="89">
        <f>'Valuation Model'!D11</f>
        <v>0</v>
      </c>
      <c r="N15" s="89">
        <f>'Valuation Model'!E11</f>
        <v>0</v>
      </c>
      <c r="O15" s="89">
        <f>'Valuation Model'!F11</f>
        <v>0</v>
      </c>
      <c r="P15" s="89">
        <f>'Valuation Model'!G11</f>
        <v>0</v>
      </c>
    </row>
    <row r="17" spans="1:16">
      <c r="A17" s="9" t="s">
        <v>175</v>
      </c>
      <c r="B17" s="122">
        <f>B9</f>
        <v>41264</v>
      </c>
      <c r="C17" s="122">
        <f t="shared" ref="C17:K17" si="3">C9</f>
        <v>41629</v>
      </c>
      <c r="D17" s="122">
        <f t="shared" si="3"/>
        <v>41994</v>
      </c>
      <c r="E17" s="122">
        <f t="shared" si="3"/>
        <v>42359</v>
      </c>
      <c r="F17" s="122">
        <f t="shared" si="3"/>
        <v>42725</v>
      </c>
      <c r="G17" s="122">
        <f t="shared" si="3"/>
        <v>43090</v>
      </c>
      <c r="H17" s="122">
        <f t="shared" si="3"/>
        <v>43455</v>
      </c>
      <c r="I17" s="122">
        <f t="shared" si="3"/>
        <v>43820</v>
      </c>
      <c r="J17" s="122">
        <f t="shared" si="3"/>
        <v>44186</v>
      </c>
      <c r="K17" s="122">
        <f t="shared" si="3"/>
        <v>44551</v>
      </c>
    </row>
    <row r="18" spans="1:16">
      <c r="A18" t="s">
        <v>137</v>
      </c>
      <c r="B18" s="16">
        <f>B10</f>
        <v>0</v>
      </c>
      <c r="C18" s="16">
        <f t="shared" ref="C18:K18" si="4">C10</f>
        <v>0</v>
      </c>
      <c r="D18" s="16">
        <f t="shared" si="4"/>
        <v>0</v>
      </c>
      <c r="E18" s="16">
        <f t="shared" si="4"/>
        <v>0</v>
      </c>
      <c r="F18" s="16">
        <f t="shared" si="4"/>
        <v>0</v>
      </c>
      <c r="G18" s="16">
        <f t="shared" si="4"/>
        <v>0</v>
      </c>
      <c r="H18" s="16">
        <f t="shared" si="4"/>
        <v>0</v>
      </c>
      <c r="I18" s="16">
        <f t="shared" si="4"/>
        <v>0</v>
      </c>
      <c r="J18" s="16">
        <f t="shared" si="4"/>
        <v>0</v>
      </c>
      <c r="K18" s="16">
        <f t="shared" si="4"/>
        <v>0</v>
      </c>
    </row>
    <row r="19" spans="1:16">
      <c r="A19" t="s">
        <v>176</v>
      </c>
      <c r="B19" s="16">
        <f>-'Company Analysis'!B28</f>
        <v>0</v>
      </c>
      <c r="C19" s="16">
        <f>-'Company Analysis'!C28</f>
        <v>0</v>
      </c>
      <c r="D19" s="16">
        <f>-'Company Analysis'!D28</f>
        <v>0</v>
      </c>
      <c r="E19" s="16">
        <f>-'Company Analysis'!E28</f>
        <v>0</v>
      </c>
      <c r="F19" s="16">
        <f>-'Company Analysis'!F28</f>
        <v>0</v>
      </c>
      <c r="G19" s="16">
        <f>-'Company Analysis'!G28</f>
        <v>0</v>
      </c>
      <c r="H19" s="16">
        <f>-'Company Analysis'!H28</f>
        <v>0</v>
      </c>
      <c r="I19" s="16">
        <f>-'Company Analysis'!I28</f>
        <v>0</v>
      </c>
      <c r="J19" s="16">
        <f>-'Company Analysis'!J28</f>
        <v>0</v>
      </c>
      <c r="K19" s="16">
        <f>-'Company Analysis'!K28</f>
        <v>0</v>
      </c>
    </row>
    <row r="21" spans="1:16">
      <c r="A21" s="9" t="s">
        <v>177</v>
      </c>
      <c r="B21" s="122">
        <f>B17</f>
        <v>41264</v>
      </c>
      <c r="C21" s="122">
        <f t="shared" ref="C21:K21" si="5">C17</f>
        <v>41629</v>
      </c>
      <c r="D21" s="122">
        <f t="shared" si="5"/>
        <v>41994</v>
      </c>
      <c r="E21" s="122">
        <f t="shared" si="5"/>
        <v>42359</v>
      </c>
      <c r="F21" s="122">
        <f t="shared" si="5"/>
        <v>42725</v>
      </c>
      <c r="G21" s="122">
        <f t="shared" si="5"/>
        <v>43090</v>
      </c>
      <c r="H21" s="122">
        <f t="shared" si="5"/>
        <v>43455</v>
      </c>
      <c r="I21" s="122">
        <f t="shared" si="5"/>
        <v>43820</v>
      </c>
      <c r="J21" s="122">
        <f t="shared" si="5"/>
        <v>44186</v>
      </c>
      <c r="K21" s="122">
        <f t="shared" si="5"/>
        <v>44551</v>
      </c>
    </row>
    <row r="22" spans="1:16">
      <c r="A22" t="str">
        <f>'Company Analysis'!A19</f>
        <v>Capex in Excess of Maintenance</v>
      </c>
      <c r="B22" s="16">
        <f>-'Company Analysis'!B19</f>
        <v>0</v>
      </c>
      <c r="C22" s="16">
        <f>-'Company Analysis'!C19</f>
        <v>0</v>
      </c>
      <c r="D22" s="16">
        <f>-'Company Analysis'!D19</f>
        <v>0</v>
      </c>
      <c r="E22" s="16">
        <f>-'Company Analysis'!E19</f>
        <v>0</v>
      </c>
      <c r="F22" s="16">
        <f>-'Company Analysis'!F19</f>
        <v>0</v>
      </c>
      <c r="G22" s="16">
        <f>-'Company Analysis'!G19</f>
        <v>0</v>
      </c>
      <c r="H22" s="16">
        <f>-'Company Analysis'!H19</f>
        <v>0</v>
      </c>
      <c r="I22" s="16">
        <f>-'Company Analysis'!I19</f>
        <v>0</v>
      </c>
      <c r="J22" s="16">
        <f>-'Company Analysis'!J19</f>
        <v>0</v>
      </c>
      <c r="K22" s="16">
        <f>-'Company Analysis'!K19</f>
        <v>0</v>
      </c>
    </row>
    <row r="23" spans="1:16">
      <c r="A23" t="s">
        <v>179</v>
      </c>
      <c r="B23" s="16">
        <f>-'Company Analysis'!B20</f>
        <v>0</v>
      </c>
      <c r="C23" s="16">
        <f>-'Company Analysis'!C20</f>
        <v>0</v>
      </c>
      <c r="D23" s="16">
        <f>-'Company Analysis'!D20</f>
        <v>0</v>
      </c>
      <c r="E23" s="16">
        <f>-'Company Analysis'!E20</f>
        <v>0</v>
      </c>
      <c r="F23" s="16">
        <f>-'Company Analysis'!F20</f>
        <v>0</v>
      </c>
      <c r="G23" s="16">
        <f>-'Company Analysis'!G20</f>
        <v>0</v>
      </c>
      <c r="H23" s="16">
        <f>-'Company Analysis'!H20</f>
        <v>0</v>
      </c>
      <c r="I23" s="16">
        <f>-'Company Analysis'!I20</f>
        <v>0</v>
      </c>
      <c r="J23" s="16">
        <f>-'Company Analysis'!J20</f>
        <v>0</v>
      </c>
      <c r="K23" s="16">
        <f>-'Company Analysis'!K20</f>
        <v>0</v>
      </c>
    </row>
    <row r="24" spans="1:16">
      <c r="A24" t="s">
        <v>180</v>
      </c>
      <c r="B24" s="16">
        <f>-'Company Analysis'!B21</f>
        <v>0</v>
      </c>
      <c r="C24" s="16">
        <f>-'Company Analysis'!C21</f>
        <v>0</v>
      </c>
      <c r="D24" s="16">
        <f>-'Company Analysis'!D21</f>
        <v>0</v>
      </c>
      <c r="E24" s="16">
        <f>-'Company Analysis'!E21</f>
        <v>0</v>
      </c>
      <c r="F24" s="16">
        <f>-'Company Analysis'!F21</f>
        <v>0</v>
      </c>
      <c r="G24" s="16">
        <f>-'Company Analysis'!G21</f>
        <v>0</v>
      </c>
      <c r="H24" s="16">
        <f>-'Company Analysis'!H21</f>
        <v>0</v>
      </c>
      <c r="I24" s="16">
        <f>-'Company Analysis'!I21</f>
        <v>0</v>
      </c>
      <c r="J24" s="16">
        <f>-'Company Analysis'!J21</f>
        <v>0</v>
      </c>
      <c r="K24" s="16">
        <f>-'Company Analysis'!K21</f>
        <v>0</v>
      </c>
    </row>
    <row r="25" spans="1:16">
      <c r="A25" t="s">
        <v>181</v>
      </c>
      <c r="B25" s="16">
        <f>-'Company Analysis'!B22</f>
        <v>0</v>
      </c>
      <c r="C25" s="16">
        <f>-'Company Analysis'!C22</f>
        <v>0</v>
      </c>
      <c r="D25" s="16">
        <f>-'Company Analysis'!D22</f>
        <v>0</v>
      </c>
      <c r="E25" s="16">
        <f>-'Company Analysis'!E22</f>
        <v>0</v>
      </c>
      <c r="F25" s="16">
        <f>-'Company Analysis'!F22</f>
        <v>0</v>
      </c>
      <c r="G25" s="16">
        <f>-'Company Analysis'!G22</f>
        <v>0</v>
      </c>
      <c r="H25" s="16">
        <f>-'Company Analysis'!H22</f>
        <v>0</v>
      </c>
      <c r="I25" s="16">
        <f>-'Company Analysis'!I22</f>
        <v>0</v>
      </c>
      <c r="J25" s="16">
        <f>-'Company Analysis'!J22</f>
        <v>0</v>
      </c>
      <c r="K25" s="16">
        <f>-'Company Analysis'!K22</f>
        <v>0</v>
      </c>
    </row>
    <row r="26" spans="1:16">
      <c r="A26" t="s">
        <v>190</v>
      </c>
      <c r="B26" s="16">
        <f>'Company Analysis'!B23</f>
        <v>0</v>
      </c>
      <c r="C26" s="16">
        <f>'Company Analysis'!C23</f>
        <v>0</v>
      </c>
      <c r="D26" s="16">
        <f>'Company Analysis'!D23</f>
        <v>0</v>
      </c>
      <c r="E26" s="16">
        <f>'Company Analysis'!E23</f>
        <v>0</v>
      </c>
      <c r="F26" s="16">
        <f>'Company Analysis'!F23</f>
        <v>0</v>
      </c>
      <c r="G26" s="16">
        <f>'Company Analysis'!G23</f>
        <v>0</v>
      </c>
      <c r="H26" s="16">
        <f>'Company Analysis'!H23</f>
        <v>0</v>
      </c>
      <c r="I26" s="16">
        <f>'Company Analysis'!I23</f>
        <v>0</v>
      </c>
      <c r="J26" s="16">
        <f>'Company Analysis'!J23</f>
        <v>0</v>
      </c>
      <c r="K26" s="16">
        <f>'Company Analysis'!K23</f>
        <v>0</v>
      </c>
    </row>
    <row r="27" spans="1:16">
      <c r="A27" t="s">
        <v>182</v>
      </c>
      <c r="B27" s="16">
        <f>-'Company Analysis'!B27</f>
        <v>0</v>
      </c>
      <c r="C27" s="16">
        <f>-'Company Analysis'!C27</f>
        <v>0</v>
      </c>
      <c r="D27" s="16">
        <f>-'Company Analysis'!D27</f>
        <v>0</v>
      </c>
      <c r="E27" s="16">
        <f>-'Company Analysis'!E27</f>
        <v>0</v>
      </c>
      <c r="F27" s="16">
        <f>-'Company Analysis'!F27</f>
        <v>0</v>
      </c>
      <c r="G27" s="16">
        <f>-'Company Analysis'!G27</f>
        <v>0</v>
      </c>
      <c r="H27" s="16">
        <f>-'Company Analysis'!H27</f>
        <v>0</v>
      </c>
      <c r="I27" s="16">
        <f>-'Company Analysis'!I27</f>
        <v>0</v>
      </c>
      <c r="J27" s="16">
        <f>-'Company Analysis'!J27</f>
        <v>0</v>
      </c>
      <c r="K27" s="16">
        <f>-'Company Analysis'!K27</f>
        <v>0</v>
      </c>
    </row>
    <row r="29" spans="1:16">
      <c r="A29" s="9" t="s">
        <v>73</v>
      </c>
      <c r="B29" s="122">
        <f>B1</f>
        <v>41264</v>
      </c>
      <c r="C29" s="122">
        <f t="shared" ref="C29:P29" si="6">C1</f>
        <v>41629</v>
      </c>
      <c r="D29" s="122">
        <f t="shared" si="6"/>
        <v>41994</v>
      </c>
      <c r="E29" s="122">
        <f t="shared" si="6"/>
        <v>42359</v>
      </c>
      <c r="F29" s="122">
        <f t="shared" si="6"/>
        <v>42725</v>
      </c>
      <c r="G29" s="122">
        <f t="shared" si="6"/>
        <v>43090</v>
      </c>
      <c r="H29" s="122">
        <f t="shared" si="6"/>
        <v>43455</v>
      </c>
      <c r="I29" s="122">
        <f t="shared" si="6"/>
        <v>43820</v>
      </c>
      <c r="J29" s="122">
        <f t="shared" si="6"/>
        <v>44186</v>
      </c>
      <c r="K29" s="122">
        <f t="shared" si="6"/>
        <v>44551</v>
      </c>
      <c r="L29" s="122">
        <f t="shared" si="6"/>
        <v>44916</v>
      </c>
      <c r="M29" s="122">
        <f t="shared" si="6"/>
        <v>45281</v>
      </c>
      <c r="N29" s="122">
        <f t="shared" si="6"/>
        <v>45646</v>
      </c>
      <c r="O29" s="122">
        <f t="shared" si="6"/>
        <v>46011</v>
      </c>
      <c r="P29" s="122">
        <f t="shared" si="6"/>
        <v>46376</v>
      </c>
    </row>
    <row r="30" spans="1:16">
      <c r="A30" t="s">
        <v>183</v>
      </c>
      <c r="B30" s="16">
        <f>'Company Analysis'!B32</f>
        <v>0</v>
      </c>
      <c r="C30" s="16">
        <f>'Company Analysis'!C32</f>
        <v>0</v>
      </c>
      <c r="D30" s="16">
        <f>'Company Analysis'!D32</f>
        <v>0</v>
      </c>
      <c r="E30" s="16">
        <f>'Company Analysis'!E32</f>
        <v>0</v>
      </c>
      <c r="F30" s="16">
        <f>'Company Analysis'!F32</f>
        <v>0</v>
      </c>
      <c r="G30" s="16">
        <f>'Company Analysis'!G32</f>
        <v>0</v>
      </c>
      <c r="H30" s="16">
        <f>'Company Analysis'!H32</f>
        <v>0</v>
      </c>
      <c r="I30" s="16">
        <f>'Company Analysis'!I32</f>
        <v>0</v>
      </c>
      <c r="J30" s="16">
        <f>'Company Analysis'!J32</f>
        <v>0</v>
      </c>
      <c r="K30" s="16">
        <f>'Company Analysis'!K32</f>
        <v>0</v>
      </c>
    </row>
    <row r="31" spans="1:16">
      <c r="A31" t="s">
        <v>184</v>
      </c>
      <c r="L31" s="16">
        <f>IF('Valuation Model'!$B$12=1,L11*(1-'Valuation Model'!C12),L11+'Valuation Model'!C13)</f>
        <v>0</v>
      </c>
      <c r="M31" s="16">
        <f>IF('Valuation Model'!$B$12=1,M11*(1-'Valuation Model'!D12),M11+'Valuation Model'!D13)</f>
        <v>0</v>
      </c>
      <c r="N31" s="16">
        <f>IF('Valuation Model'!$B$12=1,N11*(1-'Valuation Model'!E12),N11+'Valuation Model'!E13)</f>
        <v>0</v>
      </c>
      <c r="O31" s="16">
        <f>IF('Valuation Model'!$B$12=1,O11*(1-'Valuation Model'!F12),O11+'Valuation Model'!F13)</f>
        <v>0</v>
      </c>
      <c r="P31" s="16">
        <f>IF('Valuation Model'!$B$12=1,P11*(1-'Valuation Model'!G12),P11+'Valuation Model'!G13)</f>
        <v>0</v>
      </c>
    </row>
    <row r="32" spans="1:16">
      <c r="A32" t="s">
        <v>185</v>
      </c>
      <c r="L32" s="16">
        <f>IF('Valuation Model'!$B$12=1,L12*(1-'Valuation Model'!C12),L12+'Valuation Model'!C13)</f>
        <v>0</v>
      </c>
      <c r="M32" s="16">
        <f>IF('Valuation Model'!$B$12=1,M12*(1-'Valuation Model'!D12),M12+'Valuation Model'!D13)</f>
        <v>0</v>
      </c>
      <c r="N32" s="16">
        <f>IF('Valuation Model'!$B$12=1,N12*(1-'Valuation Model'!E12),N12+'Valuation Model'!E13)</f>
        <v>0</v>
      </c>
      <c r="O32" s="16">
        <f>IF('Valuation Model'!$B$12=1,O12*(1-'Valuation Model'!F12),O12+'Valuation Model'!F13)</f>
        <v>0</v>
      </c>
      <c r="P32" s="16">
        <f>IF('Valuation Model'!$B$12=1,P12*(1-'Valuation Model'!G12),P12+'Valuation Model'!G13)</f>
        <v>0</v>
      </c>
    </row>
    <row r="33" spans="1:16">
      <c r="A33" t="s">
        <v>186</v>
      </c>
      <c r="B33" s="17" t="e">
        <f t="shared" ref="B33:J33" si="7">B30/B2</f>
        <v>#DIV/0!</v>
      </c>
      <c r="C33" s="17" t="e">
        <f t="shared" si="7"/>
        <v>#DIV/0!</v>
      </c>
      <c r="D33" s="17" t="e">
        <f t="shared" si="7"/>
        <v>#DIV/0!</v>
      </c>
      <c r="E33" s="17" t="e">
        <f t="shared" si="7"/>
        <v>#DIV/0!</v>
      </c>
      <c r="F33" s="17" t="e">
        <f t="shared" si="7"/>
        <v>#DIV/0!</v>
      </c>
      <c r="G33" s="17" t="e">
        <f t="shared" si="7"/>
        <v>#DIV/0!</v>
      </c>
      <c r="H33" s="17" t="e">
        <f t="shared" si="7"/>
        <v>#DIV/0!</v>
      </c>
      <c r="I33" s="17" t="e">
        <f t="shared" si="7"/>
        <v>#DIV/0!</v>
      </c>
      <c r="J33" s="17" t="e">
        <f t="shared" si="7"/>
        <v>#DIV/0!</v>
      </c>
      <c r="K33" s="17" t="e">
        <f>K30/K2</f>
        <v>#DIV/0!</v>
      </c>
    </row>
    <row r="34" spans="1:16">
      <c r="A34" t="s">
        <v>187</v>
      </c>
      <c r="K34" s="89" t="e">
        <f>K33</f>
        <v>#DIV/0!</v>
      </c>
      <c r="L34" s="123" t="e">
        <f>L31/L3</f>
        <v>#DIV/0!</v>
      </c>
      <c r="M34" s="123" t="e">
        <f t="shared" ref="M34:P34" si="8">M31/M3</f>
        <v>#DIV/0!</v>
      </c>
      <c r="N34" s="123" t="e">
        <f t="shared" si="8"/>
        <v>#DIV/0!</v>
      </c>
      <c r="O34" s="123" t="e">
        <f t="shared" si="8"/>
        <v>#DIV/0!</v>
      </c>
      <c r="P34" s="123" t="e">
        <f t="shared" si="8"/>
        <v>#DIV/0!</v>
      </c>
    </row>
    <row r="35" spans="1:16">
      <c r="A35" t="s">
        <v>188</v>
      </c>
      <c r="K35" s="89" t="e">
        <f>K33</f>
        <v>#DIV/0!</v>
      </c>
      <c r="L35" s="123" t="e">
        <f>L32/L4</f>
        <v>#DIV/0!</v>
      </c>
      <c r="M35" s="123" t="e">
        <f t="shared" ref="M35:P35" si="9">M32/M4</f>
        <v>#DIV/0!</v>
      </c>
      <c r="N35" s="123" t="e">
        <f t="shared" si="9"/>
        <v>#DIV/0!</v>
      </c>
      <c r="O35" s="123" t="e">
        <f t="shared" si="9"/>
        <v>#DIV/0!</v>
      </c>
      <c r="P35" s="123" t="e">
        <f t="shared" si="9"/>
        <v>#DIV/0!</v>
      </c>
    </row>
    <row r="37" spans="1:16">
      <c r="A37" s="9" t="s">
        <v>153</v>
      </c>
      <c r="B37" s="122">
        <f>B1</f>
        <v>41264</v>
      </c>
      <c r="C37" s="122">
        <f t="shared" ref="C37:K37" si="10">C1</f>
        <v>41629</v>
      </c>
      <c r="D37" s="122">
        <f t="shared" si="10"/>
        <v>41994</v>
      </c>
      <c r="E37" s="122">
        <f t="shared" si="10"/>
        <v>42359</v>
      </c>
      <c r="F37" s="122">
        <f t="shared" si="10"/>
        <v>42725</v>
      </c>
      <c r="G37" s="122">
        <f t="shared" si="10"/>
        <v>43090</v>
      </c>
      <c r="H37" s="122">
        <f t="shared" si="10"/>
        <v>43455</v>
      </c>
      <c r="I37" s="122">
        <f t="shared" si="10"/>
        <v>43820</v>
      </c>
      <c r="J37" s="122">
        <f t="shared" si="10"/>
        <v>44186</v>
      </c>
      <c r="K37" s="122">
        <f t="shared" si="10"/>
        <v>44551</v>
      </c>
    </row>
    <row r="38" spans="1:16">
      <c r="A38" t="str">
        <f>ticker&amp;" Actual OCP ($, LHS)"</f>
        <v>CSCO Actual OCP ($, LHS)</v>
      </c>
      <c r="B38" s="16">
        <f>B10</f>
        <v>0</v>
      </c>
      <c r="C38" s="16">
        <f t="shared" ref="C38:K38" si="11">C10</f>
        <v>0</v>
      </c>
      <c r="D38" s="16">
        <f t="shared" si="11"/>
        <v>0</v>
      </c>
      <c r="E38" s="16">
        <f t="shared" si="11"/>
        <v>0</v>
      </c>
      <c r="F38" s="16">
        <f t="shared" si="11"/>
        <v>0</v>
      </c>
      <c r="G38" s="16">
        <f t="shared" si="11"/>
        <v>0</v>
      </c>
      <c r="H38" s="16">
        <f t="shared" si="11"/>
        <v>0</v>
      </c>
      <c r="I38" s="16">
        <f t="shared" si="11"/>
        <v>0</v>
      </c>
      <c r="J38" s="16">
        <f t="shared" si="11"/>
        <v>0</v>
      </c>
      <c r="K38" s="16">
        <f t="shared" si="11"/>
        <v>0</v>
      </c>
    </row>
    <row r="39" spans="1:16">
      <c r="A39" t="str">
        <f>ticker&amp;" OCP if GDP-Growth ($, LHS)"</f>
        <v>CSCO OCP if GDP-Growth ($, LHS)</v>
      </c>
      <c r="B39" s="16">
        <f>B38</f>
        <v>0</v>
      </c>
      <c r="C39" s="16">
        <f>(1+'Company Analysis'!C40)*B39</f>
        <v>0</v>
      </c>
      <c r="D39" s="16">
        <f>(1+'Company Analysis'!D40)*C39</f>
        <v>0</v>
      </c>
      <c r="E39" s="16">
        <f>(1+'Company Analysis'!E40)*D39</f>
        <v>0</v>
      </c>
      <c r="F39" s="16">
        <f>(1+'Company Analysis'!F40)*E39</f>
        <v>0</v>
      </c>
      <c r="G39" s="16">
        <f>(1+'Company Analysis'!G40)*F39</f>
        <v>0</v>
      </c>
      <c r="H39" s="16">
        <f>(1+'Company Analysis'!H40)*G39</f>
        <v>0</v>
      </c>
      <c r="I39" s="16">
        <f>(1+'Company Analysis'!I40)*H39</f>
        <v>0</v>
      </c>
      <c r="J39" s="16">
        <f>(1+'Company Analysis'!J40)*I39</f>
        <v>0</v>
      </c>
      <c r="K39" s="16">
        <f>(1+'Company Analysis'!K40)*J39</f>
        <v>0</v>
      </c>
    </row>
    <row r="40" spans="1:16">
      <c r="A40" t="str">
        <f>ticker&amp;" - GDP Growth Difference (YoY, %, RHS)"</f>
        <v>CSCO - GDP Growth Difference (YoY, %, RHS)</v>
      </c>
      <c r="B40" s="124"/>
      <c r="C40" s="89" t="e">
        <f>'Company Analysis'!C41-'Company Analysis'!C40</f>
        <v>#VALUE!</v>
      </c>
      <c r="D40" s="89" t="e">
        <f>'Company Analysis'!D41-'Company Analysis'!D40</f>
        <v>#VALUE!</v>
      </c>
      <c r="E40" s="89" t="e">
        <f>'Company Analysis'!E41-'Company Analysis'!E40</f>
        <v>#VALUE!</v>
      </c>
      <c r="F40" s="89" t="e">
        <f>'Company Analysis'!F41-'Company Analysis'!F40</f>
        <v>#VALUE!</v>
      </c>
      <c r="G40" s="89" t="e">
        <f>'Company Analysis'!G41-'Company Analysis'!G40</f>
        <v>#VALUE!</v>
      </c>
      <c r="H40" s="89" t="e">
        <f>'Company Analysis'!H41-'Company Analysis'!H40</f>
        <v>#VALUE!</v>
      </c>
      <c r="I40" s="89" t="e">
        <f>'Company Analysis'!I41-'Company Analysis'!I40</f>
        <v>#VALUE!</v>
      </c>
      <c r="J40" s="89" t="e">
        <f>'Company Analysis'!J41-'Company Analysis'!J40</f>
        <v>#VALUE!</v>
      </c>
      <c r="K40" s="89" t="e">
        <f>'Company Analysis'!K41-'Company Analysis'!K40</f>
        <v>#VALUE!</v>
      </c>
    </row>
    <row r="41" spans="1:16">
      <c r="A41" t="str">
        <f>ticker&amp;" - GDP Growth Difference (3Y, %, RHS)"</f>
        <v>CSCO - GDP Growth Difference (3Y, %, RHS)</v>
      </c>
      <c r="B41" s="125"/>
      <c r="C41" s="89"/>
      <c r="D41" s="89"/>
      <c r="E41" s="89" t="e">
        <f>'Company Analysis'!E43-'Company Analysis'!E42</f>
        <v>#VALUE!</v>
      </c>
      <c r="F41" s="89" t="e">
        <f>'Company Analysis'!F43-'Company Analysis'!F42</f>
        <v>#VALUE!</v>
      </c>
      <c r="G41" s="89" t="e">
        <f>'Company Analysis'!G43-'Company Analysis'!G42</f>
        <v>#VALUE!</v>
      </c>
      <c r="H41" s="89" t="e">
        <f>'Company Analysis'!H43-'Company Analysis'!H42</f>
        <v>#VALUE!</v>
      </c>
      <c r="I41" s="89" t="e">
        <f>'Company Analysis'!I43-'Company Analysis'!I42</f>
        <v>#VALUE!</v>
      </c>
      <c r="J41" s="89" t="e">
        <f>'Company Analysis'!J43-'Company Analysis'!J42</f>
        <v>#VALUE!</v>
      </c>
      <c r="K41" s="89" t="e">
        <f>'Company Analysis'!K43-'Company Analysis'!K42</f>
        <v>#VALUE!</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55"/>
  <sheetViews>
    <sheetView zoomScale="110" zoomScaleNormal="110" workbookViewId="0">
      <selection activeCell="B3" sqref="B3"/>
    </sheetView>
  </sheetViews>
  <sheetFormatPr defaultColWidth="9.1328125" defaultRowHeight="14.25"/>
  <cols>
    <col min="1" max="1" width="4.73046875" style="68" bestFit="1" customWidth="1"/>
    <col min="2" max="2" width="14.3984375" style="68" bestFit="1" customWidth="1"/>
    <col min="3" max="3" width="9.265625" style="68" bestFit="1" customWidth="1"/>
    <col min="4" max="4" width="12.265625" style="68" bestFit="1" customWidth="1"/>
    <col min="5" max="7" width="12.265625" style="68" customWidth="1"/>
    <col min="8" max="8" width="16.1328125" style="68" bestFit="1" customWidth="1"/>
    <col min="9" max="10" width="12.265625" style="68" customWidth="1"/>
    <col min="11" max="11" width="10.86328125" style="68" bestFit="1" customWidth="1"/>
    <col min="12" max="12" width="10.59765625" style="68" bestFit="1" customWidth="1"/>
    <col min="13" max="14" width="9.1328125" style="68"/>
    <col min="15" max="15" width="13.86328125" style="68" bestFit="1" customWidth="1"/>
    <col min="16" max="16384" width="9.1328125" style="68"/>
  </cols>
  <sheetData>
    <row r="1" spans="1:15">
      <c r="A1" s="68" t="s">
        <v>100</v>
      </c>
      <c r="B1" s="69">
        <f ca="1">MAX(C5:C12)+10</f>
        <v>10</v>
      </c>
      <c r="D1" s="68" t="s">
        <v>101</v>
      </c>
      <c r="E1" s="68">
        <v>5</v>
      </c>
    </row>
    <row r="2" spans="1:15">
      <c r="A2" s="68" t="s">
        <v>102</v>
      </c>
      <c r="B2" s="69">
        <f ca="1">MAX(MIN(C5:C12)-10,0)</f>
        <v>0</v>
      </c>
    </row>
    <row r="4" spans="1:15" s="70" customFormat="1" ht="11.65">
      <c r="B4" s="71" t="s">
        <v>103</v>
      </c>
      <c r="C4" s="72" t="s">
        <v>104</v>
      </c>
      <c r="D4" s="70" t="s">
        <v>105</v>
      </c>
      <c r="E4" s="70" t="s">
        <v>106</v>
      </c>
      <c r="F4" s="70" t="s">
        <v>107</v>
      </c>
      <c r="G4" s="70" t="s">
        <v>108</v>
      </c>
      <c r="H4" s="70" t="s">
        <v>109</v>
      </c>
      <c r="J4" s="70" t="s">
        <v>110</v>
      </c>
      <c r="K4" s="70" t="s">
        <v>111</v>
      </c>
      <c r="L4" s="70" t="s">
        <v>56</v>
      </c>
      <c r="M4" s="70" t="s">
        <v>112</v>
      </c>
      <c r="N4" s="70" t="s">
        <v>113</v>
      </c>
      <c r="O4" s="70" t="s">
        <v>114</v>
      </c>
    </row>
    <row r="5" spans="1:15" s="70" customFormat="1" ht="11.65">
      <c r="A5" s="73"/>
      <c r="B5" s="79" t="e">
        <f>'Valuation Model'!I2</f>
        <v>#DIV/0!</v>
      </c>
      <c r="C5" s="80">
        <f ca="1">'Valuation Model'!K2</f>
        <v>0</v>
      </c>
      <c r="D5" s="75" t="e">
        <f t="shared" ref="D5:D12" ca="1" si="0">IF(ABS(INDEX($K$6:$K$55,MATCH(C5,$K$6:$K$55,1)+IF(C5&gt;=MAX($K$6:$K$55),0,1),1)-C5)&lt;ABS(INDEX($K$6:$K$55,MATCH(C5,$K$6:$K$55,1))-C5),INDEX($K$6:$K$55,MATCH(C5,$K$6:$K$55,1)+IF(C5&gt;=MAX($K$6:$K$55),0,1),1),INDEX($K$6:$K$55,MATCH(C5,$K$6:$K$55,1)))</f>
        <v>#N/A</v>
      </c>
      <c r="E5" s="76">
        <f>IF(H5="N",5%/COUNTIF('Valuation Model'!$L$2:$L$9,"No"),IF(G5&lt;&gt;"Y",50%/(COUNTIF('Valuation Model'!$L$2:$L$9,"Yes")-COUNTIF(G$5:G$12,"Y")),45%/(COUNTIF(G$5:G$12,"Y"))))</f>
        <v>6.25E-2</v>
      </c>
      <c r="F5" s="70" t="s">
        <v>51</v>
      </c>
      <c r="G5" s="70" t="str">
        <f>IF(LEFT('Valuation Model'!L2,1)="M","Y","")</f>
        <v/>
      </c>
      <c r="H5" s="70" t="str">
        <f>IF(LEFT('Valuation Model'!L2,1)="M","Y",LEFT('Valuation Model'!L2,1))</f>
        <v>Y</v>
      </c>
      <c r="J5" s="77">
        <v>0</v>
      </c>
      <c r="K5" s="75">
        <f ca="1">$B$1*J5</f>
        <v>0</v>
      </c>
      <c r="L5" s="78" t="str">
        <f t="shared" ref="L5:L55" ca="1" si="1">IFERROR(IF(VLOOKUP(K5,$D$5:$F$16,3,FALSE)="Scenario",IF(VLOOKUP(K5,$D$5:$H$16,5,FALSE)="Y",VLOOKUP(K5,$D$5:$E$16,2,0),""),IF(VLOOKUP(K5,$D$5:$F$16,3,FALSE)&lt;&gt;"Scenario","")),"")</f>
        <v/>
      </c>
      <c r="M5" s="76" t="str">
        <f t="shared" ref="M5:M55" ca="1" si="2">IFERROR(IF(VLOOKUP(K5,$D$5:$F$16,3,FALSE)="Scenario",IF(VLOOKUP(K5,$D$5:$H$16,5,FALSE)="N",VLOOKUP(K5,$D$5:$E$16,2,0),""),IF(VLOOKUP(K5,$D$5:$F$16,3,FALSE)&lt;&gt;"Scenario","")),"")</f>
        <v/>
      </c>
      <c r="N5" s="75">
        <f ca="1">LN('Histogram Data'!K5+0.01)-LN(price)</f>
        <v>-8.5850387383113045</v>
      </c>
      <c r="O5" s="75">
        <f ca="1">_xlfn.NORM.DIST(N5,0+0.03^3,AVERAGE('Valuation Model'!$K$22:$L$22),FALSE)/scaling</f>
        <v>2.9105969548786005E-251</v>
      </c>
    </row>
    <row r="6" spans="1:15" s="70" customFormat="1" ht="11.65">
      <c r="A6" s="73"/>
      <c r="B6" s="79" t="e">
        <f>'Valuation Model'!I6</f>
        <v>#DIV/0!</v>
      </c>
      <c r="C6" s="80">
        <f ca="1">'Valuation Model'!K6</f>
        <v>0</v>
      </c>
      <c r="D6" s="75" t="e">
        <f t="shared" ca="1" si="0"/>
        <v>#N/A</v>
      </c>
      <c r="E6" s="76">
        <f>IF(H6="N",5%/COUNTIF('Valuation Model'!$L$2:$L$9,"No"),IF(G6&lt;&gt;"Y",50%/(COUNTIF('Valuation Model'!$L$2:$L$9,"Yes")-COUNTIF(G$5:G$12,"Y")),45%/(COUNTIF(G$5:G$12,"Y"))))</f>
        <v>6.25E-2</v>
      </c>
      <c r="F6" s="70" t="s">
        <v>51</v>
      </c>
      <c r="G6" s="70" t="str">
        <f>IF(LEFT('Valuation Model'!L3,1)="M","Y","")</f>
        <v/>
      </c>
      <c r="H6" s="70" t="str">
        <f>IF(LEFT('Valuation Model'!L6,1)="M","Y",LEFT('Valuation Model'!L6,1))</f>
        <v>Y</v>
      </c>
      <c r="J6" s="77">
        <v>0.02</v>
      </c>
      <c r="K6" s="75">
        <f ca="1">$B$1*J6</f>
        <v>0.2</v>
      </c>
      <c r="L6" s="78" t="str">
        <f t="shared" ca="1" si="1"/>
        <v/>
      </c>
      <c r="M6" s="76" t="str">
        <f t="shared" ca="1" si="2"/>
        <v/>
      </c>
      <c r="N6" s="75">
        <f ca="1">LN('Histogram Data'!K6+0.01)-LN(price)</f>
        <v>-5.5405163005878819</v>
      </c>
      <c r="O6" s="75">
        <f ca="1">_xlfn.NORM.DIST(N6,0+0.03^3,AVERAGE('Valuation Model'!$K$22:$L$22),FALSE)/scaling</f>
        <v>2.2841364152884649E-105</v>
      </c>
    </row>
    <row r="7" spans="1:15" s="70" customFormat="1" ht="11.65">
      <c r="A7" s="73"/>
      <c r="B7" s="79" t="e">
        <f>'Valuation Model'!I3</f>
        <v>#DIV/0!</v>
      </c>
      <c r="C7" s="80">
        <f ca="1">'Valuation Model'!K3</f>
        <v>0</v>
      </c>
      <c r="D7" s="75" t="e">
        <f t="shared" ca="1" si="0"/>
        <v>#N/A</v>
      </c>
      <c r="E7" s="76">
        <f>IF(H7="N",5%/COUNTIF('Valuation Model'!$L$2:$L$9,"No"),IF(G7&lt;&gt;"Y",50%/(COUNTIF('Valuation Model'!$L$2:$L$9,"Yes")-COUNTIF(G$5:G$12,"Y")),45%/(COUNTIF(G$5:G$12,"Y"))))</f>
        <v>6.25E-2</v>
      </c>
      <c r="F7" s="70" t="s">
        <v>51</v>
      </c>
      <c r="G7" s="70" t="str">
        <f>IF(LEFT('Valuation Model'!L6,1)="M","Y","")</f>
        <v/>
      </c>
      <c r="H7" s="70" t="str">
        <f>IF(LEFT('Valuation Model'!L3,1)="M","Y",LEFT('Valuation Model'!L3,1))</f>
        <v>Y</v>
      </c>
      <c r="J7" s="77">
        <f>J6+2%</f>
        <v>0.04</v>
      </c>
      <c r="K7" s="75">
        <f t="shared" ref="K7:K55" ca="1" si="3">$B$1*J7</f>
        <v>0.4</v>
      </c>
      <c r="L7" s="78" t="str">
        <f t="shared" ca="1" si="1"/>
        <v/>
      </c>
      <c r="M7" s="76" t="str">
        <f t="shared" ca="1" si="2"/>
        <v/>
      </c>
      <c r="N7" s="75">
        <f ca="1">LN('Histogram Data'!K7+0.01)-LN(price)</f>
        <v>-4.8714666716069965</v>
      </c>
      <c r="O7" s="75">
        <f ca="1">_xlfn.NORM.DIST(N7,0+0.03^3,AVERAGE('Valuation Model'!$K$22:$L$22),FALSE)/scaling</f>
        <v>9.7970145410370705E-82</v>
      </c>
    </row>
    <row r="8" spans="1:15" s="70" customFormat="1" ht="11.65">
      <c r="A8" s="73"/>
      <c r="B8" s="79" t="e">
        <f>'Valuation Model'!I7</f>
        <v>#DIV/0!</v>
      </c>
      <c r="C8" s="80">
        <f ca="1">'Valuation Model'!K7</f>
        <v>0</v>
      </c>
      <c r="D8" s="75" t="e">
        <f t="shared" ca="1" si="0"/>
        <v>#N/A</v>
      </c>
      <c r="E8" s="76">
        <f>IF(H8="N",5%/COUNTIF('Valuation Model'!$L$2:$L$9,"No"),IF(G8&lt;&gt;"Y",50%/(COUNTIF('Valuation Model'!$L$2:$L$9,"Yes")-COUNTIF(G$5:G$12,"Y")),45%/(COUNTIF(G$5:G$12,"Y"))))</f>
        <v>6.25E-2</v>
      </c>
      <c r="F8" s="70" t="s">
        <v>51</v>
      </c>
      <c r="G8" s="70" t="str">
        <f>IF(LEFT('Valuation Model'!L7,1)="M","Y","")</f>
        <v/>
      </c>
      <c r="H8" s="70" t="str">
        <f>IF(LEFT('Valuation Model'!L7,1)="M","Y",LEFT('Valuation Model'!L7,1))</f>
        <v>Y</v>
      </c>
      <c r="J8" s="77">
        <f t="shared" ref="J8:J55" si="4">J7+2%</f>
        <v>0.06</v>
      </c>
      <c r="K8" s="75">
        <f t="shared" ca="1" si="3"/>
        <v>0.6</v>
      </c>
      <c r="L8" s="78" t="str">
        <f t="shared" ca="1" si="1"/>
        <v/>
      </c>
      <c r="M8" s="76" t="str">
        <f t="shared" ca="1" si="2"/>
        <v/>
      </c>
      <c r="N8" s="75">
        <f ca="1">LN('Histogram Data'!K8+0.01)-LN(price)</f>
        <v>-4.4741648741379931</v>
      </c>
      <c r="O8" s="75">
        <f ca="1">_xlfn.NORM.DIST(N8,0+0.03^3,AVERAGE('Valuation Model'!$K$22:$L$22),FALSE)/scaling</f>
        <v>3.8676836706576333E-69</v>
      </c>
    </row>
    <row r="9" spans="1:15" s="70" customFormat="1" ht="11.65">
      <c r="A9" s="73"/>
      <c r="B9" s="79" t="e">
        <f>'Valuation Model'!I4</f>
        <v>#DIV/0!</v>
      </c>
      <c r="C9" s="80">
        <f ca="1">'Valuation Model'!K4</f>
        <v>0</v>
      </c>
      <c r="D9" s="75" t="e">
        <f t="shared" ca="1" si="0"/>
        <v>#N/A</v>
      </c>
      <c r="E9" s="76">
        <f>IF(H9="N",5%/COUNTIF('Valuation Model'!$L$2:$L$9,"No"),IF(G9&lt;&gt;"Y",50%/(COUNTIF('Valuation Model'!$L$2:$L$9,"Yes")-COUNTIF(G$5:G$12,"Y")),45%/(COUNTIF(G$5:G$12,"Y"))))</f>
        <v>6.25E-2</v>
      </c>
      <c r="F9" s="70" t="s">
        <v>51</v>
      </c>
      <c r="G9" s="70" t="str">
        <f>IF(LEFT('Valuation Model'!L4,1)="M","Y","")</f>
        <v/>
      </c>
      <c r="H9" s="70" t="str">
        <f>IF(LEFT('Valuation Model'!L4,1)="M","Y",LEFT('Valuation Model'!L4,1))</f>
        <v>Y</v>
      </c>
      <c r="J9" s="77">
        <f t="shared" si="4"/>
        <v>0.08</v>
      </c>
      <c r="K9" s="75">
        <f t="shared" ca="1" si="3"/>
        <v>0.8</v>
      </c>
      <c r="L9" s="78" t="str">
        <f t="shared" ca="1" si="1"/>
        <v/>
      </c>
      <c r="M9" s="76" t="str">
        <f t="shared" ca="1" si="2"/>
        <v/>
      </c>
      <c r="N9" s="75">
        <f ca="1">LN('Histogram Data'!K9+0.01)-LN(price)</f>
        <v>-4.1905895836388654</v>
      </c>
      <c r="O9" s="75">
        <f ca="1">_xlfn.NORM.DIST(N9,0+0.03^3,AVERAGE('Valuation Model'!$K$22:$L$22),FALSE)/scaling</f>
        <v>8.3776672851517547E-61</v>
      </c>
    </row>
    <row r="10" spans="1:15" s="70" customFormat="1" ht="11.65">
      <c r="A10" s="73"/>
      <c r="B10" s="79" t="e">
        <f>'Valuation Model'!I8</f>
        <v>#DIV/0!</v>
      </c>
      <c r="C10" s="80">
        <f ca="1">'Valuation Model'!K8</f>
        <v>0</v>
      </c>
      <c r="D10" s="75" t="e">
        <f t="shared" ca="1" si="0"/>
        <v>#N/A</v>
      </c>
      <c r="E10" s="76">
        <f>IF(H10="N",5%/COUNTIF('Valuation Model'!$L$2:$L$9,"No"),IF(G10&lt;&gt;"Y",50%/(COUNTIF('Valuation Model'!$L$2:$L$9,"Yes")-COUNTIF(G$5:G$12,"Y")),45%/(COUNTIF(G$5:G$12,"Y"))))</f>
        <v>6.25E-2</v>
      </c>
      <c r="F10" s="70" t="s">
        <v>51</v>
      </c>
      <c r="G10" s="70" t="str">
        <f>IF(LEFT('Valuation Model'!L5,1)="M","Y","")</f>
        <v/>
      </c>
      <c r="H10" s="70" t="str">
        <f>IF(LEFT('Valuation Model'!L8,1)="M","Y",LEFT('Valuation Model'!L8,1))</f>
        <v>Y</v>
      </c>
      <c r="J10" s="77">
        <f t="shared" si="4"/>
        <v>0.1</v>
      </c>
      <c r="K10" s="75">
        <f t="shared" ca="1" si="3"/>
        <v>1</v>
      </c>
      <c r="L10" s="78" t="str">
        <f t="shared" ca="1" si="1"/>
        <v/>
      </c>
      <c r="M10" s="76" t="str">
        <f t="shared" ca="1" si="2"/>
        <v/>
      </c>
      <c r="N10" s="75">
        <f ca="1">LN('Histogram Data'!K10+0.01)-LN(price)</f>
        <v>-3.9699182214700452</v>
      </c>
      <c r="O10" s="75">
        <f ca="1">_xlfn.NORM.DIST(N10,0+0.03^3,AVERAGE('Valuation Model'!$K$22:$L$22),FALSE)/scaling</f>
        <v>1.0770906924372234E-54</v>
      </c>
    </row>
    <row r="11" spans="1:15" s="70" customFormat="1" ht="11.65">
      <c r="A11" s="73"/>
      <c r="B11" s="79" t="e">
        <f>'Valuation Model'!I5</f>
        <v>#DIV/0!</v>
      </c>
      <c r="C11" s="80">
        <f ca="1">'Valuation Model'!K5</f>
        <v>0</v>
      </c>
      <c r="D11" s="75" t="e">
        <f t="shared" ca="1" si="0"/>
        <v>#N/A</v>
      </c>
      <c r="E11" s="76">
        <f>IF(H11="N",5%/COUNTIF('Valuation Model'!$L$2:$L$9,"No"),IF(G11&lt;&gt;"Y",50%/(COUNTIF('Valuation Model'!$L$2:$L$9,"Yes")-COUNTIF(G$5:G$12,"Y")),45%/(COUNTIF(G$5:G$12,"Y"))))</f>
        <v>6.25E-2</v>
      </c>
      <c r="F11" s="70" t="s">
        <v>51</v>
      </c>
      <c r="G11" s="70" t="str">
        <f>IF(LEFT('Valuation Model'!L8,1)="M","Y","")</f>
        <v/>
      </c>
      <c r="H11" s="70" t="str">
        <f>IF(LEFT('Valuation Model'!L5,1)="M","Y",LEFT('Valuation Model'!L5,1))</f>
        <v>Y</v>
      </c>
      <c r="J11" s="77">
        <f t="shared" si="4"/>
        <v>0.12000000000000001</v>
      </c>
      <c r="K11" s="75">
        <f t="shared" ca="1" si="3"/>
        <v>1.2000000000000002</v>
      </c>
      <c r="L11" s="78" t="str">
        <f t="shared" ca="1" si="1"/>
        <v/>
      </c>
      <c r="M11" s="76" t="str">
        <f t="shared" ca="1" si="2"/>
        <v/>
      </c>
      <c r="N11" s="75">
        <f ca="1">LN('Histogram Data'!K11+0.01)-LN(price)</f>
        <v>-3.7892481927145631</v>
      </c>
      <c r="O11" s="75">
        <f ca="1">_xlfn.NORM.DIST(N11,0+0.03^3,AVERAGE('Valuation Model'!$K$22:$L$22),FALSE)/scaling</f>
        <v>6.1374137476943924E-50</v>
      </c>
    </row>
    <row r="12" spans="1:15" s="70" customFormat="1" ht="11.65">
      <c r="A12" s="73"/>
      <c r="B12" s="79" t="e">
        <f>'Valuation Model'!I9</f>
        <v>#DIV/0!</v>
      </c>
      <c r="C12" s="80">
        <f ca="1">'Valuation Model'!K9</f>
        <v>0</v>
      </c>
      <c r="D12" s="75" t="e">
        <f t="shared" ca="1" si="0"/>
        <v>#N/A</v>
      </c>
      <c r="E12" s="76">
        <f>IF(H12="N",5%/COUNTIF('Valuation Model'!$L$2:$L$9,"No"),IF(G12&lt;&gt;"Y",50%/(COUNTIF('Valuation Model'!$L$2:$L$9,"Yes")-COUNTIF(G$5:G$12,"Y")),45%/(COUNTIF(G$5:G$12,"Y"))))</f>
        <v>6.25E-2</v>
      </c>
      <c r="F12" s="70" t="s">
        <v>51</v>
      </c>
      <c r="G12" s="70" t="str">
        <f>IF(LEFT('Valuation Model'!L9,1)="M","Y","")</f>
        <v/>
      </c>
      <c r="H12" s="70" t="str">
        <f>IF(LEFT('Valuation Model'!L9,1)="M","Y",LEFT('Valuation Model'!L9,1))</f>
        <v>Y</v>
      </c>
      <c r="J12" s="77">
        <f t="shared" si="4"/>
        <v>0.14000000000000001</v>
      </c>
      <c r="K12" s="75">
        <f t="shared" ca="1" si="3"/>
        <v>1.4000000000000001</v>
      </c>
      <c r="L12" s="78" t="str">
        <f t="shared" ca="1" si="1"/>
        <v/>
      </c>
      <c r="M12" s="76" t="str">
        <f t="shared" ca="1" si="2"/>
        <v/>
      </c>
      <c r="N12" s="75">
        <f ca="1">LN('Histogram Data'!K12+0.01)-LN(price)</f>
        <v>-3.636278847933136</v>
      </c>
      <c r="O12" s="75">
        <f ca="1">_xlfn.NORM.DIST(N12,0+0.03^3,AVERAGE('Valuation Model'!$K$22:$L$22),FALSE)/scaling</f>
        <v>4.3794659055460096E-46</v>
      </c>
    </row>
    <row r="13" spans="1:15" s="70" customFormat="1" ht="11.65">
      <c r="A13" s="73"/>
      <c r="J13" s="77">
        <f t="shared" si="4"/>
        <v>0.16</v>
      </c>
      <c r="K13" s="75">
        <f t="shared" ca="1" si="3"/>
        <v>1.6</v>
      </c>
      <c r="L13" s="78" t="str">
        <f t="shared" ca="1" si="1"/>
        <v/>
      </c>
      <c r="M13" s="76" t="str">
        <f t="shared" ca="1" si="2"/>
        <v/>
      </c>
      <c r="N13" s="75">
        <f ca="1">LN('Histogram Data'!K13+0.01)-LN(price)</f>
        <v>-3.5036343733268414</v>
      </c>
      <c r="O13" s="75">
        <f ca="1">_xlfn.NORM.DIST(N13,0+0.03^3,AVERAGE('Valuation Model'!$K$22:$L$22),FALSE)/scaling</f>
        <v>7.150424930825819E-43</v>
      </c>
    </row>
    <row r="14" spans="1:15" s="70" customFormat="1" ht="11.65">
      <c r="A14" s="73"/>
      <c r="J14" s="77">
        <f t="shared" si="4"/>
        <v>0.18</v>
      </c>
      <c r="K14" s="75">
        <f t="shared" ca="1" si="3"/>
        <v>1.7999999999999998</v>
      </c>
      <c r="L14" s="78" t="str">
        <f t="shared" ca="1" si="1"/>
        <v/>
      </c>
      <c r="M14" s="76" t="str">
        <f t="shared" ca="1" si="2"/>
        <v/>
      </c>
      <c r="N14" s="75">
        <f ca="1">LN('Histogram Data'!K14+0.01)-LN(price)</f>
        <v>-3.3865417070454789</v>
      </c>
      <c r="O14" s="75">
        <f ca="1">_xlfn.NORM.DIST(N14,0+0.03^3,AVERAGE('Valuation Model'!$K$22:$L$22),FALSE)/scaling</f>
        <v>3.9025079522743892E-40</v>
      </c>
    </row>
    <row r="15" spans="1:15" s="70" customFormat="1" ht="11.65">
      <c r="A15" s="73"/>
      <c r="J15" s="77">
        <f t="shared" si="4"/>
        <v>0.19999999999999998</v>
      </c>
      <c r="K15" s="75">
        <f t="shared" ca="1" si="3"/>
        <v>1.9999999999999998</v>
      </c>
      <c r="L15" s="78" t="str">
        <f t="shared" ca="1" si="1"/>
        <v/>
      </c>
      <c r="M15" s="76" t="str">
        <f t="shared" ca="1" si="2"/>
        <v/>
      </c>
      <c r="N15" s="75">
        <f ca="1">LN('Histogram Data'!K15+0.01)-LN(price)</f>
        <v>-3.2817338302522288</v>
      </c>
      <c r="O15" s="75">
        <f ca="1">_xlfn.NORM.DIST(N15,0+0.03^3,AVERAGE('Valuation Model'!$K$22:$L$22),FALSE)/scaling</f>
        <v>9.1686189204405712E-38</v>
      </c>
    </row>
    <row r="16" spans="1:15" s="70" customFormat="1" ht="11.65">
      <c r="A16" s="73"/>
      <c r="C16" s="74"/>
      <c r="D16" s="75"/>
      <c r="E16" s="76"/>
      <c r="J16" s="77">
        <f t="shared" si="4"/>
        <v>0.21999999999999997</v>
      </c>
      <c r="K16" s="75">
        <f t="shared" ca="1" si="3"/>
        <v>2.1999999999999997</v>
      </c>
      <c r="L16" s="78" t="str">
        <f t="shared" ca="1" si="1"/>
        <v/>
      </c>
      <c r="M16" s="76" t="str">
        <f t="shared" ca="1" si="2"/>
        <v/>
      </c>
      <c r="N16" s="75">
        <f ca="1">LN('Histogram Data'!K16+0.01)-LN(price)</f>
        <v>-3.186876036793552</v>
      </c>
      <c r="O16" s="75">
        <f ca="1">_xlfn.NORM.DIST(N16,0+0.03^3,AVERAGE('Valuation Model'!$K$22:$L$22),FALSE)/scaling</f>
        <v>1.1064229118972888E-35</v>
      </c>
    </row>
    <row r="17" spans="4:15" s="70" customFormat="1" ht="11.65">
      <c r="J17" s="77">
        <f t="shared" si="4"/>
        <v>0.23999999999999996</v>
      </c>
      <c r="K17" s="75">
        <f t="shared" ca="1" si="3"/>
        <v>2.3999999999999995</v>
      </c>
      <c r="L17" s="78" t="str">
        <f t="shared" ca="1" si="1"/>
        <v/>
      </c>
      <c r="M17" s="76" t="str">
        <f t="shared" ca="1" si="2"/>
        <v/>
      </c>
      <c r="N17" s="75">
        <f ca="1">LN('Histogram Data'!K17+0.01)-LN(price)</f>
        <v>-3.1002418048206497</v>
      </c>
      <c r="O17" s="75">
        <f ca="1">_xlfn.NORM.DIST(N17,0+0.03^3,AVERAGE('Valuation Model'!$K$22:$L$22),FALSE)/scaling</f>
        <v>7.7935379006296218E-34</v>
      </c>
    </row>
    <row r="18" spans="4:15" s="70" customFormat="1" ht="11.65">
      <c r="D18" s="77"/>
      <c r="J18" s="77">
        <f t="shared" si="4"/>
        <v>0.25999999999999995</v>
      </c>
      <c r="K18" s="75">
        <f t="shared" ca="1" si="3"/>
        <v>2.5999999999999996</v>
      </c>
      <c r="L18" s="78" t="str">
        <f t="shared" ca="1" si="1"/>
        <v/>
      </c>
      <c r="M18" s="76" t="str">
        <f t="shared" ca="1" si="2"/>
        <v/>
      </c>
      <c r="N18" s="75">
        <f ca="1">LN('Histogram Data'!K18+0.01)-LN(price)</f>
        <v>-3.0205183309886112</v>
      </c>
      <c r="O18" s="75">
        <f ca="1">_xlfn.NORM.DIST(N18,0+0.03^3,AVERAGE('Valuation Model'!$K$22:$L$22),FALSE)/scaling</f>
        <v>3.5249786214520543E-32</v>
      </c>
    </row>
    <row r="19" spans="4:15" s="70" customFormat="1" ht="11.65">
      <c r="D19" s="81"/>
      <c r="J19" s="77">
        <f t="shared" si="4"/>
        <v>0.27999999999999997</v>
      </c>
      <c r="K19" s="75">
        <f t="shared" ca="1" si="3"/>
        <v>2.8</v>
      </c>
      <c r="L19" s="78" t="str">
        <f t="shared" ca="1" si="1"/>
        <v/>
      </c>
      <c r="M19" s="76" t="str">
        <f t="shared" ca="1" si="2"/>
        <v/>
      </c>
      <c r="N19" s="75">
        <f ca="1">LN('Histogram Data'!K19+0.01)-LN(price)</f>
        <v>-2.9466840689775591</v>
      </c>
      <c r="O19" s="75">
        <f ca="1">_xlfn.NORM.DIST(N19,0+0.03^3,AVERAGE('Valuation Model'!$K$22:$L$22),FALSE)/scaling</f>
        <v>1.1011044751764981E-30</v>
      </c>
    </row>
    <row r="20" spans="4:15" s="70" customFormat="1" ht="11.65">
      <c r="J20" s="77">
        <f t="shared" si="4"/>
        <v>0.3</v>
      </c>
      <c r="K20" s="75">
        <f t="shared" ca="1" si="3"/>
        <v>3</v>
      </c>
      <c r="L20" s="78" t="str">
        <f t="shared" ca="1" si="1"/>
        <v/>
      </c>
      <c r="M20" s="76" t="str">
        <f t="shared" ca="1" si="2"/>
        <v/>
      </c>
      <c r="N20" s="75">
        <f ca="1">LN('Histogram Data'!K20+0.01)-LN(price)</f>
        <v>-2.8779284735624291</v>
      </c>
      <c r="O20" s="75">
        <f ca="1">_xlfn.NORM.DIST(N20,0+0.03^3,AVERAGE('Valuation Model'!$K$22:$L$22),FALSE)/scaling</f>
        <v>2.5143802741548925E-29</v>
      </c>
    </row>
    <row r="21" spans="4:15" s="70" customFormat="1" ht="11.65">
      <c r="J21" s="77">
        <f t="shared" si="4"/>
        <v>0.32</v>
      </c>
      <c r="K21" s="75">
        <f t="shared" ca="1" si="3"/>
        <v>3.2</v>
      </c>
      <c r="L21" s="78" t="str">
        <f t="shared" ca="1" si="1"/>
        <v/>
      </c>
      <c r="M21" s="76" t="str">
        <f t="shared" ca="1" si="2"/>
        <v/>
      </c>
      <c r="N21" s="75">
        <f ca="1">LN('Histogram Data'!K21+0.01)-LN(price)</f>
        <v>-2.8135976151812887</v>
      </c>
      <c r="O21" s="75">
        <f ca="1">_xlfn.NORM.DIST(N21,0+0.03^3,AVERAGE('Valuation Model'!$K$22:$L$22),FALSE)/scaling</f>
        <v>4.3909292740601821E-28</v>
      </c>
    </row>
    <row r="22" spans="4:15" s="70" customFormat="1" ht="11.65">
      <c r="J22" s="77">
        <f t="shared" si="4"/>
        <v>0.34</v>
      </c>
      <c r="K22" s="75">
        <f t="shared" ca="1" si="3"/>
        <v>3.4000000000000004</v>
      </c>
      <c r="L22" s="78" t="str">
        <f t="shared" ca="1" si="1"/>
        <v/>
      </c>
      <c r="M22" s="76" t="str">
        <f t="shared" ca="1" si="2"/>
        <v/>
      </c>
      <c r="N22" s="75">
        <f ca="1">LN('Histogram Data'!K22+0.01)-LN(price)</f>
        <v>-2.7531562610277875</v>
      </c>
      <c r="O22" s="75">
        <f ca="1">_xlfn.NORM.DIST(N22,0+0.03^3,AVERAGE('Valuation Model'!$K$22:$L$22),FALSE)/scaling</f>
        <v>6.0813224380461013E-27</v>
      </c>
    </row>
    <row r="23" spans="4:15" s="70" customFormat="1" ht="11.65">
      <c r="J23" s="77">
        <f t="shared" si="4"/>
        <v>0.36000000000000004</v>
      </c>
      <c r="K23" s="75">
        <f t="shared" ca="1" si="3"/>
        <v>3.6000000000000005</v>
      </c>
      <c r="L23" s="78" t="str">
        <f t="shared" ca="1" si="1"/>
        <v/>
      </c>
      <c r="M23" s="76" t="str">
        <f t="shared" ca="1" si="2"/>
        <v/>
      </c>
      <c r="N23" s="75">
        <f ca="1">LN('Histogram Data'!K23+0.01)-LN(price)</f>
        <v>-2.6961607799784235</v>
      </c>
      <c r="O23" s="75">
        <f ca="1">_xlfn.NORM.DIST(N23,0+0.03^3,AVERAGE('Valuation Model'!$K$22:$L$22),FALSE)/scaling</f>
        <v>6.8810865288705918E-26</v>
      </c>
    </row>
    <row r="24" spans="4:15" s="70" customFormat="1" ht="11.65">
      <c r="J24" s="77">
        <f t="shared" si="4"/>
        <v>0.38000000000000006</v>
      </c>
      <c r="K24" s="75">
        <f t="shared" ca="1" si="3"/>
        <v>3.8000000000000007</v>
      </c>
      <c r="L24" s="78" t="str">
        <f t="shared" ca="1" si="1"/>
        <v/>
      </c>
      <c r="M24" s="76" t="str">
        <f t="shared" ca="1" si="2"/>
        <v/>
      </c>
      <c r="N24" s="75">
        <f ca="1">LN('Histogram Data'!K24+0.01)-LN(price)</f>
        <v>-2.6422393631846033</v>
      </c>
      <c r="O24" s="75">
        <f ca="1">_xlfn.NORM.DIST(N24,0+0.03^3,AVERAGE('Valuation Model'!$K$22:$L$22),FALSE)/scaling</f>
        <v>6.5192423491157549E-25</v>
      </c>
    </row>
    <row r="25" spans="4:15" s="70" customFormat="1" ht="11.65">
      <c r="J25" s="77">
        <f t="shared" si="4"/>
        <v>0.40000000000000008</v>
      </c>
      <c r="K25" s="75">
        <f t="shared" ca="1" si="3"/>
        <v>4.0000000000000009</v>
      </c>
      <c r="L25" s="78" t="str">
        <f t="shared" ca="1" si="1"/>
        <v/>
      </c>
      <c r="M25" s="76" t="str">
        <f t="shared" ca="1" si="2"/>
        <v/>
      </c>
      <c r="N25" s="75">
        <f ca="1">LN('Histogram Data'!K25+0.01)-LN(price)</f>
        <v>-2.5910773110047352</v>
      </c>
      <c r="O25" s="75">
        <f ca="1">_xlfn.NORM.DIST(N25,0+0.03^3,AVERAGE('Valuation Model'!$K$22:$L$22),FALSE)/scaling</f>
        <v>5.2786780691465094E-24</v>
      </c>
    </row>
    <row r="26" spans="4:15" s="70" customFormat="1" ht="11.65">
      <c r="J26" s="77">
        <f t="shared" si="4"/>
        <v>0.4200000000000001</v>
      </c>
      <c r="K26" s="75">
        <f t="shared" ca="1" si="3"/>
        <v>4.2000000000000011</v>
      </c>
      <c r="L26" s="78" t="str">
        <f t="shared" ca="1" si="1"/>
        <v/>
      </c>
      <c r="M26" s="76" t="str">
        <f t="shared" ca="1" si="2"/>
        <v/>
      </c>
      <c r="N26" s="75">
        <f ca="1">LN('Histogram Data'!K26+0.01)-LN(price)</f>
        <v>-2.5424059046289229</v>
      </c>
      <c r="O26" s="75">
        <f ca="1">_xlfn.NORM.DIST(N26,0+0.03^3,AVERAGE('Valuation Model'!$K$22:$L$22),FALSE)/scaling</f>
        <v>3.7166393679116921E-23</v>
      </c>
    </row>
    <row r="27" spans="4:15" s="70" customFormat="1" ht="11.65">
      <c r="J27" s="77">
        <f t="shared" si="4"/>
        <v>0.44000000000000011</v>
      </c>
      <c r="K27" s="75">
        <f t="shared" ca="1" si="3"/>
        <v>4.4000000000000012</v>
      </c>
      <c r="L27" s="78" t="str">
        <f t="shared" ca="1" si="1"/>
        <v/>
      </c>
      <c r="M27" s="76" t="str">
        <f t="shared" ca="1" si="2"/>
        <v/>
      </c>
      <c r="N27" s="75">
        <f ca="1">LN('Histogram Data'!K27+0.01)-LN(price)</f>
        <v>-2.4959938628644585</v>
      </c>
      <c r="O27" s="75">
        <f ca="1">_xlfn.NORM.DIST(N27,0+0.03^3,AVERAGE('Valuation Model'!$K$22:$L$22),FALSE)/scaling</f>
        <v>2.3091774697016984E-22</v>
      </c>
    </row>
    <row r="28" spans="4:15" s="70" customFormat="1" ht="11.65">
      <c r="J28" s="77">
        <f t="shared" si="4"/>
        <v>0.46000000000000013</v>
      </c>
      <c r="K28" s="75">
        <f t="shared" ca="1" si="3"/>
        <v>4.6000000000000014</v>
      </c>
      <c r="L28" s="78" t="str">
        <f t="shared" ca="1" si="1"/>
        <v/>
      </c>
      <c r="M28" s="76" t="str">
        <f t="shared" ca="1" si="2"/>
        <v/>
      </c>
      <c r="N28" s="75">
        <f ca="1">LN('Histogram Data'!K28+0.01)-LN(price)</f>
        <v>-2.4516406953146559</v>
      </c>
      <c r="O28" s="75">
        <f ca="1">_xlfn.NORM.DIST(N28,0+0.03^3,AVERAGE('Valuation Model'!$K$22:$L$22),FALSE)/scaling</f>
        <v>1.2820808906896979E-21</v>
      </c>
    </row>
    <row r="29" spans="4:15" s="70" customFormat="1" ht="11.65">
      <c r="J29" s="77">
        <f t="shared" si="4"/>
        <v>0.48000000000000015</v>
      </c>
      <c r="K29" s="75">
        <f t="shared" ca="1" si="3"/>
        <v>4.8000000000000016</v>
      </c>
      <c r="L29" s="78" t="str">
        <f t="shared" ca="1" si="1"/>
        <v/>
      </c>
      <c r="M29" s="76" t="str">
        <f t="shared" ca="1" si="2"/>
        <v/>
      </c>
      <c r="N29" s="75">
        <f ca="1">LN('Histogram Data'!K29+0.01)-LN(price)</f>
        <v>-2.409171468205543</v>
      </c>
      <c r="O29" s="75">
        <f ca="1">_xlfn.NORM.DIST(N29,0+0.03^3,AVERAGE('Valuation Model'!$K$22:$L$22),FALSE)/scaling</f>
        <v>6.4304758415546405E-21</v>
      </c>
    </row>
    <row r="30" spans="4:15" s="70" customFormat="1" ht="11.65">
      <c r="J30" s="77">
        <f t="shared" si="4"/>
        <v>0.50000000000000011</v>
      </c>
      <c r="K30" s="75">
        <f t="shared" ca="1" si="3"/>
        <v>5.0000000000000009</v>
      </c>
      <c r="L30" s="78" t="str">
        <f ca="1">L33</f>
        <v/>
      </c>
      <c r="M30" s="76" t="str">
        <f t="shared" ca="1" si="2"/>
        <v/>
      </c>
      <c r="N30" s="75">
        <f ca="1">LN('Histogram Data'!K30+0.01)-LN(price)</f>
        <v>-2.3684326372264395</v>
      </c>
      <c r="O30" s="75">
        <f ca="1">_xlfn.NORM.DIST(N30,0+0.03^3,AVERAGE('Valuation Model'!$K$22:$L$22),FALSE)/scaling</f>
        <v>2.9412804149991174E-20</v>
      </c>
    </row>
    <row r="31" spans="4:15" s="70" customFormat="1" ht="11.65">
      <c r="J31" s="77">
        <f t="shared" si="4"/>
        <v>0.52000000000000013</v>
      </c>
      <c r="K31" s="75">
        <f t="shared" ca="1" si="3"/>
        <v>5.2000000000000011</v>
      </c>
      <c r="L31" s="78" t="str">
        <f t="shared" ca="1" si="1"/>
        <v/>
      </c>
      <c r="M31" s="76" t="str">
        <f t="shared" ca="1" si="2"/>
        <v/>
      </c>
      <c r="N31" s="75">
        <f ca="1">LN('Histogram Data'!K31+0.01)-LN(price)</f>
        <v>-2.3292886965579376</v>
      </c>
      <c r="O31" s="75">
        <f ca="1">_xlfn.NORM.DIST(N31,0+0.03^3,AVERAGE('Valuation Model'!$K$22:$L$22),FALSE)/scaling</f>
        <v>1.2370062574953457E-19</v>
      </c>
    </row>
    <row r="32" spans="4:15" s="70" customFormat="1" ht="11.65">
      <c r="J32" s="77">
        <f t="shared" si="4"/>
        <v>0.54000000000000015</v>
      </c>
      <c r="K32" s="75">
        <f t="shared" ca="1" si="3"/>
        <v>5.4000000000000012</v>
      </c>
      <c r="L32" s="78" t="str">
        <f t="shared" ca="1" si="1"/>
        <v/>
      </c>
      <c r="M32" s="76" t="str">
        <f t="shared" ca="1" si="2"/>
        <v/>
      </c>
      <c r="N32" s="75">
        <f ca="1">LN('Histogram Data'!K32+0.01)-LN(price)</f>
        <v>-2.2916194594648225</v>
      </c>
      <c r="O32" s="75">
        <f ca="1">_xlfn.NORM.DIST(N32,0+0.03^3,AVERAGE('Valuation Model'!$K$22:$L$22),FALSE)/scaling</f>
        <v>4.8182467739599209E-19</v>
      </c>
    </row>
    <row r="33" spans="10:15" s="70" customFormat="1" ht="11.65">
      <c r="J33" s="77">
        <f t="shared" si="4"/>
        <v>0.56000000000000016</v>
      </c>
      <c r="K33" s="75">
        <f t="shared" ca="1" si="3"/>
        <v>5.6000000000000014</v>
      </c>
      <c r="L33" s="78" t="str">
        <f t="shared" ca="1" si="1"/>
        <v/>
      </c>
      <c r="M33" s="76" t="str">
        <f t="shared" ca="1" si="2"/>
        <v/>
      </c>
      <c r="N33" s="75">
        <f ca="1">LN('Histogram Data'!K33+0.01)-LN(price)</f>
        <v>-2.2553178327886076</v>
      </c>
      <c r="O33" s="75">
        <f ca="1">_xlfn.NORM.DIST(N33,0+0.03^3,AVERAGE('Valuation Model'!$K$22:$L$22),FALSE)/scaling</f>
        <v>1.749272185690105E-18</v>
      </c>
    </row>
    <row r="34" spans="10:15" s="70" customFormat="1" ht="11.65">
      <c r="J34" s="77">
        <f t="shared" si="4"/>
        <v>0.58000000000000018</v>
      </c>
      <c r="K34" s="75">
        <f t="shared" ca="1" si="3"/>
        <v>5.8000000000000016</v>
      </c>
      <c r="L34" s="78" t="str">
        <f t="shared" ca="1" si="1"/>
        <v/>
      </c>
      <c r="M34" s="76" t="str">
        <f t="shared" ca="1" si="2"/>
        <v/>
      </c>
      <c r="N34" s="75">
        <f ca="1">LN('Histogram Data'!K34+0.01)-LN(price)</f>
        <v>-2.2202879814593928</v>
      </c>
      <c r="O34" s="75">
        <f ca="1">_xlfn.NORM.DIST(N34,0+0.03^3,AVERAGE('Valuation Model'!$K$22:$L$22),FALSE)/scaling</f>
        <v>5.9529363440592759E-18</v>
      </c>
    </row>
    <row r="35" spans="10:15" s="70" customFormat="1" ht="11.65">
      <c r="J35" s="77">
        <f t="shared" si="4"/>
        <v>0.6000000000000002</v>
      </c>
      <c r="K35" s="75">
        <f t="shared" ca="1" si="3"/>
        <v>6.0000000000000018</v>
      </c>
      <c r="L35" s="78" t="str">
        <f t="shared" ca="1" si="1"/>
        <v/>
      </c>
      <c r="M35" s="76" t="str">
        <f t="shared" ca="1" si="2"/>
        <v/>
      </c>
      <c r="N35" s="75">
        <f ca="1">LN('Histogram Data'!K35+0.01)-LN(price)</f>
        <v>-2.1864438037760969</v>
      </c>
      <c r="O35" s="75">
        <f ca="1">_xlfn.NORM.DIST(N35,0+0.03^3,AVERAGE('Valuation Model'!$K$22:$L$22),FALSE)/scaling</f>
        <v>1.9085112690440111E-17</v>
      </c>
    </row>
    <row r="36" spans="10:15" s="70" customFormat="1" ht="11.65">
      <c r="J36" s="77">
        <f t="shared" si="4"/>
        <v>0.62000000000000022</v>
      </c>
      <c r="K36" s="75">
        <f t="shared" ca="1" si="3"/>
        <v>6.200000000000002</v>
      </c>
      <c r="L36" s="78" t="str">
        <f t="shared" ca="1" si="1"/>
        <v/>
      </c>
      <c r="M36" s="76" t="str">
        <f t="shared" ca="1" si="2"/>
        <v/>
      </c>
      <c r="N36" s="75">
        <f ca="1">LN('Histogram Data'!K36+0.01)-LN(price)</f>
        <v>-2.1537076563778257</v>
      </c>
      <c r="O36" s="75">
        <f ca="1">_xlfn.NORM.DIST(N36,0+0.03^3,AVERAGE('Valuation Model'!$K$22:$L$22),FALSE)/scaling</f>
        <v>5.7902760569226336E-17</v>
      </c>
    </row>
    <row r="37" spans="10:15" s="70" customFormat="1" ht="11.65">
      <c r="J37" s="77">
        <f t="shared" si="4"/>
        <v>0.64000000000000024</v>
      </c>
      <c r="K37" s="75">
        <f t="shared" ca="1" si="3"/>
        <v>6.4000000000000021</v>
      </c>
      <c r="L37" s="78" t="str">
        <f t="shared" ca="1" si="1"/>
        <v/>
      </c>
      <c r="M37" s="76" t="str">
        <f t="shared" ca="1" si="2"/>
        <v/>
      </c>
      <c r="N37" s="75">
        <f ca="1">LN('Histogram Data'!K37+0.01)-LN(price)</f>
        <v>-2.1220092813906342</v>
      </c>
      <c r="O37" s="75">
        <f ca="1">_xlfn.NORM.DIST(N37,0+0.03^3,AVERAGE('Valuation Model'!$K$22:$L$22),FALSE)/scaling</f>
        <v>1.6691476502410341E-16</v>
      </c>
    </row>
    <row r="38" spans="10:15" s="70" customFormat="1" ht="11.65">
      <c r="J38" s="77">
        <f t="shared" si="4"/>
        <v>0.66000000000000025</v>
      </c>
      <c r="K38" s="75">
        <f t="shared" ca="1" si="3"/>
        <v>6.6000000000000023</v>
      </c>
      <c r="L38" s="78" t="str">
        <f t="shared" ca="1" si="1"/>
        <v/>
      </c>
      <c r="M38" s="76" t="str">
        <f t="shared" ca="1" si="2"/>
        <v/>
      </c>
      <c r="N38" s="75">
        <f ca="1">LN('Histogram Data'!K38+0.01)-LN(price)</f>
        <v>-2.0912848984596177</v>
      </c>
      <c r="O38" s="75">
        <f ca="1">_xlfn.NORM.DIST(N38,0+0.03^3,AVERAGE('Valuation Model'!$K$22:$L$22),FALSE)/scaling</f>
        <v>4.5883420121351433E-16</v>
      </c>
    </row>
    <row r="39" spans="10:15" s="70" customFormat="1" ht="11.65">
      <c r="J39" s="77">
        <f t="shared" si="4"/>
        <v>0.68000000000000027</v>
      </c>
      <c r="K39" s="75">
        <f t="shared" ca="1" si="3"/>
        <v>6.8000000000000025</v>
      </c>
      <c r="L39" s="78" t="str">
        <f t="shared" ca="1" si="1"/>
        <v/>
      </c>
      <c r="M39" s="76" t="str">
        <f t="shared" ca="1" si="2"/>
        <v/>
      </c>
      <c r="N39" s="75">
        <f ca="1">LN('Histogram Data'!K39+0.01)-LN(price)</f>
        <v>-2.0614764321617915</v>
      </c>
      <c r="O39" s="75">
        <f ca="1">_xlfn.NORM.DIST(N39,0+0.03^3,AVERAGE('Valuation Model'!$K$22:$L$22),FALSE)/scaling</f>
        <v>1.2067124367420701E-15</v>
      </c>
    </row>
    <row r="40" spans="10:15" s="70" customFormat="1" ht="11.65">
      <c r="J40" s="77">
        <f t="shared" si="4"/>
        <v>0.70000000000000029</v>
      </c>
      <c r="K40" s="75">
        <f t="shared" ca="1" si="3"/>
        <v>7.0000000000000027</v>
      </c>
      <c r="L40" s="78" t="str">
        <f t="shared" ca="1" si="1"/>
        <v/>
      </c>
      <c r="M40" s="76" t="str">
        <f t="shared" ca="1" si="2"/>
        <v/>
      </c>
      <c r="N40" s="75">
        <f ca="1">LN('Histogram Data'!K40+0.01)-LN(price)</f>
        <v>-2.032530851276714</v>
      </c>
      <c r="O40" s="75">
        <f ca="1">_xlfn.NORM.DIST(N40,0+0.03^3,AVERAGE('Valuation Model'!$K$22:$L$22),FALSE)/scaling</f>
        <v>3.0452702960307839E-15</v>
      </c>
    </row>
    <row r="41" spans="10:15" s="70" customFormat="1" ht="11.65">
      <c r="J41" s="77">
        <f t="shared" si="4"/>
        <v>0.72000000000000031</v>
      </c>
      <c r="K41" s="75">
        <f t="shared" ca="1" si="3"/>
        <v>7.2000000000000028</v>
      </c>
      <c r="L41" s="78" t="str">
        <f t="shared" ca="1" si="1"/>
        <v/>
      </c>
      <c r="M41" s="76" t="str">
        <f t="shared" ca="1" si="2"/>
        <v/>
      </c>
      <c r="N41" s="75">
        <f ca="1">LN('Histogram Data'!K41+0.01)-LN(price)</f>
        <v>-2.0043996010263552</v>
      </c>
      <c r="O41" s="75">
        <f ca="1">_xlfn.NORM.DIST(N41,0+0.03^3,AVERAGE('Valuation Model'!$K$22:$L$22),FALSE)/scaling</f>
        <v>7.3941914891228309E-15</v>
      </c>
    </row>
    <row r="42" spans="10:15" s="70" customFormat="1" ht="11.65">
      <c r="J42" s="77">
        <f t="shared" si="4"/>
        <v>0.74000000000000032</v>
      </c>
      <c r="K42" s="75">
        <f t="shared" ca="1" si="3"/>
        <v>7.400000000000003</v>
      </c>
      <c r="L42" s="78" t="str">
        <f t="shared" ca="1" si="1"/>
        <v/>
      </c>
      <c r="M42" s="76" t="str">
        <f t="shared" ca="1" si="2"/>
        <v/>
      </c>
      <c r="N42" s="75">
        <f ca="1">LN('Histogram Data'!K42+0.01)-LN(price)</f>
        <v>-1.977038113015217</v>
      </c>
      <c r="O42" s="75">
        <f ca="1">_xlfn.NORM.DIST(N42,0+0.03^3,AVERAGE('Valuation Model'!$K$22:$L$22),FALSE)/scaling</f>
        <v>1.7316593946347838E-14</v>
      </c>
    </row>
    <row r="43" spans="10:15" s="70" customFormat="1" ht="11.65">
      <c r="J43" s="77">
        <f t="shared" si="4"/>
        <v>0.76000000000000034</v>
      </c>
      <c r="K43" s="75">
        <f t="shared" ca="1" si="3"/>
        <v>7.6000000000000032</v>
      </c>
      <c r="L43" s="78" t="str">
        <f t="shared" ca="1" si="1"/>
        <v/>
      </c>
      <c r="M43" s="76" t="str">
        <f t="shared" ca="1" si="2"/>
        <v/>
      </c>
      <c r="N43" s="75">
        <f ca="1">LN('Histogram Data'!K43+0.01)-LN(price)</f>
        <v>-1.9504053804496184</v>
      </c>
      <c r="O43" s="75">
        <f ca="1">_xlfn.NORM.DIST(N43,0+0.03^3,AVERAGE('Valuation Model'!$K$22:$L$22),FALSE)/scaling</f>
        <v>3.9202391538418158E-14</v>
      </c>
    </row>
    <row r="44" spans="10:15" s="70" customFormat="1" ht="11.65">
      <c r="J44" s="77">
        <f t="shared" si="4"/>
        <v>0.78000000000000036</v>
      </c>
      <c r="K44" s="75">
        <f t="shared" ca="1" si="3"/>
        <v>7.8000000000000034</v>
      </c>
      <c r="L44" s="78" t="str">
        <f t="shared" ca="1" si="1"/>
        <v/>
      </c>
      <c r="M44" s="76" t="str">
        <f t="shared" ca="1" si="2"/>
        <v/>
      </c>
      <c r="N44" s="75">
        <f ca="1">LN('Histogram Data'!K44+0.01)-LN(price)</f>
        <v>-1.9244635884716179</v>
      </c>
      <c r="O44" s="75">
        <f ca="1">_xlfn.NORM.DIST(N44,0+0.03^3,AVERAGE('Valuation Model'!$K$22:$L$22),FALSE)/scaling</f>
        <v>8.5966607676046473E-14</v>
      </c>
    </row>
    <row r="45" spans="10:15" s="70" customFormat="1" ht="11.65">
      <c r="J45" s="77">
        <f t="shared" si="4"/>
        <v>0.80000000000000038</v>
      </c>
      <c r="K45" s="75">
        <f t="shared" ca="1" si="3"/>
        <v>8.0000000000000036</v>
      </c>
      <c r="L45" s="78" t="str">
        <f t="shared" ca="1" si="1"/>
        <v/>
      </c>
      <c r="M45" s="76" t="str">
        <f t="shared" ca="1" si="2"/>
        <v/>
      </c>
      <c r="N45" s="75">
        <f ca="1">LN('Histogram Data'!K45+0.01)-LN(price)</f>
        <v>-1.8991777912429448</v>
      </c>
      <c r="O45" s="75">
        <f ca="1">_xlfn.NORM.DIST(N45,0+0.03^3,AVERAGE('Valuation Model'!$K$22:$L$22),FALSE)/scaling</f>
        <v>1.8294869298635684E-13</v>
      </c>
    </row>
    <row r="46" spans="10:15" s="70" customFormat="1" ht="11.65">
      <c r="J46" s="77">
        <f t="shared" si="4"/>
        <v>0.8200000000000004</v>
      </c>
      <c r="K46" s="75">
        <f t="shared" ca="1" si="3"/>
        <v>8.2000000000000046</v>
      </c>
      <c r="L46" s="78" t="str">
        <f t="shared" ca="1" si="1"/>
        <v/>
      </c>
      <c r="M46" s="76" t="str">
        <f t="shared" ca="1" si="2"/>
        <v/>
      </c>
      <c r="N46" s="75">
        <f ca="1">LN('Histogram Data'!K46+0.01)-LN(price)</f>
        <v>-1.8745156288588758</v>
      </c>
      <c r="O46" s="75">
        <f ca="1">_xlfn.NORM.DIST(N46,0+0.03^3,AVERAGE('Valuation Model'!$K$22:$L$22),FALSE)/scaling</f>
        <v>3.7849516246377216E-13</v>
      </c>
    </row>
    <row r="47" spans="10:15" s="70" customFormat="1" ht="11.65">
      <c r="J47" s="77">
        <f t="shared" si="4"/>
        <v>0.84000000000000041</v>
      </c>
      <c r="K47" s="75">
        <f t="shared" ca="1" si="3"/>
        <v>8.4000000000000039</v>
      </c>
      <c r="L47" s="78" t="str">
        <f t="shared" ca="1" si="1"/>
        <v/>
      </c>
      <c r="M47" s="76" t="str">
        <f t="shared" ca="1" si="2"/>
        <v/>
      </c>
      <c r="N47" s="75">
        <f ca="1">LN('Histogram Data'!K47+0.01)-LN(price)</f>
        <v>-1.8504470783383562</v>
      </c>
      <c r="O47" s="75">
        <f ca="1">_xlfn.NORM.DIST(N47,0+0.03^3,AVERAGE('Valuation Model'!$K$22:$L$22),FALSE)/scaling</f>
        <v>7.6245262536970071E-13</v>
      </c>
    </row>
    <row r="48" spans="10:15" s="70" customFormat="1" ht="11.65">
      <c r="J48" s="77">
        <f t="shared" si="4"/>
        <v>0.86000000000000043</v>
      </c>
      <c r="K48" s="75">
        <f t="shared" ca="1" si="3"/>
        <v>8.600000000000005</v>
      </c>
      <c r="L48" s="78" t="str">
        <f t="shared" ca="1" si="1"/>
        <v/>
      </c>
      <c r="M48" s="76" t="str">
        <f t="shared" ca="1" si="2"/>
        <v/>
      </c>
      <c r="N48" s="75">
        <f ca="1">LN('Histogram Data'!K48+0.01)-LN(price)</f>
        <v>-1.8269442338835731</v>
      </c>
      <c r="O48" s="75">
        <f ca="1">_xlfn.NORM.DIST(N48,0+0.03^3,AVERAGE('Valuation Model'!$K$22:$L$22),FALSE)/scaling</f>
        <v>1.4976958866252953E-12</v>
      </c>
    </row>
    <row r="49" spans="10:15" s="70" customFormat="1" ht="11.65">
      <c r="J49" s="77">
        <f t="shared" si="4"/>
        <v>0.88000000000000045</v>
      </c>
      <c r="K49" s="75">
        <f t="shared" ca="1" si="3"/>
        <v>8.8000000000000043</v>
      </c>
      <c r="L49" s="78" t="str">
        <f t="shared" ca="1" si="1"/>
        <v/>
      </c>
      <c r="M49" s="76" t="str">
        <f t="shared" ca="1" si="2"/>
        <v/>
      </c>
      <c r="N49" s="75">
        <f ca="1">LN('Histogram Data'!K49+0.01)-LN(price)</f>
        <v>-1.8039811123751246</v>
      </c>
      <c r="O49" s="75">
        <f ca="1">_xlfn.NORM.DIST(N49,0+0.03^3,AVERAGE('Valuation Model'!$K$22:$L$22),FALSE)/scaling</f>
        <v>2.8726407540801764E-12</v>
      </c>
    </row>
    <row r="50" spans="10:15" s="70" customFormat="1" ht="11.65">
      <c r="J50" s="77">
        <f t="shared" si="4"/>
        <v>0.90000000000000047</v>
      </c>
      <c r="K50" s="75">
        <f t="shared" ca="1" si="3"/>
        <v>9.0000000000000053</v>
      </c>
      <c r="L50" s="78" t="str">
        <f t="shared" ca="1" si="1"/>
        <v/>
      </c>
      <c r="M50" s="76" t="str">
        <f t="shared" ca="1" si="2"/>
        <v/>
      </c>
      <c r="N50" s="75">
        <f ca="1">LN('Histogram Data'!K50+0.01)-LN(price)</f>
        <v>-1.7815334807029659</v>
      </c>
      <c r="O50" s="75">
        <f ca="1">_xlfn.NORM.DIST(N50,0+0.03^3,AVERAGE('Valuation Model'!$K$22:$L$22),FALSE)/scaling</f>
        <v>5.386803092098071E-12</v>
      </c>
    </row>
    <row r="51" spans="10:15" s="70" customFormat="1" ht="11.65">
      <c r="J51" s="77">
        <f t="shared" si="4"/>
        <v>0.92000000000000048</v>
      </c>
      <c r="K51" s="75">
        <f t="shared" ca="1" si="3"/>
        <v>9.2000000000000046</v>
      </c>
      <c r="L51" s="78" t="str">
        <f t="shared" ca="1" si="1"/>
        <v/>
      </c>
      <c r="M51" s="76" t="str">
        <f t="shared" ca="1" si="2"/>
        <v/>
      </c>
      <c r="N51" s="75">
        <f ca="1">LN('Histogram Data'!K51+0.01)-LN(price)</f>
        <v>-1.7595787020559972</v>
      </c>
      <c r="O51" s="75">
        <f ca="1">_xlfn.NORM.DIST(N51,0+0.03^3,AVERAGE('Valuation Model'!$K$22:$L$22),FALSE)/scaling</f>
        <v>9.8873242844557374E-12</v>
      </c>
    </row>
    <row r="52" spans="10:15" s="70" customFormat="1" ht="11.65">
      <c r="J52" s="77">
        <f t="shared" si="4"/>
        <v>0.9400000000000005</v>
      </c>
      <c r="K52" s="75">
        <f t="shared" ca="1" si="3"/>
        <v>9.4000000000000057</v>
      </c>
      <c r="L52" s="78" t="str">
        <f t="shared" ca="1" si="1"/>
        <v/>
      </c>
      <c r="M52" s="76" t="str">
        <f t="shared" ca="1" si="2"/>
        <v/>
      </c>
      <c r="N52" s="75">
        <f ca="1">LN('Histogram Data'!K52+0.01)-LN(price)</f>
        <v>-1.7380955987259243</v>
      </c>
      <c r="O52" s="75">
        <f ca="1">_xlfn.NORM.DIST(N52,0+0.03^3,AVERAGE('Valuation Model'!$K$22:$L$22),FALSE)/scaling</f>
        <v>1.7782562665336753E-11</v>
      </c>
    </row>
    <row r="53" spans="10:15" s="70" customFormat="1" ht="11.65">
      <c r="J53" s="77">
        <f t="shared" si="4"/>
        <v>0.96000000000000052</v>
      </c>
      <c r="K53" s="75">
        <f t="shared" ca="1" si="3"/>
        <v>9.600000000000005</v>
      </c>
      <c r="L53" s="78" t="str">
        <f t="shared" ca="1" si="1"/>
        <v/>
      </c>
      <c r="M53" s="76" t="str">
        <f t="shared" ca="1" si="2"/>
        <v/>
      </c>
      <c r="N53" s="75">
        <f ca="1">LN('Histogram Data'!K53+0.01)-LN(price)</f>
        <v>-1.7170643293410115</v>
      </c>
      <c r="O53" s="75">
        <f ca="1">_xlfn.NORM.DIST(N53,0+0.03^3,AVERAGE('Valuation Model'!$K$22:$L$22),FALSE)/scaling</f>
        <v>3.1370050886191064E-11</v>
      </c>
    </row>
    <row r="54" spans="10:15" s="70" customFormat="1" ht="11.65">
      <c r="J54" s="77">
        <f t="shared" si="4"/>
        <v>0.98000000000000054</v>
      </c>
      <c r="K54" s="75">
        <f t="shared" ca="1" si="3"/>
        <v>9.800000000000006</v>
      </c>
      <c r="L54" s="78" t="str">
        <f t="shared" ca="1" si="1"/>
        <v/>
      </c>
      <c r="M54" s="76" t="str">
        <f t="shared" ca="1" si="2"/>
        <v/>
      </c>
      <c r="N54" s="75">
        <f ca="1">LN('Histogram Data'!K54+0.01)-LN(price)</f>
        <v>-1.696466278745941</v>
      </c>
      <c r="O54" s="75">
        <f ca="1">_xlfn.NORM.DIST(N54,0+0.03^3,AVERAGE('Valuation Model'!$K$22:$L$22),FALSE)/scaling</f>
        <v>5.433117523353517E-11</v>
      </c>
    </row>
    <row r="55" spans="10:15">
      <c r="J55" s="77">
        <f t="shared" si="4"/>
        <v>1.0000000000000004</v>
      </c>
      <c r="K55" s="75">
        <f t="shared" ca="1" si="3"/>
        <v>10.000000000000004</v>
      </c>
      <c r="L55" s="78" t="str">
        <f t="shared" ca="1" si="1"/>
        <v/>
      </c>
      <c r="M55" s="76" t="str">
        <f t="shared" ca="1" si="2"/>
        <v/>
      </c>
      <c r="N55" s="75">
        <f ca="1">LN('Histogram Data'!K55+0.01)-LN(price)</f>
        <v>-1.6762839589960836</v>
      </c>
      <c r="O55" s="75">
        <f ca="1">_xlfn.NORM.DIST(N55,0+0.03^3,AVERAGE('Valuation Model'!$K$22:$L$22),FALSE)/scaling</f>
        <v>9.2464816572082724E-11</v>
      </c>
    </row>
  </sheetData>
  <sortState xmlns:xlrd2="http://schemas.microsoft.com/office/spreadsheetml/2017/richdata2" ref="B5:H12">
    <sortCondition ref="C5"/>
  </sortState>
  <conditionalFormatting sqref="B7">
    <cfRule type="expression" dxfId="9" priority="6">
      <formula>$H$7="N"</formula>
    </cfRule>
  </conditionalFormatting>
  <conditionalFormatting sqref="B16">
    <cfRule type="expression" dxfId="8" priority="12">
      <formula>$H$12="N"</formula>
    </cfRule>
  </conditionalFormatting>
  <conditionalFormatting sqref="B5:C5">
    <cfRule type="expression" dxfId="7" priority="17">
      <formula>$H$5="N"</formula>
    </cfRule>
  </conditionalFormatting>
  <conditionalFormatting sqref="B6:C6">
    <cfRule type="expression" dxfId="6" priority="7">
      <formula>$H$6="N"</formula>
    </cfRule>
  </conditionalFormatting>
  <conditionalFormatting sqref="B8:C8">
    <cfRule type="expression" dxfId="5" priority="5">
      <formula>$H$8="N"</formula>
    </cfRule>
  </conditionalFormatting>
  <conditionalFormatting sqref="B9:C9">
    <cfRule type="expression" dxfId="4" priority="4">
      <formula>$H$9="N"</formula>
    </cfRule>
  </conditionalFormatting>
  <conditionalFormatting sqref="B10:C10">
    <cfRule type="expression" dxfId="3" priority="3">
      <formula>$H$10="N"</formula>
    </cfRule>
  </conditionalFormatting>
  <conditionalFormatting sqref="B11:C11">
    <cfRule type="expression" dxfId="2" priority="2">
      <formula>$H$11="N"</formula>
    </cfRule>
  </conditionalFormatting>
  <conditionalFormatting sqref="B12:C12">
    <cfRule type="expression" dxfId="1" priority="1">
      <formula>$H12="N"</formula>
    </cfRule>
  </conditionalFormatting>
  <conditionalFormatting sqref="C16">
    <cfRule type="expression" dxfId="0" priority="11">
      <formula>$H$16="N"</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75"/>
  <sheetViews>
    <sheetView topLeftCell="A52" workbookViewId="0">
      <selection activeCell="C74" sqref="C74"/>
    </sheetView>
  </sheetViews>
  <sheetFormatPr defaultRowHeight="14.25"/>
  <cols>
    <col min="1" max="1" width="10.73046875" bestFit="1" customWidth="1"/>
    <col min="3" max="3" width="10.73046875" bestFit="1" customWidth="1"/>
  </cols>
  <sheetData>
    <row r="1" spans="1:3">
      <c r="A1" t="s">
        <v>161</v>
      </c>
      <c r="B1" t="s">
        <v>162</v>
      </c>
    </row>
    <row r="2" spans="1:3">
      <c r="A2" s="121">
        <v>36616</v>
      </c>
      <c r="B2">
        <v>10036.1</v>
      </c>
      <c r="C2" s="121"/>
    </row>
    <row r="3" spans="1:3">
      <c r="A3" s="121">
        <v>36707</v>
      </c>
      <c r="B3">
        <v>10283.700000000001</v>
      </c>
      <c r="C3" s="121"/>
    </row>
    <row r="4" spans="1:3">
      <c r="A4" s="121">
        <v>36799</v>
      </c>
      <c r="B4">
        <v>10363.799999999999</v>
      </c>
      <c r="C4" s="121"/>
    </row>
    <row r="5" spans="1:3">
      <c r="A5" s="121">
        <v>36891</v>
      </c>
      <c r="B5">
        <v>10475.299999999999</v>
      </c>
      <c r="C5" s="121"/>
    </row>
    <row r="6" spans="1:3">
      <c r="A6" s="121">
        <v>36981</v>
      </c>
      <c r="B6">
        <v>10512.5</v>
      </c>
      <c r="C6" s="121"/>
    </row>
    <row r="7" spans="1:3">
      <c r="A7" s="121">
        <v>37072</v>
      </c>
      <c r="B7">
        <v>10641.6</v>
      </c>
      <c r="C7" s="121"/>
    </row>
    <row r="8" spans="1:3">
      <c r="A8" s="121">
        <v>37164</v>
      </c>
      <c r="B8">
        <v>10644.3</v>
      </c>
      <c r="C8" s="121"/>
    </row>
    <row r="9" spans="1:3">
      <c r="A9" s="121">
        <v>37256</v>
      </c>
      <c r="B9">
        <v>10702.7</v>
      </c>
      <c r="C9" s="121"/>
    </row>
    <row r="10" spans="1:3">
      <c r="A10" s="121">
        <v>37346</v>
      </c>
      <c r="B10">
        <v>10837.3</v>
      </c>
      <c r="C10" s="121"/>
    </row>
    <row r="11" spans="1:3">
      <c r="A11" s="121">
        <v>37437</v>
      </c>
      <c r="B11">
        <v>10938</v>
      </c>
      <c r="C11" s="121"/>
    </row>
    <row r="12" spans="1:3">
      <c r="A12" s="121">
        <v>37529</v>
      </c>
      <c r="B12">
        <v>11039.8</v>
      </c>
      <c r="C12" s="121"/>
    </row>
    <row r="13" spans="1:3">
      <c r="A13" s="121">
        <v>37621</v>
      </c>
      <c r="B13">
        <v>11105.7</v>
      </c>
      <c r="C13" s="121"/>
    </row>
    <row r="14" spans="1:3">
      <c r="A14" s="121">
        <v>37711</v>
      </c>
      <c r="B14">
        <v>11230.8</v>
      </c>
      <c r="C14" s="121"/>
    </row>
    <row r="15" spans="1:3">
      <c r="A15" s="121">
        <v>37802</v>
      </c>
      <c r="B15">
        <v>11371.4</v>
      </c>
      <c r="C15" s="121"/>
    </row>
    <row r="16" spans="1:3">
      <c r="A16" s="121">
        <v>37894</v>
      </c>
      <c r="B16">
        <v>11628.4</v>
      </c>
      <c r="C16" s="121"/>
    </row>
    <row r="17" spans="1:3">
      <c r="A17" s="121">
        <v>37986</v>
      </c>
      <c r="B17">
        <v>11818.5</v>
      </c>
      <c r="C17" s="121"/>
    </row>
    <row r="18" spans="1:3">
      <c r="A18" s="121">
        <v>38077</v>
      </c>
      <c r="B18">
        <v>11991.4</v>
      </c>
      <c r="C18" s="121"/>
    </row>
    <row r="19" spans="1:3">
      <c r="A19" s="121">
        <v>38168</v>
      </c>
      <c r="B19">
        <v>12183.5</v>
      </c>
      <c r="C19" s="121"/>
    </row>
    <row r="20" spans="1:3">
      <c r="A20" s="121">
        <v>38260</v>
      </c>
      <c r="B20">
        <v>12369.4</v>
      </c>
      <c r="C20" s="121"/>
    </row>
    <row r="21" spans="1:3">
      <c r="A21" s="121">
        <v>38352</v>
      </c>
      <c r="B21">
        <v>12563.8</v>
      </c>
      <c r="C21" s="121"/>
    </row>
    <row r="22" spans="1:3">
      <c r="A22" s="121">
        <v>38442</v>
      </c>
      <c r="B22">
        <v>12816.2</v>
      </c>
      <c r="C22" s="121"/>
    </row>
    <row r="23" spans="1:3">
      <c r="A23" s="121">
        <v>38533</v>
      </c>
      <c r="B23">
        <v>12975.7</v>
      </c>
      <c r="C23" s="121"/>
    </row>
    <row r="24" spans="1:3">
      <c r="A24" s="121">
        <v>38625</v>
      </c>
      <c r="B24">
        <v>13206.5</v>
      </c>
      <c r="C24" s="121"/>
    </row>
    <row r="25" spans="1:3">
      <c r="A25" s="121">
        <v>38717</v>
      </c>
      <c r="B25">
        <v>13383.3</v>
      </c>
      <c r="C25" s="121"/>
    </row>
    <row r="26" spans="1:3">
      <c r="A26" s="121">
        <v>38807</v>
      </c>
      <c r="B26">
        <v>13649.8</v>
      </c>
      <c r="C26" s="121"/>
    </row>
    <row r="27" spans="1:3">
      <c r="A27" s="121">
        <v>38898</v>
      </c>
      <c r="B27">
        <v>13802.9</v>
      </c>
      <c r="C27" s="121"/>
    </row>
    <row r="28" spans="1:3">
      <c r="A28" s="121">
        <v>38990</v>
      </c>
      <c r="B28">
        <v>13910.5</v>
      </c>
      <c r="C28" s="121"/>
    </row>
    <row r="29" spans="1:3">
      <c r="A29" s="121">
        <v>39082</v>
      </c>
      <c r="B29">
        <v>14068.4</v>
      </c>
    </row>
    <row r="30" spans="1:3">
      <c r="A30" s="121">
        <v>39172</v>
      </c>
      <c r="B30">
        <v>14235</v>
      </c>
    </row>
    <row r="31" spans="1:3">
      <c r="A31" s="121">
        <v>39263</v>
      </c>
      <c r="B31">
        <v>14424.5</v>
      </c>
    </row>
    <row r="32" spans="1:3">
      <c r="A32" s="121">
        <v>39355</v>
      </c>
      <c r="B32">
        <v>14571.9</v>
      </c>
    </row>
    <row r="33" spans="1:2">
      <c r="A33" s="121">
        <v>39447</v>
      </c>
      <c r="B33">
        <v>14690</v>
      </c>
    </row>
    <row r="34" spans="1:2">
      <c r="A34" s="121">
        <v>39538</v>
      </c>
      <c r="B34">
        <v>14672.9</v>
      </c>
    </row>
    <row r="35" spans="1:2">
      <c r="A35" s="121">
        <v>39629</v>
      </c>
      <c r="B35">
        <v>14813</v>
      </c>
    </row>
    <row r="36" spans="1:2">
      <c r="A36" s="121">
        <v>39721</v>
      </c>
      <c r="B36">
        <v>14843</v>
      </c>
    </row>
    <row r="37" spans="1:2">
      <c r="A37" s="121">
        <v>39813</v>
      </c>
      <c r="B37">
        <v>14549.9</v>
      </c>
    </row>
    <row r="38" spans="1:2">
      <c r="A38" s="121">
        <v>39903</v>
      </c>
      <c r="B38">
        <v>14383.9</v>
      </c>
    </row>
    <row r="39" spans="1:2">
      <c r="A39" s="121">
        <v>39994</v>
      </c>
      <c r="B39">
        <v>14340.4</v>
      </c>
    </row>
    <row r="40" spans="1:2">
      <c r="A40" s="121">
        <v>40086</v>
      </c>
      <c r="B40">
        <v>14384.1</v>
      </c>
    </row>
    <row r="41" spans="1:2">
      <c r="A41" s="121">
        <v>40178</v>
      </c>
      <c r="B41">
        <v>14566.5</v>
      </c>
    </row>
    <row r="42" spans="1:2">
      <c r="A42" s="121">
        <v>40268</v>
      </c>
      <c r="B42">
        <v>14681.1</v>
      </c>
    </row>
    <row r="43" spans="1:2">
      <c r="A43" s="121">
        <v>40359</v>
      </c>
      <c r="B43">
        <v>14888.6</v>
      </c>
    </row>
    <row r="44" spans="1:2">
      <c r="A44" s="121">
        <v>40451</v>
      </c>
      <c r="B44">
        <v>15057.7</v>
      </c>
    </row>
    <row r="45" spans="1:2">
      <c r="A45" s="121">
        <v>40543</v>
      </c>
      <c r="B45">
        <v>15230.2</v>
      </c>
    </row>
    <row r="46" spans="1:2">
      <c r="A46" s="121">
        <v>40633</v>
      </c>
      <c r="B46">
        <v>15238.4</v>
      </c>
    </row>
    <row r="47" spans="1:2">
      <c r="A47" s="121">
        <v>40724</v>
      </c>
      <c r="B47">
        <v>15460.9</v>
      </c>
    </row>
    <row r="48" spans="1:2">
      <c r="A48" s="121">
        <v>40816</v>
      </c>
      <c r="B48">
        <v>15587.1</v>
      </c>
    </row>
    <row r="49" spans="1:5">
      <c r="A49" s="121">
        <v>40908</v>
      </c>
      <c r="B49">
        <v>15785.3</v>
      </c>
    </row>
    <row r="50" spans="1:5">
      <c r="A50" s="121">
        <v>40999</v>
      </c>
      <c r="B50">
        <v>15956.5</v>
      </c>
    </row>
    <row r="51" spans="1:5">
      <c r="A51" s="121">
        <v>41090</v>
      </c>
      <c r="B51">
        <v>16094.7</v>
      </c>
    </row>
    <row r="52" spans="1:5">
      <c r="A52" s="121">
        <v>41182</v>
      </c>
      <c r="B52">
        <v>16268.9</v>
      </c>
    </row>
    <row r="53" spans="1:5">
      <c r="A53" s="121">
        <v>41274</v>
      </c>
      <c r="B53">
        <v>16332.5</v>
      </c>
    </row>
    <row r="54" spans="1:5">
      <c r="A54" s="121">
        <v>41364</v>
      </c>
      <c r="B54">
        <v>16502.400000000001</v>
      </c>
    </row>
    <row r="55" spans="1:5">
      <c r="A55" s="121">
        <v>41455</v>
      </c>
      <c r="B55">
        <v>16619.2</v>
      </c>
    </row>
    <row r="56" spans="1:5">
      <c r="A56" s="121">
        <v>41547</v>
      </c>
      <c r="B56">
        <v>16872.3</v>
      </c>
    </row>
    <row r="57" spans="1:5">
      <c r="A57" s="121">
        <v>41639</v>
      </c>
      <c r="B57">
        <v>17078.3</v>
      </c>
    </row>
    <row r="58" spans="1:5">
      <c r="A58" s="121">
        <v>41729</v>
      </c>
      <c r="B58">
        <v>17044</v>
      </c>
    </row>
    <row r="59" spans="1:5">
      <c r="A59" s="121">
        <v>41820</v>
      </c>
      <c r="B59">
        <v>17328.2</v>
      </c>
    </row>
    <row r="60" spans="1:5">
      <c r="A60" s="121">
        <v>41912</v>
      </c>
      <c r="B60">
        <v>17599.8</v>
      </c>
    </row>
    <row r="61" spans="1:5">
      <c r="A61" s="121">
        <v>42004</v>
      </c>
      <c r="B61">
        <v>17703.7</v>
      </c>
    </row>
    <row r="62" spans="1:5">
      <c r="A62" s="121">
        <v>42094</v>
      </c>
      <c r="B62">
        <v>17665</v>
      </c>
      <c r="E62" s="121"/>
    </row>
    <row r="63" spans="1:5">
      <c r="A63" s="121">
        <v>42185</v>
      </c>
      <c r="B63">
        <v>17913.7</v>
      </c>
      <c r="E63" s="121"/>
    </row>
    <row r="64" spans="1:5">
      <c r="A64" s="121">
        <v>42277</v>
      </c>
      <c r="B64">
        <v>18060.2</v>
      </c>
    </row>
    <row r="65" spans="1:2">
      <c r="A65" s="121">
        <v>42369</v>
      </c>
      <c r="B65">
        <v>18164.8</v>
      </c>
    </row>
    <row r="66" spans="1:2">
      <c r="A66" s="121">
        <v>42460</v>
      </c>
      <c r="B66" s="128">
        <v>18325.187000000002</v>
      </c>
    </row>
    <row r="67" spans="1:2">
      <c r="A67" s="121">
        <v>42551</v>
      </c>
      <c r="B67" s="128">
        <v>18538.039000000001</v>
      </c>
    </row>
    <row r="68" spans="1:2">
      <c r="A68" s="121">
        <v>42643</v>
      </c>
      <c r="B68" s="128">
        <v>18729.13</v>
      </c>
    </row>
    <row r="69" spans="1:2">
      <c r="A69" s="121">
        <v>42735</v>
      </c>
      <c r="B69" s="128">
        <v>18905.544999999998</v>
      </c>
    </row>
    <row r="70" spans="1:2">
      <c r="A70" s="121">
        <v>42825</v>
      </c>
      <c r="B70" s="128">
        <v>19057.705000000002</v>
      </c>
    </row>
    <row r="71" spans="1:2">
      <c r="A71" s="121">
        <v>42916</v>
      </c>
      <c r="B71" s="128">
        <v>19250.008999999998</v>
      </c>
    </row>
    <row r="72" spans="1:2">
      <c r="A72" s="121">
        <v>43008</v>
      </c>
      <c r="B72" s="128">
        <v>19500.601999999999</v>
      </c>
    </row>
    <row r="73" spans="1:2">
      <c r="A73" s="121">
        <v>43100</v>
      </c>
      <c r="B73" s="128">
        <v>19754.101999999999</v>
      </c>
    </row>
    <row r="74" spans="1:2">
      <c r="A74" s="121">
        <v>43190</v>
      </c>
      <c r="B74" s="128">
        <v>19956.811000000002</v>
      </c>
    </row>
    <row r="75" spans="1:2">
      <c r="A75" s="121">
        <v>43281</v>
      </c>
      <c r="B75" s="128">
        <v>20411.870000000003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showGridLines="0" workbookViewId="0"/>
  </sheetViews>
  <sheetFormatPr defaultRowHeight="14.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4.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12"/>
  <sheetViews>
    <sheetView workbookViewId="0"/>
  </sheetViews>
  <sheetFormatPr defaultRowHeight="14.2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C3"/>
  <sheetViews>
    <sheetView workbookViewId="0"/>
  </sheetViews>
  <sheetFormatPr defaultRowHeight="14.25"/>
  <cols>
    <col min="1" max="5" width="6.265625" bestFit="1" customWidth="1"/>
    <col min="6" max="7" width="11" bestFit="1" customWidth="1"/>
    <col min="8" max="8" width="6.1328125" bestFit="1" customWidth="1"/>
    <col min="9" max="10" width="11" bestFit="1" customWidth="1"/>
    <col min="11" max="11" width="6.1328125" bestFit="1" customWidth="1"/>
    <col min="12" max="13" width="11" bestFit="1" customWidth="1"/>
    <col min="14" max="14" width="6.1328125" bestFit="1" customWidth="1"/>
    <col min="15" max="16" width="11" bestFit="1" customWidth="1"/>
    <col min="17" max="17" width="6.1328125" bestFit="1" customWidth="1"/>
    <col min="18" max="19" width="11" bestFit="1" customWidth="1"/>
    <col min="20" max="20" width="6.1328125" bestFit="1" customWidth="1"/>
    <col min="21" max="22" width="11" bestFit="1" customWidth="1"/>
    <col min="23" max="23" width="6.1328125" bestFit="1" customWidth="1"/>
    <col min="24" max="25" width="11" bestFit="1" customWidth="1"/>
    <col min="26" max="26" width="6.1328125" bestFit="1" customWidth="1"/>
    <col min="27" max="28" width="11" bestFit="1" customWidth="1"/>
    <col min="29" max="29" width="6.1328125" bestFit="1" customWidth="1"/>
  </cols>
  <sheetData>
    <row r="1" spans="1:29">
      <c r="A1" t="s">
        <v>3</v>
      </c>
      <c r="B1" t="s">
        <v>3</v>
      </c>
      <c r="C1" t="s">
        <v>3</v>
      </c>
      <c r="D1" t="s">
        <v>3</v>
      </c>
      <c r="E1" t="s">
        <v>3</v>
      </c>
      <c r="F1" t="s">
        <v>55</v>
      </c>
      <c r="G1" t="s">
        <v>55</v>
      </c>
      <c r="H1" t="s">
        <v>56</v>
      </c>
      <c r="I1" t="s">
        <v>55</v>
      </c>
      <c r="J1" t="s">
        <v>55</v>
      </c>
      <c r="K1" t="s">
        <v>56</v>
      </c>
      <c r="L1" t="s">
        <v>55</v>
      </c>
      <c r="M1" t="s">
        <v>55</v>
      </c>
      <c r="N1" t="s">
        <v>56</v>
      </c>
      <c r="O1" t="s">
        <v>55</v>
      </c>
      <c r="P1" t="s">
        <v>55</v>
      </c>
      <c r="Q1" t="s">
        <v>56</v>
      </c>
      <c r="R1" t="s">
        <v>55</v>
      </c>
      <c r="S1" t="s">
        <v>55</v>
      </c>
      <c r="T1" t="s">
        <v>56</v>
      </c>
      <c r="U1" t="s">
        <v>55</v>
      </c>
      <c r="V1" t="s">
        <v>55</v>
      </c>
      <c r="W1" t="s">
        <v>56</v>
      </c>
      <c r="X1" t="s">
        <v>55</v>
      </c>
      <c r="Y1" t="s">
        <v>55</v>
      </c>
      <c r="Z1" t="s">
        <v>56</v>
      </c>
      <c r="AA1" t="s">
        <v>55</v>
      </c>
      <c r="AB1" t="s">
        <v>55</v>
      </c>
      <c r="AC1" t="s">
        <v>56</v>
      </c>
    </row>
    <row r="2" spans="1:29">
      <c r="A2" t="s">
        <v>4</v>
      </c>
      <c r="B2" t="s">
        <v>4</v>
      </c>
      <c r="C2" t="s">
        <v>4</v>
      </c>
      <c r="D2" t="s">
        <v>4</v>
      </c>
      <c r="E2" t="s">
        <v>4</v>
      </c>
      <c r="F2" t="s">
        <v>53</v>
      </c>
      <c r="G2" t="s">
        <v>53</v>
      </c>
      <c r="H2" t="s">
        <v>53</v>
      </c>
      <c r="I2" t="s">
        <v>53</v>
      </c>
      <c r="J2" t="s">
        <v>53</v>
      </c>
      <c r="K2" t="s">
        <v>53</v>
      </c>
      <c r="L2" t="s">
        <v>53</v>
      </c>
      <c r="M2" t="s">
        <v>53</v>
      </c>
      <c r="N2" t="s">
        <v>53</v>
      </c>
      <c r="O2" t="s">
        <v>53</v>
      </c>
      <c r="P2" t="s">
        <v>53</v>
      </c>
      <c r="Q2" t="s">
        <v>53</v>
      </c>
      <c r="R2" t="s">
        <v>53</v>
      </c>
      <c r="S2" t="s">
        <v>53</v>
      </c>
      <c r="T2" t="s">
        <v>53</v>
      </c>
      <c r="U2" t="s">
        <v>53</v>
      </c>
      <c r="V2" t="s">
        <v>53</v>
      </c>
      <c r="W2" t="s">
        <v>53</v>
      </c>
      <c r="X2" t="s">
        <v>53</v>
      </c>
      <c r="Y2" t="s">
        <v>53</v>
      </c>
      <c r="Z2" t="s">
        <v>53</v>
      </c>
      <c r="AA2" t="s">
        <v>53</v>
      </c>
      <c r="AB2" t="s">
        <v>53</v>
      </c>
      <c r="AC2" t="s">
        <v>53</v>
      </c>
    </row>
    <row r="3" spans="1:29">
      <c r="F3" t="s">
        <v>54</v>
      </c>
      <c r="G3" t="s">
        <v>54</v>
      </c>
      <c r="H3" t="s">
        <v>54</v>
      </c>
      <c r="I3" t="s">
        <v>54</v>
      </c>
      <c r="J3" t="s">
        <v>54</v>
      </c>
      <c r="K3" t="s">
        <v>54</v>
      </c>
      <c r="L3" t="s">
        <v>54</v>
      </c>
      <c r="M3" t="s">
        <v>54</v>
      </c>
      <c r="N3" t="s">
        <v>54</v>
      </c>
      <c r="O3" t="s">
        <v>54</v>
      </c>
      <c r="P3" t="s">
        <v>54</v>
      </c>
      <c r="Q3" t="s">
        <v>54</v>
      </c>
      <c r="R3" t="s">
        <v>54</v>
      </c>
      <c r="S3" t="s">
        <v>54</v>
      </c>
      <c r="T3" t="s">
        <v>54</v>
      </c>
      <c r="U3" t="s">
        <v>54</v>
      </c>
      <c r="V3" t="s">
        <v>54</v>
      </c>
      <c r="W3" t="s">
        <v>54</v>
      </c>
      <c r="X3" t="s">
        <v>54</v>
      </c>
      <c r="Y3" t="s">
        <v>54</v>
      </c>
      <c r="Z3" t="s">
        <v>54</v>
      </c>
      <c r="AA3" t="s">
        <v>54</v>
      </c>
      <c r="AB3" t="s">
        <v>54</v>
      </c>
      <c r="AC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7</vt:i4>
      </vt:variant>
      <vt:variant>
        <vt:lpstr>Named Ranges</vt:lpstr>
      </vt:variant>
      <vt:variant>
        <vt:i4>44</vt:i4>
      </vt:variant>
    </vt:vector>
  </HeadingPairs>
  <TitlesOfParts>
    <vt:vector size="57" baseType="lpstr">
      <vt:lpstr>Valuation Model</vt:lpstr>
      <vt:lpstr>Company Analysis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2023-07-11T11:05:46Z</dcterms:modified>
</cp:coreProperties>
</file>