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https://d.docs.live.net/31dfedd50d51e5ce/Documents/Business/Tools/Models/_Base Model/"/>
    </mc:Choice>
  </mc:AlternateContent>
  <xr:revisionPtr revIDLastSave="210" documentId="8_{5CA80A9D-A12F-45BE-9818-0BDF56C945F1}" xr6:coauthVersionLast="40" xr6:coauthVersionMax="40" xr10:uidLastSave="{FF4CD8F4-7D3D-4729-B6E9-D35E5674B54D}"/>
  <bookViews>
    <workbookView xWindow="0" yWindow="0" windowWidth="28800" windowHeight="12750" xr2:uid="{AB59FDA2-BEA1-40EF-A9EC-4AF47DF86A56}"/>
  </bookViews>
  <sheets>
    <sheet name="Bullish Strategy Builder" sheetId="1" r:id="rId1"/>
    <sheet name="Position Chart" sheetId="2" r:id="rId2"/>
    <sheet name="Levered vs Unlevered Chart" sheetId="3" r:id="rId3"/>
    <sheet name="Difference Chart" sheetId="4" r:id="rId4"/>
    <sheet name="Disclaimer" sheetId="5" r:id="rId5"/>
  </sheets>
  <externalReferences>
    <externalReference r:id="rId6"/>
    <externalReference r:id="rId7"/>
  </externalReferences>
  <definedNames>
    <definedName name="coe">[1]Control!$D$9</definedName>
    <definedName name="contract1Size">'Bullish Strategy Builder'!$E$10</definedName>
    <definedName name="contract2Size">'Bullish Strategy Builder'!$H$10</definedName>
    <definedName name="contract3Size">'Bullish Strategy Builder'!$K$10</definedName>
    <definedName name="daycount">[1]Control!#REF!</definedName>
    <definedName name="divYield">[1]Control!$D$8</definedName>
    <definedName name="fullOption1">'Bullish Strategy Builder'!$E$11</definedName>
    <definedName name="fullOption2">'Bullish Strategy Builder'!$H$11</definedName>
    <definedName name="fullOption3">'Bullish Strategy Builder'!$K$11</definedName>
    <definedName name="fullStockAllocation">'Bullish Strategy Builder'!$B$12</definedName>
    <definedName name="fvEstimate">'Bullish Strategy Builder'!$B$8</definedName>
    <definedName name="infl">'[2]Valuation Model'!$M$22</definedName>
    <definedName name="iVol">[1]Control!$C$3</definedName>
    <definedName name="iVol2">[1]Control!$C$4</definedName>
    <definedName name="lowBound">[1]Control!#REF!</definedName>
    <definedName name="NatLogOfPx">[1]Calculations!#REF!</definedName>
    <definedName name="netDrift">[1]Control!$C$8</definedName>
    <definedName name="option1Position">'Bullish Strategy Builder'!$E$7</definedName>
    <definedName name="option1Px">'Bullish Strategy Builder'!$E$9</definedName>
    <definedName name="option2Position">'Bullish Strategy Builder'!$H$7</definedName>
    <definedName name="option2Px">'Bullish Strategy Builder'!$H$9</definedName>
    <definedName name="option3Position">'Bullish Strategy Builder'!$K$7</definedName>
    <definedName name="option3Px">'Bullish Strategy Builder'!$K$9</definedName>
    <definedName name="presentPrice">'Bullish Strategy Builder'!$B$3</definedName>
    <definedName name="sharesOwned">'Bullish Strategy Builder'!$B$11</definedName>
    <definedName name="stockPosition">'Bullish Strategy Builder'!$B$13</definedName>
    <definedName name="stockPx">'Bullish Strategy Builder'!$B$7</definedName>
    <definedName name="strike1">'Bullish Strategy Builder'!$E$8</definedName>
    <definedName name="strike2">'Bullish Strategy Builder'!$H$8</definedName>
    <definedName name="strike3">'Bullish Strategy Builder'!$K$8</definedName>
    <definedName name="upBound">[1]Control!#REF!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J103" i="1" l="1"/>
  <c r="Q3" i="1"/>
  <c r="P3" i="1"/>
  <c r="O3" i="1"/>
  <c r="B12" i="1"/>
  <c r="AV32" i="1" l="1"/>
  <c r="E33" i="1"/>
  <c r="F33" i="1" s="1"/>
  <c r="E32" i="1"/>
  <c r="F32" i="1" s="1"/>
  <c r="E31" i="1"/>
  <c r="F31" i="1" l="1"/>
  <c r="E21" i="1" s="1"/>
  <c r="E23" i="1" s="1"/>
  <c r="E22" i="1"/>
  <c r="B13" i="1"/>
  <c r="E24" i="1" l="1"/>
  <c r="B14" i="1"/>
  <c r="E34" i="1"/>
  <c r="B21" i="1"/>
  <c r="E15" i="1"/>
  <c r="AH3" i="1"/>
  <c r="AC3" i="1"/>
  <c r="AE3" i="1" s="1"/>
  <c r="X3" i="1"/>
  <c r="Z3" i="1" s="1"/>
  <c r="K17" i="1"/>
  <c r="H17" i="1"/>
  <c r="AB3" i="1" s="1"/>
  <c r="E17" i="1"/>
  <c r="W3" i="1" s="1"/>
  <c r="AG3" i="1" l="1"/>
  <c r="AG4" i="1" s="1"/>
  <c r="E25" i="1"/>
  <c r="AD3" i="1"/>
  <c r="AK3" i="1"/>
  <c r="AI3" i="1"/>
  <c r="AG5" i="1"/>
  <c r="AF3" i="1"/>
  <c r="AA3" i="1"/>
  <c r="AB4" i="1"/>
  <c r="W4" i="1"/>
  <c r="W5" i="1" s="1"/>
  <c r="W6" i="1" s="1"/>
  <c r="W7" i="1" s="1"/>
  <c r="W8" i="1" s="1"/>
  <c r="W9" i="1" s="1"/>
  <c r="W10" i="1" s="1"/>
  <c r="W11" i="1" s="1"/>
  <c r="W12" i="1" s="1"/>
  <c r="W13" i="1" s="1"/>
  <c r="W14" i="1" s="1"/>
  <c r="W15" i="1" s="1"/>
  <c r="W16" i="1" s="1"/>
  <c r="W17" i="1" s="1"/>
  <c r="W18" i="1" s="1"/>
  <c r="W19" i="1" s="1"/>
  <c r="W20" i="1" s="1"/>
  <c r="W21" i="1" s="1"/>
  <c r="W22" i="1" s="1"/>
  <c r="W23" i="1" s="1"/>
  <c r="W24" i="1" s="1"/>
  <c r="W25" i="1" s="1"/>
  <c r="W26" i="1" s="1"/>
  <c r="W27" i="1" s="1"/>
  <c r="W28" i="1" s="1"/>
  <c r="W29" i="1" s="1"/>
  <c r="W30" i="1" s="1"/>
  <c r="W31" i="1" s="1"/>
  <c r="Y3" i="1"/>
  <c r="AW3" i="1"/>
  <c r="AV4" i="1"/>
  <c r="AV5" i="1"/>
  <c r="AV6" i="1"/>
  <c r="AV7" i="1"/>
  <c r="AV8" i="1"/>
  <c r="AV9" i="1"/>
  <c r="AV10" i="1"/>
  <c r="AV11" i="1"/>
  <c r="AV12" i="1"/>
  <c r="AV13" i="1"/>
  <c r="AV14" i="1"/>
  <c r="AV15" i="1"/>
  <c r="AV16" i="1"/>
  <c r="AV17" i="1"/>
  <c r="AV18" i="1"/>
  <c r="AV19" i="1"/>
  <c r="AV20" i="1"/>
  <c r="AV21" i="1"/>
  <c r="AV22" i="1"/>
  <c r="AV23" i="1"/>
  <c r="AV24" i="1"/>
  <c r="AV25" i="1"/>
  <c r="AV26" i="1"/>
  <c r="AV27" i="1"/>
  <c r="AV28" i="1"/>
  <c r="AV29" i="1"/>
  <c r="AV30" i="1"/>
  <c r="AV31"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3" i="1"/>
  <c r="N103" i="1"/>
  <c r="B17" i="1"/>
  <c r="V3" i="1"/>
  <c r="AL3" i="1" s="1"/>
  <c r="O103" i="1" l="1"/>
  <c r="P103" i="1"/>
  <c r="Q103" i="1"/>
  <c r="AO3" i="1"/>
  <c r="W32" i="1"/>
  <c r="W33" i="1" s="1"/>
  <c r="W34" i="1" s="1"/>
  <c r="W35" i="1" s="1"/>
  <c r="W36" i="1" s="1"/>
  <c r="W37" i="1" s="1"/>
  <c r="W38" i="1" s="1"/>
  <c r="W39" i="1" s="1"/>
  <c r="W40" i="1" s="1"/>
  <c r="W41" i="1" s="1"/>
  <c r="W42" i="1" s="1"/>
  <c r="W43" i="1" s="1"/>
  <c r="W44" i="1" s="1"/>
  <c r="W45" i="1" s="1"/>
  <c r="W46" i="1" s="1"/>
  <c r="W47" i="1" s="1"/>
  <c r="W48" i="1" s="1"/>
  <c r="W49" i="1" s="1"/>
  <c r="W50" i="1" s="1"/>
  <c r="W51" i="1" s="1"/>
  <c r="W52" i="1" s="1"/>
  <c r="W53" i="1" s="1"/>
  <c r="W54" i="1" s="1"/>
  <c r="W55" i="1" s="1"/>
  <c r="W56" i="1" s="1"/>
  <c r="W57" i="1" s="1"/>
  <c r="W58" i="1" s="1"/>
  <c r="W59" i="1" s="1"/>
  <c r="W60" i="1" s="1"/>
  <c r="W61" i="1" s="1"/>
  <c r="W62" i="1" s="1"/>
  <c r="W63" i="1" s="1"/>
  <c r="W64" i="1" s="1"/>
  <c r="W65" i="1" s="1"/>
  <c r="W66" i="1" s="1"/>
  <c r="W67" i="1" s="1"/>
  <c r="W68" i="1" s="1"/>
  <c r="W69" i="1" s="1"/>
  <c r="W70" i="1" s="1"/>
  <c r="W71" i="1" s="1"/>
  <c r="W72" i="1" s="1"/>
  <c r="W73" i="1" s="1"/>
  <c r="W74" i="1" s="1"/>
  <c r="W75" i="1" s="1"/>
  <c r="W76" i="1" s="1"/>
  <c r="W77" i="1" s="1"/>
  <c r="W78" i="1" s="1"/>
  <c r="W79" i="1" s="1"/>
  <c r="W80" i="1" s="1"/>
  <c r="W81" i="1" s="1"/>
  <c r="W82" i="1" s="1"/>
  <c r="W83" i="1" s="1"/>
  <c r="W84" i="1" s="1"/>
  <c r="W85" i="1" s="1"/>
  <c r="W86" i="1" s="1"/>
  <c r="W87" i="1" s="1"/>
  <c r="W88" i="1" s="1"/>
  <c r="W89" i="1" s="1"/>
  <c r="W90" i="1" s="1"/>
  <c r="W91" i="1" s="1"/>
  <c r="W92" i="1" s="1"/>
  <c r="W93" i="1" s="1"/>
  <c r="W94" i="1" s="1"/>
  <c r="W95" i="1" s="1"/>
  <c r="W96" i="1" s="1"/>
  <c r="W97" i="1" s="1"/>
  <c r="W98" i="1" s="1"/>
  <c r="W99" i="1" s="1"/>
  <c r="W100" i="1" s="1"/>
  <c r="W101" i="1" s="1"/>
  <c r="W102" i="1" s="1"/>
  <c r="W103" i="1" s="1"/>
  <c r="Y103" i="1" s="1"/>
  <c r="AH103" i="1"/>
  <c r="AQ103" i="1"/>
  <c r="AM3" i="1"/>
  <c r="AK103" i="1"/>
  <c r="AG6" i="1"/>
  <c r="AC103" i="1"/>
  <c r="AE103" i="1" s="1"/>
  <c r="AB5" i="1"/>
  <c r="X103" i="1"/>
  <c r="Z103" i="1" s="1"/>
  <c r="AX3" i="1"/>
  <c r="N4" i="1"/>
  <c r="AW103" i="1"/>
  <c r="AX103" i="1" s="1"/>
  <c r="K14" i="1"/>
  <c r="K13" i="1"/>
  <c r="K15" i="1"/>
  <c r="H14" i="1"/>
  <c r="H13" i="1"/>
  <c r="H15" i="1"/>
  <c r="E14" i="1"/>
  <c r="E13" i="1"/>
  <c r="AQ4" i="1" l="1"/>
  <c r="Q4" i="1"/>
  <c r="AJ3" i="1" s="1"/>
  <c r="AP3" i="1" s="1"/>
  <c r="O4" i="1"/>
  <c r="Z4" i="1" s="1"/>
  <c r="P4" i="1"/>
  <c r="AE4" i="1" s="1"/>
  <c r="AA103" i="1"/>
  <c r="AH4" i="1"/>
  <c r="AG7" i="1"/>
  <c r="AC4" i="1"/>
  <c r="AF103" i="1"/>
  <c r="AB6" i="1"/>
  <c r="X4" i="1"/>
  <c r="AW4" i="1"/>
  <c r="AX4" i="1" s="1"/>
  <c r="B16" i="1"/>
  <c r="E16" i="1" s="1"/>
  <c r="K16" i="1" l="1"/>
  <c r="AD4" i="1"/>
  <c r="AI4" i="1"/>
  <c r="H16" i="1"/>
  <c r="AM103" i="1"/>
  <c r="AK4" i="1"/>
  <c r="AG8" i="1"/>
  <c r="AF4" i="1"/>
  <c r="Y4" i="1"/>
  <c r="AA4" i="1"/>
  <c r="AB7" i="1"/>
  <c r="B22" i="1"/>
  <c r="B23" i="1"/>
  <c r="V103" i="1"/>
  <c r="AL103" i="1" s="1"/>
  <c r="AO4" i="1" l="1"/>
  <c r="AN103" i="1"/>
  <c r="H23" i="1"/>
  <c r="AM4" i="1"/>
  <c r="AG9" i="1"/>
  <c r="AB8" i="1"/>
  <c r="N5" i="1"/>
  <c r="V4" i="1"/>
  <c r="AL4" i="1" s="1"/>
  <c r="AQ5" i="1" l="1"/>
  <c r="P5" i="1"/>
  <c r="AE5" i="1" s="1"/>
  <c r="Q5" i="1"/>
  <c r="AJ4" i="1" s="1"/>
  <c r="AP4" i="1" s="1"/>
  <c r="AR4" i="1" s="1"/>
  <c r="O5" i="1"/>
  <c r="Z5" i="1" s="1"/>
  <c r="AH5" i="1"/>
  <c r="AG10" i="1"/>
  <c r="AC5" i="1"/>
  <c r="AB9" i="1"/>
  <c r="X5" i="1"/>
  <c r="AW5" i="1"/>
  <c r="AX5" i="1" s="1"/>
  <c r="N6" i="1"/>
  <c r="V5" i="1"/>
  <c r="AL5" i="1" s="1"/>
  <c r="AQ6" i="1" l="1"/>
  <c r="Q6" i="1"/>
  <c r="AJ5" i="1" s="1"/>
  <c r="O6" i="1"/>
  <c r="Z6" i="1" s="1"/>
  <c r="P6" i="1"/>
  <c r="AE6" i="1" s="1"/>
  <c r="AD5" i="1"/>
  <c r="AI5" i="1"/>
  <c r="AA5" i="1"/>
  <c r="AK5" i="1"/>
  <c r="AH6" i="1"/>
  <c r="AG11" i="1"/>
  <c r="AC6" i="1"/>
  <c r="AF5" i="1"/>
  <c r="Y5" i="1"/>
  <c r="AB10" i="1"/>
  <c r="X6" i="1"/>
  <c r="AW6" i="1"/>
  <c r="AX6" i="1" s="1"/>
  <c r="N7" i="1"/>
  <c r="V6" i="1"/>
  <c r="AL6" i="1" s="1"/>
  <c r="AQ7" i="1" l="1"/>
  <c r="O7" i="1"/>
  <c r="Z7" i="1" s="1"/>
  <c r="P7" i="1"/>
  <c r="AE7" i="1" s="1"/>
  <c r="Q7" i="1"/>
  <c r="AJ6" i="1" s="1"/>
  <c r="AO5" i="1"/>
  <c r="AD6" i="1"/>
  <c r="AI6" i="1"/>
  <c r="AA6" i="1"/>
  <c r="AM5" i="1"/>
  <c r="AN5" i="1" s="1"/>
  <c r="AK6" i="1"/>
  <c r="AH7" i="1"/>
  <c r="AG12" i="1"/>
  <c r="AC7" i="1"/>
  <c r="AP5" i="1"/>
  <c r="AR5" i="1" s="1"/>
  <c r="AF6" i="1"/>
  <c r="AB11" i="1"/>
  <c r="X7" i="1"/>
  <c r="Y6" i="1"/>
  <c r="AW7" i="1"/>
  <c r="AX7" i="1" s="1"/>
  <c r="V7" i="1"/>
  <c r="AL7" i="1" s="1"/>
  <c r="N8" i="1"/>
  <c r="AQ8" i="1" l="1"/>
  <c r="Q8" i="1"/>
  <c r="AJ7" i="1" s="1"/>
  <c r="O8" i="1"/>
  <c r="Z8" i="1" s="1"/>
  <c r="P8" i="1"/>
  <c r="AE8" i="1" s="1"/>
  <c r="AO6" i="1"/>
  <c r="AD7" i="1"/>
  <c r="AI7" i="1"/>
  <c r="AA7" i="1"/>
  <c r="AP6" i="1"/>
  <c r="AR6" i="1" s="1"/>
  <c r="AH8" i="1"/>
  <c r="AK7" i="1"/>
  <c r="AM6" i="1"/>
  <c r="AN6" i="1" s="1"/>
  <c r="AG13" i="1"/>
  <c r="AC8" i="1"/>
  <c r="AF7" i="1"/>
  <c r="AB12" i="1"/>
  <c r="X8" i="1"/>
  <c r="Y7" i="1"/>
  <c r="V8" i="1"/>
  <c r="AL8" i="1" s="1"/>
  <c r="N9" i="1"/>
  <c r="AW8" i="1"/>
  <c r="AX8" i="1" s="1"/>
  <c r="AQ9" i="1" l="1"/>
  <c r="P9" i="1"/>
  <c r="AE9" i="1" s="1"/>
  <c r="Q9" i="1"/>
  <c r="AJ8" i="1" s="1"/>
  <c r="O9" i="1"/>
  <c r="Z9" i="1" s="1"/>
  <c r="AD8" i="1"/>
  <c r="AO7" i="1"/>
  <c r="AI8" i="1"/>
  <c r="AA8" i="1"/>
  <c r="AM7" i="1"/>
  <c r="AN7" i="1" s="1"/>
  <c r="Y8" i="1"/>
  <c r="AH9" i="1"/>
  <c r="AK8" i="1"/>
  <c r="AG14" i="1"/>
  <c r="AC9" i="1"/>
  <c r="AP7" i="1"/>
  <c r="AR7" i="1" s="1"/>
  <c r="AF8" i="1"/>
  <c r="AB13" i="1"/>
  <c r="X9" i="1"/>
  <c r="V9" i="1"/>
  <c r="AL9" i="1" s="1"/>
  <c r="N10" i="1"/>
  <c r="AW9" i="1"/>
  <c r="AX9" i="1" s="1"/>
  <c r="AQ10" i="1" l="1"/>
  <c r="Q10" i="1"/>
  <c r="AJ9" i="1" s="1"/>
  <c r="O10" i="1"/>
  <c r="Z10" i="1" s="1"/>
  <c r="P10" i="1"/>
  <c r="AE10" i="1" s="1"/>
  <c r="AI9" i="1"/>
  <c r="AD9" i="1"/>
  <c r="AO8" i="1"/>
  <c r="AA9" i="1"/>
  <c r="AP8" i="1"/>
  <c r="AR8" i="1" s="1"/>
  <c r="AM8" i="1"/>
  <c r="AN8" i="1" s="1"/>
  <c r="AH10" i="1"/>
  <c r="AK9" i="1"/>
  <c r="AG15" i="1"/>
  <c r="AC10" i="1"/>
  <c r="Y9" i="1"/>
  <c r="AF9" i="1"/>
  <c r="AB14" i="1"/>
  <c r="X10" i="1"/>
  <c r="AW10" i="1"/>
  <c r="AX10" i="1" s="1"/>
  <c r="V10" i="1"/>
  <c r="AL10" i="1" s="1"/>
  <c r="N11" i="1"/>
  <c r="AQ11" i="1" l="1"/>
  <c r="O11" i="1"/>
  <c r="Z11" i="1" s="1"/>
  <c r="P11" i="1"/>
  <c r="AE11" i="1" s="1"/>
  <c r="Q11" i="1"/>
  <c r="AJ10" i="1" s="1"/>
  <c r="AO9" i="1"/>
  <c r="AD10" i="1"/>
  <c r="AA10" i="1"/>
  <c r="AM9" i="1"/>
  <c r="AN9" i="1" s="1"/>
  <c r="AK10" i="1"/>
  <c r="AP9" i="1"/>
  <c r="AR9" i="1" s="1"/>
  <c r="AH11" i="1"/>
  <c r="AI10" i="1"/>
  <c r="AG16" i="1"/>
  <c r="AC11" i="1"/>
  <c r="AF10" i="1"/>
  <c r="AW11" i="1"/>
  <c r="AX11" i="1" s="1"/>
  <c r="AB15" i="1"/>
  <c r="X11" i="1"/>
  <c r="Y10" i="1"/>
  <c r="N12" i="1"/>
  <c r="V11" i="1"/>
  <c r="AL11" i="1" s="1"/>
  <c r="AQ12" i="1" l="1"/>
  <c r="Q12" i="1"/>
  <c r="AJ11" i="1" s="1"/>
  <c r="O12" i="1"/>
  <c r="Z12" i="1" s="1"/>
  <c r="P12" i="1"/>
  <c r="AE12" i="1" s="1"/>
  <c r="AI11" i="1"/>
  <c r="AD11" i="1"/>
  <c r="AA11" i="1"/>
  <c r="AO10" i="1"/>
  <c r="AM10" i="1"/>
  <c r="AN10" i="1" s="1"/>
  <c r="AH12" i="1"/>
  <c r="AK11" i="1"/>
  <c r="AG17" i="1"/>
  <c r="V12" i="1"/>
  <c r="AL12" i="1" s="1"/>
  <c r="AP10" i="1"/>
  <c r="AR10" i="1" s="1"/>
  <c r="AF11" i="1"/>
  <c r="AC12" i="1"/>
  <c r="AB16" i="1"/>
  <c r="N13" i="1"/>
  <c r="X12" i="1"/>
  <c r="AW12" i="1"/>
  <c r="AX12" i="1" s="1"/>
  <c r="Y11" i="1"/>
  <c r="AQ13" i="1" l="1"/>
  <c r="P13" i="1"/>
  <c r="Q13" i="1"/>
  <c r="AJ12" i="1" s="1"/>
  <c r="O13" i="1"/>
  <c r="Z13" i="1" s="1"/>
  <c r="AO11" i="1"/>
  <c r="AI12" i="1"/>
  <c r="AA12" i="1"/>
  <c r="AW13" i="1"/>
  <c r="AX13" i="1" s="1"/>
  <c r="AM11" i="1"/>
  <c r="AN11" i="1" s="1"/>
  <c r="AP11" i="1"/>
  <c r="AR11" i="1" s="1"/>
  <c r="AH13" i="1"/>
  <c r="AK12" i="1"/>
  <c r="AG18" i="1"/>
  <c r="AF12" i="1"/>
  <c r="AC13" i="1"/>
  <c r="AD12" i="1"/>
  <c r="AB17" i="1"/>
  <c r="N14" i="1"/>
  <c r="V13" i="1"/>
  <c r="AL13" i="1" s="1"/>
  <c r="Y12" i="1"/>
  <c r="X13" i="1"/>
  <c r="Q14" i="1" l="1"/>
  <c r="AJ13" i="1" s="1"/>
  <c r="O14" i="1"/>
  <c r="Z14" i="1" s="1"/>
  <c r="P14" i="1"/>
  <c r="AE13" i="1"/>
  <c r="AI13" i="1"/>
  <c r="AD13" i="1"/>
  <c r="AA13" i="1"/>
  <c r="X14" i="1"/>
  <c r="AQ14" i="1"/>
  <c r="AO12" i="1"/>
  <c r="AM12" i="1"/>
  <c r="AN12" i="1" s="1"/>
  <c r="Y13" i="1"/>
  <c r="AH14" i="1"/>
  <c r="V14" i="1"/>
  <c r="AL14" i="1" s="1"/>
  <c r="AP12" i="1"/>
  <c r="AR12" i="1" s="1"/>
  <c r="AK13" i="1"/>
  <c r="AG19" i="1"/>
  <c r="AF13" i="1"/>
  <c r="AC14" i="1"/>
  <c r="AE14" i="1" s="1"/>
  <c r="N15" i="1"/>
  <c r="AW14" i="1"/>
  <c r="AX14" i="1" s="1"/>
  <c r="AB18" i="1"/>
  <c r="O15" i="1" l="1"/>
  <c r="Z15" i="1" s="1"/>
  <c r="P15" i="1"/>
  <c r="Q15" i="1"/>
  <c r="AJ14" i="1" s="1"/>
  <c r="AO13" i="1"/>
  <c r="AA14" i="1"/>
  <c r="Y14" i="1"/>
  <c r="V15" i="1"/>
  <c r="AL15" i="1" s="1"/>
  <c r="AQ15" i="1"/>
  <c r="AP13" i="1"/>
  <c r="AR13" i="1" s="1"/>
  <c r="AM13" i="1"/>
  <c r="AN13" i="1" s="1"/>
  <c r="AH15" i="1"/>
  <c r="X15" i="1"/>
  <c r="AK14" i="1"/>
  <c r="AW15" i="1"/>
  <c r="AX15" i="1" s="1"/>
  <c r="AI14" i="1"/>
  <c r="AG20" i="1"/>
  <c r="AF14" i="1"/>
  <c r="AC15" i="1"/>
  <c r="AE15" i="1" s="1"/>
  <c r="N16" i="1"/>
  <c r="AD14" i="1"/>
  <c r="AB19" i="1"/>
  <c r="X16" i="1" l="1"/>
  <c r="Y16" i="1" s="1"/>
  <c r="Q16" i="1"/>
  <c r="AJ15" i="1" s="1"/>
  <c r="O16" i="1"/>
  <c r="Z16" i="1" s="1"/>
  <c r="P16" i="1"/>
  <c r="AI15" i="1"/>
  <c r="AD15" i="1"/>
  <c r="AA16" i="1"/>
  <c r="AA15" i="1"/>
  <c r="AO14" i="1"/>
  <c r="AW16" i="1"/>
  <c r="AX16" i="1" s="1"/>
  <c r="AQ16" i="1"/>
  <c r="V16" i="1"/>
  <c r="AL16" i="1" s="1"/>
  <c r="AP14" i="1"/>
  <c r="AR14" i="1" s="1"/>
  <c r="N17" i="1"/>
  <c r="AH16" i="1"/>
  <c r="AM14" i="1"/>
  <c r="AN14" i="1" s="1"/>
  <c r="Y15" i="1"/>
  <c r="AK15" i="1"/>
  <c r="AG21" i="1"/>
  <c r="AF15" i="1"/>
  <c r="AC16" i="1"/>
  <c r="AB20" i="1"/>
  <c r="P17" i="1" l="1"/>
  <c r="Q17" i="1"/>
  <c r="AJ16" i="1" s="1"/>
  <c r="O17" i="1"/>
  <c r="Z17" i="1" s="1"/>
  <c r="AE16" i="1"/>
  <c r="AO15" i="1"/>
  <c r="AI16" i="1"/>
  <c r="AD16" i="1"/>
  <c r="AO16" i="1" s="1"/>
  <c r="AH17" i="1"/>
  <c r="AI17" i="1" s="1"/>
  <c r="AQ17" i="1"/>
  <c r="V17" i="1"/>
  <c r="AL17" i="1" s="1"/>
  <c r="X17" i="1"/>
  <c r="AW17" i="1"/>
  <c r="AX17" i="1" s="1"/>
  <c r="AC17" i="1"/>
  <c r="AE17" i="1" s="1"/>
  <c r="N18" i="1"/>
  <c r="AP15" i="1"/>
  <c r="AR15" i="1" s="1"/>
  <c r="AM15" i="1"/>
  <c r="AN15" i="1" s="1"/>
  <c r="AK16" i="1"/>
  <c r="AG22" i="1"/>
  <c r="AF16" i="1"/>
  <c r="AB21" i="1"/>
  <c r="AC18" i="1" l="1"/>
  <c r="Q18" i="1"/>
  <c r="AJ17" i="1" s="1"/>
  <c r="O18" i="1"/>
  <c r="Z18" i="1" s="1"/>
  <c r="P18" i="1"/>
  <c r="AD17" i="1"/>
  <c r="AK17" i="1"/>
  <c r="AA17" i="1"/>
  <c r="AH18" i="1"/>
  <c r="N19" i="1"/>
  <c r="AQ18" i="1"/>
  <c r="AW18" i="1"/>
  <c r="AX18" i="1" s="1"/>
  <c r="X18" i="1"/>
  <c r="AF17" i="1"/>
  <c r="Y17" i="1"/>
  <c r="V18" i="1"/>
  <c r="AL18" i="1" s="1"/>
  <c r="AP16" i="1"/>
  <c r="AR16" i="1" s="1"/>
  <c r="AM16" i="1"/>
  <c r="AN16" i="1" s="1"/>
  <c r="AG23" i="1"/>
  <c r="AF18" i="1"/>
  <c r="AD18" i="1"/>
  <c r="AB22" i="1"/>
  <c r="V19" i="1" l="1"/>
  <c r="AL19" i="1" s="1"/>
  <c r="O19" i="1"/>
  <c r="Z19" i="1" s="1"/>
  <c r="P19" i="1"/>
  <c r="Q19" i="1"/>
  <c r="AJ18" i="1" s="1"/>
  <c r="AE18" i="1"/>
  <c r="AO17" i="1"/>
  <c r="AM17" i="1"/>
  <c r="AN17" i="1" s="1"/>
  <c r="AI18" i="1"/>
  <c r="AA18" i="1"/>
  <c r="AK18" i="1"/>
  <c r="X19" i="1"/>
  <c r="AW19" i="1"/>
  <c r="AX19" i="1" s="1"/>
  <c r="AQ19" i="1"/>
  <c r="N20" i="1"/>
  <c r="AC19" i="1"/>
  <c r="AE19" i="1" s="1"/>
  <c r="AH19" i="1"/>
  <c r="AP17" i="1"/>
  <c r="AR17" i="1" s="1"/>
  <c r="Y18" i="1"/>
  <c r="AG24" i="1"/>
  <c r="AB23" i="1"/>
  <c r="Q20" i="1" l="1"/>
  <c r="AJ19" i="1" s="1"/>
  <c r="O20" i="1"/>
  <c r="Z20" i="1" s="1"/>
  <c r="P20" i="1"/>
  <c r="AO18" i="1"/>
  <c r="AM18" i="1"/>
  <c r="AN18" i="1" s="1"/>
  <c r="AA19" i="1"/>
  <c r="Y19" i="1"/>
  <c r="AP18" i="1"/>
  <c r="AR18" i="1" s="1"/>
  <c r="AQ20" i="1"/>
  <c r="AW20" i="1"/>
  <c r="AX20" i="1" s="1"/>
  <c r="X20" i="1"/>
  <c r="V20" i="1"/>
  <c r="AL20" i="1" s="1"/>
  <c r="AH20" i="1"/>
  <c r="AC20" i="1"/>
  <c r="N21" i="1"/>
  <c r="AI19" i="1"/>
  <c r="AK19" i="1"/>
  <c r="AD19" i="1"/>
  <c r="AF19" i="1"/>
  <c r="AG25" i="1"/>
  <c r="AB24" i="1"/>
  <c r="P21" i="1" l="1"/>
  <c r="Q21" i="1"/>
  <c r="AJ20" i="1" s="1"/>
  <c r="O21" i="1"/>
  <c r="Z21" i="1" s="1"/>
  <c r="AE20" i="1"/>
  <c r="AP19" i="1"/>
  <c r="AR19" i="1" s="1"/>
  <c r="AO19" i="1"/>
  <c r="AQ21" i="1"/>
  <c r="AW21" i="1"/>
  <c r="AX21" i="1" s="1"/>
  <c r="X21" i="1"/>
  <c r="V21" i="1"/>
  <c r="AL21" i="1" s="1"/>
  <c r="N22" i="1"/>
  <c r="AC21" i="1"/>
  <c r="AE21" i="1" s="1"/>
  <c r="AH21" i="1"/>
  <c r="AA20" i="1"/>
  <c r="Y20" i="1"/>
  <c r="AD20" i="1"/>
  <c r="AF20" i="1"/>
  <c r="AM19" i="1"/>
  <c r="AN19" i="1" s="1"/>
  <c r="AI20" i="1"/>
  <c r="AK20" i="1"/>
  <c r="AG26" i="1"/>
  <c r="AB25" i="1"/>
  <c r="Q22" i="1" l="1"/>
  <c r="AJ21" i="1" s="1"/>
  <c r="O22" i="1"/>
  <c r="Z22" i="1" s="1"/>
  <c r="P22" i="1"/>
  <c r="AO20" i="1"/>
  <c r="AM20" i="1"/>
  <c r="AN20" i="1" s="1"/>
  <c r="AI21" i="1"/>
  <c r="AK21" i="1"/>
  <c r="AA21" i="1"/>
  <c r="Y21" i="1"/>
  <c r="AP20" i="1"/>
  <c r="AR20" i="1" s="1"/>
  <c r="AD21" i="1"/>
  <c r="AF21" i="1"/>
  <c r="AQ22" i="1"/>
  <c r="AC22" i="1"/>
  <c r="V22" i="1"/>
  <c r="AL22" i="1" s="1"/>
  <c r="N23" i="1"/>
  <c r="AH22" i="1"/>
  <c r="X22" i="1"/>
  <c r="AW22" i="1"/>
  <c r="AX22" i="1" s="1"/>
  <c r="AG27" i="1"/>
  <c r="AB26" i="1"/>
  <c r="AE22" i="1" l="1"/>
  <c r="O23" i="1"/>
  <c r="Z23" i="1" s="1"/>
  <c r="P23" i="1"/>
  <c r="Q23" i="1"/>
  <c r="AJ22" i="1" s="1"/>
  <c r="AQ23" i="1"/>
  <c r="X23" i="1"/>
  <c r="N24" i="1"/>
  <c r="AC23" i="1"/>
  <c r="AE23" i="1" s="1"/>
  <c r="AH23" i="1"/>
  <c r="AW23" i="1"/>
  <c r="AX23" i="1" s="1"/>
  <c r="V23" i="1"/>
  <c r="AL23" i="1" s="1"/>
  <c r="AO21" i="1"/>
  <c r="AI22" i="1"/>
  <c r="AK22" i="1"/>
  <c r="AP21" i="1"/>
  <c r="AR21" i="1" s="1"/>
  <c r="AA22" i="1"/>
  <c r="Y22" i="1"/>
  <c r="AD22" i="1"/>
  <c r="AF22" i="1"/>
  <c r="AM21" i="1"/>
  <c r="AN21" i="1" s="1"/>
  <c r="AG28" i="1"/>
  <c r="AB27" i="1"/>
  <c r="Q24" i="1" l="1"/>
  <c r="AJ23" i="1" s="1"/>
  <c r="O24" i="1"/>
  <c r="Z24" i="1" s="1"/>
  <c r="P24" i="1"/>
  <c r="AM22" i="1"/>
  <c r="AN22" i="1" s="1"/>
  <c r="AD23" i="1"/>
  <c r="AF23" i="1"/>
  <c r="AP22" i="1"/>
  <c r="AR22" i="1" s="1"/>
  <c r="AQ24" i="1"/>
  <c r="AH24" i="1"/>
  <c r="AW24" i="1"/>
  <c r="AX24" i="1" s="1"/>
  <c r="V24" i="1"/>
  <c r="AL24" i="1" s="1"/>
  <c r="X24" i="1"/>
  <c r="N25" i="1"/>
  <c r="AC24" i="1"/>
  <c r="AE24" i="1" s="1"/>
  <c r="AO22" i="1"/>
  <c r="AA23" i="1"/>
  <c r="Y23" i="1"/>
  <c r="AI23" i="1"/>
  <c r="AK23" i="1"/>
  <c r="AG29" i="1"/>
  <c r="AB28" i="1"/>
  <c r="P25" i="1" l="1"/>
  <c r="Q25" i="1"/>
  <c r="AJ24" i="1" s="1"/>
  <c r="O25" i="1"/>
  <c r="Z25" i="1" s="1"/>
  <c r="AO23" i="1"/>
  <c r="AD24" i="1"/>
  <c r="AF24" i="1"/>
  <c r="AM23" i="1"/>
  <c r="AN23" i="1" s="1"/>
  <c r="AQ25" i="1"/>
  <c r="X25" i="1"/>
  <c r="N26" i="1"/>
  <c r="AW25" i="1"/>
  <c r="AX25" i="1" s="1"/>
  <c r="AH25" i="1"/>
  <c r="AC25" i="1"/>
  <c r="AE25" i="1" s="1"/>
  <c r="V25" i="1"/>
  <c r="AL25" i="1" s="1"/>
  <c r="AK24" i="1"/>
  <c r="AI24" i="1"/>
  <c r="AP23" i="1"/>
  <c r="AR23" i="1" s="1"/>
  <c r="AA24" i="1"/>
  <c r="Y24" i="1"/>
  <c r="AG30" i="1"/>
  <c r="AB29" i="1"/>
  <c r="Q26" i="1" l="1"/>
  <c r="AJ25" i="1" s="1"/>
  <c r="O26" i="1"/>
  <c r="Z26" i="1" s="1"/>
  <c r="P26" i="1"/>
  <c r="AO24" i="1"/>
  <c r="AQ26" i="1"/>
  <c r="AC26" i="1"/>
  <c r="AW26" i="1"/>
  <c r="AX26" i="1" s="1"/>
  <c r="V26" i="1"/>
  <c r="AL26" i="1" s="1"/>
  <c r="AH26" i="1"/>
  <c r="X26" i="1"/>
  <c r="N27" i="1"/>
  <c r="AD25" i="1"/>
  <c r="AF25" i="1"/>
  <c r="AA25" i="1"/>
  <c r="Y25" i="1"/>
  <c r="AM24" i="1"/>
  <c r="AN24" i="1" s="1"/>
  <c r="AP24" i="1"/>
  <c r="AR24" i="1" s="1"/>
  <c r="AI25" i="1"/>
  <c r="AK25" i="1"/>
  <c r="AG31" i="1"/>
  <c r="AG32" i="1" s="1"/>
  <c r="AB30" i="1"/>
  <c r="O27" i="1" l="1"/>
  <c r="Z27" i="1" s="1"/>
  <c r="P27" i="1"/>
  <c r="Q27" i="1"/>
  <c r="AJ26" i="1" s="1"/>
  <c r="AE26" i="1"/>
  <c r="Y26" i="1"/>
  <c r="AM25" i="1"/>
  <c r="AN25" i="1" s="1"/>
  <c r="AO25" i="1"/>
  <c r="AQ27" i="1"/>
  <c r="V27" i="1"/>
  <c r="AL27" i="1" s="1"/>
  <c r="AH27" i="1"/>
  <c r="AC27" i="1"/>
  <c r="AE27" i="1" s="1"/>
  <c r="AW27" i="1"/>
  <c r="AX27" i="1" s="1"/>
  <c r="X27" i="1"/>
  <c r="N28" i="1"/>
  <c r="AA26" i="1"/>
  <c r="AD26" i="1"/>
  <c r="AF26" i="1"/>
  <c r="AP25" i="1"/>
  <c r="AR25" i="1" s="1"/>
  <c r="AI26" i="1"/>
  <c r="AK26" i="1"/>
  <c r="AB31" i="1"/>
  <c r="AB32" i="1" s="1"/>
  <c r="Q28" i="1" l="1"/>
  <c r="AJ27" i="1" s="1"/>
  <c r="O28" i="1"/>
  <c r="Z28" i="1" s="1"/>
  <c r="P28" i="1"/>
  <c r="AO26" i="1"/>
  <c r="AP26" i="1"/>
  <c r="AR26" i="1" s="1"/>
  <c r="AQ28" i="1"/>
  <c r="AH28" i="1"/>
  <c r="V28" i="1"/>
  <c r="AL28" i="1" s="1"/>
  <c r="X28" i="1"/>
  <c r="AW28" i="1"/>
  <c r="AX28" i="1" s="1"/>
  <c r="AC28" i="1"/>
  <c r="AE28" i="1" s="1"/>
  <c r="N29" i="1"/>
  <c r="AI27" i="1"/>
  <c r="AK27" i="1"/>
  <c r="AD27" i="1"/>
  <c r="AF27" i="1"/>
  <c r="AA27" i="1"/>
  <c r="Y27" i="1"/>
  <c r="AM26" i="1"/>
  <c r="AN26" i="1" s="1"/>
  <c r="AG33" i="1"/>
  <c r="P29" i="1" l="1"/>
  <c r="Q29" i="1"/>
  <c r="AJ28" i="1" s="1"/>
  <c r="O29" i="1"/>
  <c r="Z29" i="1" s="1"/>
  <c r="AM27" i="1"/>
  <c r="AN27" i="1" s="1"/>
  <c r="AO27" i="1"/>
  <c r="AQ29" i="1"/>
  <c r="V29" i="1"/>
  <c r="AL29" i="1" s="1"/>
  <c r="AC29" i="1"/>
  <c r="N30" i="1"/>
  <c r="X29" i="1"/>
  <c r="AH29" i="1"/>
  <c r="AW29" i="1"/>
  <c r="AX29" i="1" s="1"/>
  <c r="Y28" i="1"/>
  <c r="AA28" i="1"/>
  <c r="AK28" i="1"/>
  <c r="AD28" i="1"/>
  <c r="AF28" i="1"/>
  <c r="AP27" i="1"/>
  <c r="AR27" i="1" s="1"/>
  <c r="AI28" i="1"/>
  <c r="AG34" i="1"/>
  <c r="AB33" i="1"/>
  <c r="AE29" i="1" l="1"/>
  <c r="Q30" i="1"/>
  <c r="AJ29" i="1" s="1"/>
  <c r="O30" i="1"/>
  <c r="Z30" i="1" s="1"/>
  <c r="P30" i="1"/>
  <c r="AO28" i="1"/>
  <c r="AQ30" i="1"/>
  <c r="V30" i="1"/>
  <c r="AL30" i="1" s="1"/>
  <c r="AH30" i="1"/>
  <c r="AW30" i="1"/>
  <c r="AX30" i="1" s="1"/>
  <c r="N31" i="1"/>
  <c r="X30" i="1"/>
  <c r="AC30" i="1"/>
  <c r="AE30" i="1" s="1"/>
  <c r="AD29" i="1"/>
  <c r="AF29" i="1"/>
  <c r="AP28" i="1"/>
  <c r="AR28" i="1" s="1"/>
  <c r="AI29" i="1"/>
  <c r="AK29" i="1"/>
  <c r="AM28" i="1"/>
  <c r="AN28" i="1" s="1"/>
  <c r="AA29" i="1"/>
  <c r="Y29" i="1"/>
  <c r="AG35" i="1"/>
  <c r="AB34" i="1"/>
  <c r="N32" i="1" l="1"/>
  <c r="O31" i="1"/>
  <c r="Z31" i="1" s="1"/>
  <c r="P31" i="1"/>
  <c r="Q31" i="1"/>
  <c r="AJ30" i="1" s="1"/>
  <c r="AD30" i="1"/>
  <c r="Y30" i="1"/>
  <c r="X32" i="1"/>
  <c r="AC32" i="1"/>
  <c r="AW32" i="1"/>
  <c r="AX32" i="1" s="1"/>
  <c r="V32" i="1"/>
  <c r="AL32" i="1" s="1"/>
  <c r="AH32" i="1"/>
  <c r="AQ32" i="1"/>
  <c r="AO29" i="1"/>
  <c r="AP29" i="1"/>
  <c r="AR29" i="1" s="1"/>
  <c r="AF30" i="1"/>
  <c r="AI30" i="1"/>
  <c r="AK30" i="1"/>
  <c r="AM29" i="1"/>
  <c r="AN29" i="1" s="1"/>
  <c r="AA30" i="1"/>
  <c r="AQ31" i="1"/>
  <c r="V31" i="1"/>
  <c r="AL31" i="1" s="1"/>
  <c r="AW31" i="1"/>
  <c r="AX31" i="1" s="1"/>
  <c r="AC31" i="1"/>
  <c r="AE31" i="1" s="1"/>
  <c r="X31" i="1"/>
  <c r="AH31" i="1"/>
  <c r="AG36" i="1"/>
  <c r="AB35" i="1"/>
  <c r="Q32" i="1" l="1"/>
  <c r="AJ31" i="1" s="1"/>
  <c r="O32" i="1"/>
  <c r="Z32" i="1" s="1"/>
  <c r="P32" i="1"/>
  <c r="AE32" i="1" s="1"/>
  <c r="AO30" i="1"/>
  <c r="AD32" i="1"/>
  <c r="AI32" i="1"/>
  <c r="Y32" i="1"/>
  <c r="AA32" i="1"/>
  <c r="AK32" i="1"/>
  <c r="AF32" i="1"/>
  <c r="AM30" i="1"/>
  <c r="AN30" i="1" s="1"/>
  <c r="AP30" i="1"/>
  <c r="AR30" i="1" s="1"/>
  <c r="AA31" i="1"/>
  <c r="Y31" i="1"/>
  <c r="AI31" i="1"/>
  <c r="AK31" i="1"/>
  <c r="N33" i="1"/>
  <c r="AD31" i="1"/>
  <c r="AF31" i="1"/>
  <c r="AG37" i="1"/>
  <c r="AB36" i="1"/>
  <c r="P33" i="1" l="1"/>
  <c r="Q33" i="1"/>
  <c r="AJ32" i="1" s="1"/>
  <c r="AP32" i="1" s="1"/>
  <c r="AR32" i="1" s="1"/>
  <c r="O33" i="1"/>
  <c r="Z33" i="1" s="1"/>
  <c r="AO32" i="1"/>
  <c r="AM32" i="1"/>
  <c r="AN32" i="1" s="1"/>
  <c r="AP31" i="1"/>
  <c r="AR31" i="1" s="1"/>
  <c r="AO31" i="1"/>
  <c r="AQ33" i="1"/>
  <c r="AC33" i="1"/>
  <c r="AE33" i="1" s="1"/>
  <c r="X33" i="1"/>
  <c r="N34" i="1"/>
  <c r="AW33" i="1"/>
  <c r="AX33" i="1" s="1"/>
  <c r="AH33" i="1"/>
  <c r="V33" i="1"/>
  <c r="AL33" i="1" s="1"/>
  <c r="AM31" i="1"/>
  <c r="AN31" i="1" s="1"/>
  <c r="AG38" i="1"/>
  <c r="AB37" i="1"/>
  <c r="Q34" i="1" l="1"/>
  <c r="AJ33" i="1" s="1"/>
  <c r="O34" i="1"/>
  <c r="Z34" i="1" s="1"/>
  <c r="P34" i="1"/>
  <c r="AT32" i="1"/>
  <c r="AI33" i="1"/>
  <c r="AK33" i="1"/>
  <c r="AQ34" i="1"/>
  <c r="AH34" i="1"/>
  <c r="AC34" i="1"/>
  <c r="V34" i="1"/>
  <c r="AL34" i="1" s="1"/>
  <c r="N35" i="1"/>
  <c r="X34" i="1"/>
  <c r="AW34" i="1"/>
  <c r="AX34" i="1" s="1"/>
  <c r="AD33" i="1"/>
  <c r="AF33" i="1"/>
  <c r="AA33" i="1"/>
  <c r="Y33" i="1"/>
  <c r="AG39" i="1"/>
  <c r="AB38" i="1"/>
  <c r="O35" i="1" l="1"/>
  <c r="Z35" i="1" s="1"/>
  <c r="P35" i="1"/>
  <c r="Q35" i="1"/>
  <c r="AJ34" i="1" s="1"/>
  <c r="AE34" i="1"/>
  <c r="AP33" i="1"/>
  <c r="AR33" i="1" s="1"/>
  <c r="AM33" i="1"/>
  <c r="AN33" i="1" s="1"/>
  <c r="AQ35" i="1"/>
  <c r="AC35" i="1"/>
  <c r="AE35" i="1" s="1"/>
  <c r="V35" i="1"/>
  <c r="AL35" i="1" s="1"/>
  <c r="X35" i="1"/>
  <c r="AH35" i="1"/>
  <c r="N36" i="1"/>
  <c r="AW35" i="1"/>
  <c r="AX35" i="1" s="1"/>
  <c r="AD34" i="1"/>
  <c r="AF34" i="1"/>
  <c r="AO33" i="1"/>
  <c r="AA34" i="1"/>
  <c r="Y34" i="1"/>
  <c r="AI34" i="1"/>
  <c r="AK34" i="1"/>
  <c r="AG40" i="1"/>
  <c r="AB39" i="1"/>
  <c r="Q36" i="1" l="1"/>
  <c r="AJ35" i="1" s="1"/>
  <c r="O36" i="1"/>
  <c r="Z36" i="1" s="1"/>
  <c r="P36" i="1"/>
  <c r="Y35" i="1"/>
  <c r="AM34" i="1"/>
  <c r="AN34" i="1" s="1"/>
  <c r="AA35" i="1"/>
  <c r="AQ36" i="1"/>
  <c r="X36" i="1"/>
  <c r="V36" i="1"/>
  <c r="AL36" i="1" s="1"/>
  <c r="AH36" i="1"/>
  <c r="N37" i="1"/>
  <c r="AC36" i="1"/>
  <c r="AE36" i="1" s="1"/>
  <c r="AW36" i="1"/>
  <c r="AX36" i="1" s="1"/>
  <c r="AD35" i="1"/>
  <c r="AF35" i="1"/>
  <c r="AO34" i="1"/>
  <c r="AP34" i="1"/>
  <c r="AR34" i="1" s="1"/>
  <c r="AI35" i="1"/>
  <c r="AK35" i="1"/>
  <c r="AG41" i="1"/>
  <c r="AB40" i="1"/>
  <c r="P37" i="1" l="1"/>
  <c r="Q37" i="1"/>
  <c r="AJ36" i="1" s="1"/>
  <c r="O37" i="1"/>
  <c r="Z37" i="1" s="1"/>
  <c r="AO35" i="1"/>
  <c r="AD36" i="1"/>
  <c r="AF36" i="1"/>
  <c r="AQ37" i="1"/>
  <c r="AC37" i="1"/>
  <c r="AE37" i="1" s="1"/>
  <c r="AW37" i="1"/>
  <c r="AX37" i="1" s="1"/>
  <c r="V37" i="1"/>
  <c r="AL37" i="1" s="1"/>
  <c r="AH37" i="1"/>
  <c r="N38" i="1"/>
  <c r="X37" i="1"/>
  <c r="AI36" i="1"/>
  <c r="AK36" i="1"/>
  <c r="AP35" i="1"/>
  <c r="AR35" i="1" s="1"/>
  <c r="AA36" i="1"/>
  <c r="Y36" i="1"/>
  <c r="AM35" i="1"/>
  <c r="AN35" i="1" s="1"/>
  <c r="AG42" i="1"/>
  <c r="AB41" i="1"/>
  <c r="Q38" i="1" l="1"/>
  <c r="AJ37" i="1" s="1"/>
  <c r="O38" i="1"/>
  <c r="Z38" i="1" s="1"/>
  <c r="P38" i="1"/>
  <c r="AP36" i="1"/>
  <c r="AR36" i="1" s="1"/>
  <c r="AM36" i="1"/>
  <c r="AN36" i="1" s="1"/>
  <c r="AI37" i="1"/>
  <c r="AK37" i="1"/>
  <c r="AA37" i="1"/>
  <c r="Y37" i="1"/>
  <c r="AO36" i="1"/>
  <c r="AQ38" i="1"/>
  <c r="X38" i="1"/>
  <c r="AH38" i="1"/>
  <c r="AW38" i="1"/>
  <c r="AX38" i="1" s="1"/>
  <c r="AC38" i="1"/>
  <c r="AE38" i="1" s="1"/>
  <c r="V38" i="1"/>
  <c r="AL38" i="1" s="1"/>
  <c r="N39" i="1"/>
  <c r="AD37" i="1"/>
  <c r="AF37" i="1"/>
  <c r="AG43" i="1"/>
  <c r="AB42" i="1"/>
  <c r="O39" i="1" l="1"/>
  <c r="Z39" i="1" s="1"/>
  <c r="P39" i="1"/>
  <c r="Q39" i="1"/>
  <c r="AJ38" i="1" s="1"/>
  <c r="AO37" i="1"/>
  <c r="AI38" i="1"/>
  <c r="AK38" i="1"/>
  <c r="AM37" i="1"/>
  <c r="AN37" i="1" s="1"/>
  <c r="AA38" i="1"/>
  <c r="Y38" i="1"/>
  <c r="AP37" i="1"/>
  <c r="AR37" i="1" s="1"/>
  <c r="AQ39" i="1"/>
  <c r="AC39" i="1"/>
  <c r="AE39" i="1" s="1"/>
  <c r="X39" i="1"/>
  <c r="V39" i="1"/>
  <c r="AL39" i="1" s="1"/>
  <c r="N40" i="1"/>
  <c r="AH39" i="1"/>
  <c r="AW39" i="1"/>
  <c r="AX39" i="1" s="1"/>
  <c r="AD38" i="1"/>
  <c r="AF38" i="1"/>
  <c r="AG44" i="1"/>
  <c r="AB43" i="1"/>
  <c r="Q40" i="1" l="1"/>
  <c r="AJ39" i="1" s="1"/>
  <c r="O40" i="1"/>
  <c r="Z40" i="1" s="1"/>
  <c r="P40" i="1"/>
  <c r="AA39" i="1"/>
  <c r="Y39" i="1"/>
  <c r="AO38" i="1"/>
  <c r="AI39" i="1"/>
  <c r="AK39" i="1"/>
  <c r="AD39" i="1"/>
  <c r="AF39" i="1"/>
  <c r="AP38" i="1"/>
  <c r="AR38" i="1" s="1"/>
  <c r="AQ40" i="1"/>
  <c r="AC40" i="1"/>
  <c r="V40" i="1"/>
  <c r="AL40" i="1" s="1"/>
  <c r="N41" i="1"/>
  <c r="AW40" i="1"/>
  <c r="AX40" i="1" s="1"/>
  <c r="AH40" i="1"/>
  <c r="X40" i="1"/>
  <c r="AM38" i="1"/>
  <c r="AN38" i="1" s="1"/>
  <c r="AG45" i="1"/>
  <c r="AB44" i="1"/>
  <c r="P41" i="1" l="1"/>
  <c r="Q41" i="1"/>
  <c r="AJ40" i="1" s="1"/>
  <c r="O41" i="1"/>
  <c r="Z41" i="1" s="1"/>
  <c r="AE40" i="1"/>
  <c r="AO39" i="1"/>
  <c r="AA40" i="1"/>
  <c r="Y40" i="1"/>
  <c r="AP39" i="1"/>
  <c r="AR39" i="1" s="1"/>
  <c r="AQ41" i="1"/>
  <c r="AH41" i="1"/>
  <c r="AC41" i="1"/>
  <c r="V41" i="1"/>
  <c r="AL41" i="1" s="1"/>
  <c r="X41" i="1"/>
  <c r="N42" i="1"/>
  <c r="AW41" i="1"/>
  <c r="AX41" i="1" s="1"/>
  <c r="AI40" i="1"/>
  <c r="AK40" i="1"/>
  <c r="AD40" i="1"/>
  <c r="AF40" i="1"/>
  <c r="AM39" i="1"/>
  <c r="AN39" i="1" s="1"/>
  <c r="AG46" i="1"/>
  <c r="AB45" i="1"/>
  <c r="AE41" i="1" l="1"/>
  <c r="Q42" i="1"/>
  <c r="AJ41" i="1" s="1"/>
  <c r="O42" i="1"/>
  <c r="Z42" i="1" s="1"/>
  <c r="P42" i="1"/>
  <c r="AP40" i="1"/>
  <c r="AR40" i="1" s="1"/>
  <c r="AD41" i="1"/>
  <c r="AF41" i="1"/>
  <c r="AQ42" i="1"/>
  <c r="AW42" i="1"/>
  <c r="AX42" i="1" s="1"/>
  <c r="X42" i="1"/>
  <c r="AH42" i="1"/>
  <c r="AC42" i="1"/>
  <c r="AE42" i="1" s="1"/>
  <c r="V42" i="1"/>
  <c r="AL42" i="1" s="1"/>
  <c r="N43" i="1"/>
  <c r="AI41" i="1"/>
  <c r="AK41" i="1"/>
  <c r="AO40" i="1"/>
  <c r="AA41" i="1"/>
  <c r="Y41" i="1"/>
  <c r="AM40" i="1"/>
  <c r="AN40" i="1" s="1"/>
  <c r="AG47" i="1"/>
  <c r="AB46" i="1"/>
  <c r="O43" i="1" l="1"/>
  <c r="Z43" i="1" s="1"/>
  <c r="P43" i="1"/>
  <c r="Q43" i="1"/>
  <c r="AJ42" i="1" s="1"/>
  <c r="AO41" i="1"/>
  <c r="AM41" i="1"/>
  <c r="AN41" i="1" s="1"/>
  <c r="AI42" i="1"/>
  <c r="AK42" i="1"/>
  <c r="AD42" i="1"/>
  <c r="AF42" i="1"/>
  <c r="AQ43" i="1"/>
  <c r="AW43" i="1"/>
  <c r="AX43" i="1" s="1"/>
  <c r="N44" i="1"/>
  <c r="AC43" i="1"/>
  <c r="X43" i="1"/>
  <c r="V43" i="1"/>
  <c r="AL43" i="1" s="1"/>
  <c r="AH43" i="1"/>
  <c r="AA42" i="1"/>
  <c r="Y42" i="1"/>
  <c r="AP41" i="1"/>
  <c r="AR41" i="1" s="1"/>
  <c r="AG48" i="1"/>
  <c r="AB47" i="1"/>
  <c r="Q44" i="1" l="1"/>
  <c r="AJ43" i="1" s="1"/>
  <c r="O44" i="1"/>
  <c r="Z44" i="1" s="1"/>
  <c r="P44" i="1"/>
  <c r="AE43" i="1"/>
  <c r="AM42" i="1"/>
  <c r="AN42" i="1" s="1"/>
  <c r="AP42" i="1"/>
  <c r="AR42" i="1" s="1"/>
  <c r="AO42" i="1"/>
  <c r="AD43" i="1"/>
  <c r="AF43" i="1"/>
  <c r="AA43" i="1"/>
  <c r="Y43" i="1"/>
  <c r="AI43" i="1"/>
  <c r="AK43" i="1"/>
  <c r="AQ44" i="1"/>
  <c r="AH44" i="1"/>
  <c r="AC44" i="1"/>
  <c r="AE44" i="1" s="1"/>
  <c r="V44" i="1"/>
  <c r="AL44" i="1" s="1"/>
  <c r="AW44" i="1"/>
  <c r="AX44" i="1" s="1"/>
  <c r="X44" i="1"/>
  <c r="N45" i="1"/>
  <c r="AG49" i="1"/>
  <c r="AB48" i="1"/>
  <c r="P45" i="1" l="1"/>
  <c r="Q45" i="1"/>
  <c r="AJ44" i="1" s="1"/>
  <c r="O45" i="1"/>
  <c r="Z45" i="1" s="1"/>
  <c r="AO43" i="1"/>
  <c r="Y44" i="1"/>
  <c r="AA44" i="1"/>
  <c r="AI44" i="1"/>
  <c r="AK44" i="1"/>
  <c r="AP43" i="1"/>
  <c r="AR43" i="1" s="1"/>
  <c r="AQ45" i="1"/>
  <c r="AH45" i="1"/>
  <c r="V45" i="1"/>
  <c r="AL45" i="1" s="1"/>
  <c r="N46" i="1"/>
  <c r="AC45" i="1"/>
  <c r="AE45" i="1" s="1"/>
  <c r="X45" i="1"/>
  <c r="AW45" i="1"/>
  <c r="AX45" i="1" s="1"/>
  <c r="AD44" i="1"/>
  <c r="AF44" i="1"/>
  <c r="AM43" i="1"/>
  <c r="AN43" i="1" s="1"/>
  <c r="AG50" i="1"/>
  <c r="AB49" i="1"/>
  <c r="Q46" i="1" l="1"/>
  <c r="AJ45" i="1" s="1"/>
  <c r="O46" i="1"/>
  <c r="Z46" i="1" s="1"/>
  <c r="P46" i="1"/>
  <c r="AM44" i="1"/>
  <c r="AN44" i="1" s="1"/>
  <c r="AP44" i="1"/>
  <c r="AR44" i="1" s="1"/>
  <c r="AQ46" i="1"/>
  <c r="V46" i="1"/>
  <c r="AL46" i="1" s="1"/>
  <c r="AC46" i="1"/>
  <c r="AE46" i="1" s="1"/>
  <c r="AW46" i="1"/>
  <c r="AX46" i="1" s="1"/>
  <c r="X46" i="1"/>
  <c r="N47" i="1"/>
  <c r="AH46" i="1"/>
  <c r="AI45" i="1"/>
  <c r="AK45" i="1"/>
  <c r="AO44" i="1"/>
  <c r="AA45" i="1"/>
  <c r="Y45" i="1"/>
  <c r="AD45" i="1"/>
  <c r="AF45" i="1"/>
  <c r="AG51" i="1"/>
  <c r="AB50" i="1"/>
  <c r="O47" i="1" l="1"/>
  <c r="Z47" i="1" s="1"/>
  <c r="P47" i="1"/>
  <c r="Q47" i="1"/>
  <c r="AJ46" i="1" s="1"/>
  <c r="AM45" i="1"/>
  <c r="AN45" i="1" s="1"/>
  <c r="AI46" i="1"/>
  <c r="AK46" i="1"/>
  <c r="AD46" i="1"/>
  <c r="AF46" i="1"/>
  <c r="AO45" i="1"/>
  <c r="AQ47" i="1"/>
  <c r="AW47" i="1"/>
  <c r="AX47" i="1" s="1"/>
  <c r="AC47" i="1"/>
  <c r="AE47" i="1" s="1"/>
  <c r="V47" i="1"/>
  <c r="AL47" i="1" s="1"/>
  <c r="N48" i="1"/>
  <c r="AH47" i="1"/>
  <c r="X47" i="1"/>
  <c r="AP45" i="1"/>
  <c r="AR45" i="1" s="1"/>
  <c r="AA46" i="1"/>
  <c r="Y46" i="1"/>
  <c r="AG52" i="1"/>
  <c r="AB51" i="1"/>
  <c r="Q48" i="1" l="1"/>
  <c r="AJ47" i="1" s="1"/>
  <c r="O48" i="1"/>
  <c r="Z48" i="1" s="1"/>
  <c r="P48" i="1"/>
  <c r="AP46" i="1"/>
  <c r="AR46" i="1" s="1"/>
  <c r="AM46" i="1"/>
  <c r="AN46" i="1" s="1"/>
  <c r="AQ48" i="1"/>
  <c r="X48" i="1"/>
  <c r="N49" i="1"/>
  <c r="AC48" i="1"/>
  <c r="AH48" i="1"/>
  <c r="AW48" i="1"/>
  <c r="AX48" i="1" s="1"/>
  <c r="V48" i="1"/>
  <c r="AL48" i="1" s="1"/>
  <c r="AO46" i="1"/>
  <c r="AA47" i="1"/>
  <c r="Y47" i="1"/>
  <c r="AD47" i="1"/>
  <c r="AF47" i="1"/>
  <c r="AI47" i="1"/>
  <c r="AK47" i="1"/>
  <c r="AG53" i="1"/>
  <c r="AB52" i="1"/>
  <c r="AE48" i="1" l="1"/>
  <c r="P49" i="1"/>
  <c r="Q49" i="1"/>
  <c r="AJ48" i="1" s="1"/>
  <c r="O49" i="1"/>
  <c r="Z49" i="1" s="1"/>
  <c r="Y48" i="1"/>
  <c r="AP47" i="1"/>
  <c r="AR47" i="1" s="1"/>
  <c r="AD48" i="1"/>
  <c r="AF48" i="1"/>
  <c r="AO47" i="1"/>
  <c r="AQ49" i="1"/>
  <c r="AC49" i="1"/>
  <c r="AE49" i="1" s="1"/>
  <c r="V49" i="1"/>
  <c r="AL49" i="1" s="1"/>
  <c r="AH49" i="1"/>
  <c r="X49" i="1"/>
  <c r="N50" i="1"/>
  <c r="AW49" i="1"/>
  <c r="AX49" i="1" s="1"/>
  <c r="AM47" i="1"/>
  <c r="AN47" i="1" s="1"/>
  <c r="AA48" i="1"/>
  <c r="AI48" i="1"/>
  <c r="AK48" i="1"/>
  <c r="AG54" i="1"/>
  <c r="AB53" i="1"/>
  <c r="Q50" i="1" l="1"/>
  <c r="AJ49" i="1" s="1"/>
  <c r="O50" i="1"/>
  <c r="P50" i="1"/>
  <c r="AO48" i="1"/>
  <c r="AP48" i="1"/>
  <c r="AR48" i="1" s="1"/>
  <c r="AQ50" i="1"/>
  <c r="AH50" i="1"/>
  <c r="AC50" i="1"/>
  <c r="AE50" i="1" s="1"/>
  <c r="V50" i="1"/>
  <c r="AL50" i="1" s="1"/>
  <c r="N51" i="1"/>
  <c r="AW50" i="1"/>
  <c r="AX50" i="1" s="1"/>
  <c r="X50" i="1"/>
  <c r="AD49" i="1"/>
  <c r="AF49" i="1"/>
  <c r="AM48" i="1"/>
  <c r="AN48" i="1" s="1"/>
  <c r="AA49" i="1"/>
  <c r="Y49" i="1"/>
  <c r="AI49" i="1"/>
  <c r="AK49" i="1"/>
  <c r="AG55" i="1"/>
  <c r="AB54" i="1"/>
  <c r="Z50" i="1" l="1"/>
  <c r="O51" i="1"/>
  <c r="P51" i="1"/>
  <c r="Q51" i="1"/>
  <c r="AJ50" i="1" s="1"/>
  <c r="AP49" i="1"/>
  <c r="AR49" i="1" s="1"/>
  <c r="AI50" i="1"/>
  <c r="AK50" i="1"/>
  <c r="AD50" i="1"/>
  <c r="AF50" i="1"/>
  <c r="AO49" i="1"/>
  <c r="AQ51" i="1"/>
  <c r="AC51" i="1"/>
  <c r="AE51" i="1" s="1"/>
  <c r="V51" i="1"/>
  <c r="AL51" i="1" s="1"/>
  <c r="X51" i="1"/>
  <c r="N52" i="1"/>
  <c r="AH51" i="1"/>
  <c r="AW51" i="1"/>
  <c r="AX51" i="1" s="1"/>
  <c r="AA50" i="1"/>
  <c r="Y50" i="1"/>
  <c r="AM49" i="1"/>
  <c r="AN49" i="1" s="1"/>
  <c r="AG56" i="1"/>
  <c r="AB55" i="1"/>
  <c r="Z51" i="1" l="1"/>
  <c r="Q52" i="1"/>
  <c r="AJ51" i="1" s="1"/>
  <c r="O52" i="1"/>
  <c r="Z52" i="1" s="1"/>
  <c r="P52" i="1"/>
  <c r="AP50" i="1"/>
  <c r="AR50" i="1" s="1"/>
  <c r="AM50" i="1"/>
  <c r="AN50" i="1" s="1"/>
  <c r="AA51" i="1"/>
  <c r="Y51" i="1"/>
  <c r="AQ52" i="1"/>
  <c r="AC52" i="1"/>
  <c r="V52" i="1"/>
  <c r="AL52" i="1" s="1"/>
  <c r="AH52" i="1"/>
  <c r="X52" i="1"/>
  <c r="N53" i="1"/>
  <c r="AW52" i="1"/>
  <c r="AX52" i="1" s="1"/>
  <c r="AO50" i="1"/>
  <c r="AI51" i="1"/>
  <c r="AK51" i="1"/>
  <c r="AD51" i="1"/>
  <c r="AF51" i="1"/>
  <c r="AG57" i="1"/>
  <c r="AB56" i="1"/>
  <c r="P53" i="1" l="1"/>
  <c r="Q53" i="1"/>
  <c r="AJ52" i="1" s="1"/>
  <c r="O53" i="1"/>
  <c r="Z53" i="1" s="1"/>
  <c r="AE52" i="1"/>
  <c r="AO51" i="1"/>
  <c r="AI52" i="1"/>
  <c r="AK52" i="1"/>
  <c r="AP51" i="1"/>
  <c r="AR51" i="1" s="1"/>
  <c r="AA52" i="1"/>
  <c r="Y52" i="1"/>
  <c r="AQ53" i="1"/>
  <c r="V53" i="1"/>
  <c r="AL53" i="1" s="1"/>
  <c r="X53" i="1"/>
  <c r="N54" i="1"/>
  <c r="AH53" i="1"/>
  <c r="AC53" i="1"/>
  <c r="AE53" i="1" s="1"/>
  <c r="AW53" i="1"/>
  <c r="AX53" i="1" s="1"/>
  <c r="AD52" i="1"/>
  <c r="AF52" i="1"/>
  <c r="AM51" i="1"/>
  <c r="AN51" i="1" s="1"/>
  <c r="AG58" i="1"/>
  <c r="AB57" i="1"/>
  <c r="Q54" i="1" l="1"/>
  <c r="AJ53" i="1" s="1"/>
  <c r="O54" i="1"/>
  <c r="P54" i="1"/>
  <c r="Y53" i="1"/>
  <c r="AA53" i="1"/>
  <c r="AP52" i="1"/>
  <c r="AR52" i="1" s="1"/>
  <c r="AO52" i="1"/>
  <c r="AD53" i="1"/>
  <c r="AF53" i="1"/>
  <c r="AM52" i="1"/>
  <c r="AN52" i="1" s="1"/>
  <c r="AQ54" i="1"/>
  <c r="AW54" i="1"/>
  <c r="AX54" i="1" s="1"/>
  <c r="V54" i="1"/>
  <c r="AL54" i="1" s="1"/>
  <c r="AC54" i="1"/>
  <c r="N55" i="1"/>
  <c r="AH54" i="1"/>
  <c r="X54" i="1"/>
  <c r="AI53" i="1"/>
  <c r="AK53" i="1"/>
  <c r="AG59" i="1"/>
  <c r="AB58" i="1"/>
  <c r="Z54" i="1" l="1"/>
  <c r="O55" i="1"/>
  <c r="P55" i="1"/>
  <c r="Q55" i="1"/>
  <c r="AJ54" i="1" s="1"/>
  <c r="AE54" i="1"/>
  <c r="Y54" i="1"/>
  <c r="AK54" i="1"/>
  <c r="AP53" i="1"/>
  <c r="AR53" i="1" s="1"/>
  <c r="AA54" i="1"/>
  <c r="AQ55" i="1"/>
  <c r="AH55" i="1"/>
  <c r="AC55" i="1"/>
  <c r="AE55" i="1" s="1"/>
  <c r="N56" i="1"/>
  <c r="AW55" i="1"/>
  <c r="AX55" i="1" s="1"/>
  <c r="X55" i="1"/>
  <c r="V55" i="1"/>
  <c r="AL55" i="1" s="1"/>
  <c r="AO53" i="1"/>
  <c r="AM53" i="1"/>
  <c r="AN53" i="1" s="1"/>
  <c r="AD54" i="1"/>
  <c r="AF54" i="1"/>
  <c r="AI54" i="1"/>
  <c r="AG60" i="1"/>
  <c r="AB59" i="1"/>
  <c r="Z55" i="1" l="1"/>
  <c r="Q56" i="1"/>
  <c r="AJ55" i="1" s="1"/>
  <c r="O56" i="1"/>
  <c r="P56" i="1"/>
  <c r="Y55" i="1"/>
  <c r="AO54" i="1"/>
  <c r="AM54" i="1"/>
  <c r="AN54" i="1" s="1"/>
  <c r="AA55" i="1"/>
  <c r="AI55" i="1"/>
  <c r="AK55" i="1"/>
  <c r="AD55" i="1"/>
  <c r="AF55" i="1"/>
  <c r="AQ56" i="1"/>
  <c r="AH56" i="1"/>
  <c r="AC56" i="1"/>
  <c r="X56" i="1"/>
  <c r="N57" i="1"/>
  <c r="V56" i="1"/>
  <c r="AL56" i="1" s="1"/>
  <c r="AW56" i="1"/>
  <c r="AX56" i="1" s="1"/>
  <c r="AP54" i="1"/>
  <c r="AR54" i="1" s="1"/>
  <c r="AG61" i="1"/>
  <c r="AB60" i="1"/>
  <c r="Z56" i="1" l="1"/>
  <c r="AQ57" i="1"/>
  <c r="P57" i="1"/>
  <c r="Q57" i="1"/>
  <c r="AJ56" i="1" s="1"/>
  <c r="O57" i="1"/>
  <c r="AE56" i="1"/>
  <c r="Y56" i="1"/>
  <c r="AD56" i="1"/>
  <c r="AF56" i="1"/>
  <c r="AI56" i="1"/>
  <c r="AK56" i="1"/>
  <c r="AW57" i="1"/>
  <c r="AX57" i="1" s="1"/>
  <c r="AC57" i="1"/>
  <c r="V57" i="1"/>
  <c r="AL57" i="1" s="1"/>
  <c r="X57" i="1"/>
  <c r="AH57" i="1"/>
  <c r="N58" i="1"/>
  <c r="AO55" i="1"/>
  <c r="AP55" i="1"/>
  <c r="AR55" i="1" s="1"/>
  <c r="AA56" i="1"/>
  <c r="AM55" i="1"/>
  <c r="AN55" i="1" s="1"/>
  <c r="AG62" i="1"/>
  <c r="AB61" i="1"/>
  <c r="AE57" i="1" l="1"/>
  <c r="Q58" i="1"/>
  <c r="AJ57" i="1" s="1"/>
  <c r="P58" i="1"/>
  <c r="O58" i="1"/>
  <c r="Z57" i="1"/>
  <c r="Y57" i="1"/>
  <c r="AM56" i="1"/>
  <c r="AN56" i="1" s="1"/>
  <c r="AP56" i="1"/>
  <c r="AR56" i="1" s="1"/>
  <c r="AA57" i="1"/>
  <c r="AT55" i="1"/>
  <c r="AI57" i="1"/>
  <c r="AK57" i="1"/>
  <c r="AQ58" i="1"/>
  <c r="AC58" i="1"/>
  <c r="X58" i="1"/>
  <c r="V58" i="1"/>
  <c r="AL58" i="1" s="1"/>
  <c r="N59" i="1"/>
  <c r="AH58" i="1"/>
  <c r="AW58" i="1"/>
  <c r="AX58" i="1" s="1"/>
  <c r="AD57" i="1"/>
  <c r="AF57" i="1"/>
  <c r="AO56" i="1"/>
  <c r="AG63" i="1"/>
  <c r="AB62" i="1"/>
  <c r="AE58" i="1" l="1"/>
  <c r="Z58" i="1"/>
  <c r="O59" i="1"/>
  <c r="P59" i="1"/>
  <c r="Q59" i="1"/>
  <c r="AJ58" i="1" s="1"/>
  <c r="Y58" i="1"/>
  <c r="AP57" i="1"/>
  <c r="AR57" i="1" s="1"/>
  <c r="AO57" i="1"/>
  <c r="AT56" i="1"/>
  <c r="AQ59" i="1"/>
  <c r="X59" i="1"/>
  <c r="Z59" i="1" s="1"/>
  <c r="N60" i="1"/>
  <c r="AW59" i="1"/>
  <c r="AX59" i="1" s="1"/>
  <c r="AH59" i="1"/>
  <c r="AC59" i="1"/>
  <c r="V59" i="1"/>
  <c r="AL59" i="1" s="1"/>
  <c r="AA58" i="1"/>
  <c r="AI58" i="1"/>
  <c r="AK58" i="1"/>
  <c r="AD58" i="1"/>
  <c r="AF58" i="1"/>
  <c r="AM57" i="1"/>
  <c r="AN57" i="1" s="1"/>
  <c r="AG64" i="1"/>
  <c r="AB63" i="1"/>
  <c r="AE59" i="1" l="1"/>
  <c r="Q60" i="1"/>
  <c r="AJ59" i="1" s="1"/>
  <c r="O60" i="1"/>
  <c r="P60" i="1"/>
  <c r="AT57" i="1"/>
  <c r="Y59" i="1"/>
  <c r="AM58" i="1"/>
  <c r="AN58" i="1" s="1"/>
  <c r="AQ60" i="1"/>
  <c r="V60" i="1"/>
  <c r="AL60" i="1" s="1"/>
  <c r="AC60" i="1"/>
  <c r="N61" i="1"/>
  <c r="X60" i="1"/>
  <c r="Z60" i="1" s="1"/>
  <c r="AH60" i="1"/>
  <c r="AW60" i="1"/>
  <c r="AX60" i="1" s="1"/>
  <c r="AD59" i="1"/>
  <c r="AF59" i="1"/>
  <c r="AA59" i="1"/>
  <c r="AO58" i="1"/>
  <c r="AP58" i="1"/>
  <c r="AR58" i="1" s="1"/>
  <c r="AI59" i="1"/>
  <c r="AK59" i="1"/>
  <c r="AG65" i="1"/>
  <c r="AB64" i="1"/>
  <c r="P61" i="1" l="1"/>
  <c r="Q61" i="1"/>
  <c r="AJ60" i="1" s="1"/>
  <c r="O61" i="1"/>
  <c r="AE60" i="1"/>
  <c r="Y60" i="1"/>
  <c r="AM59" i="1"/>
  <c r="AN59" i="1" s="1"/>
  <c r="AD60" i="1"/>
  <c r="AF60" i="1"/>
  <c r="AI60" i="1"/>
  <c r="AK60" i="1"/>
  <c r="AQ61" i="1"/>
  <c r="V61" i="1"/>
  <c r="AL61" i="1" s="1"/>
  <c r="AC61" i="1"/>
  <c r="AE61" i="1" s="1"/>
  <c r="N62" i="1"/>
  <c r="AW61" i="1"/>
  <c r="AX61" i="1" s="1"/>
  <c r="AH61" i="1"/>
  <c r="X61" i="1"/>
  <c r="AP59" i="1"/>
  <c r="AR59" i="1" s="1"/>
  <c r="AO59" i="1"/>
  <c r="AA60" i="1"/>
  <c r="AG66" i="1"/>
  <c r="AB65" i="1"/>
  <c r="Q62" i="1" l="1"/>
  <c r="AJ61" i="1" s="1"/>
  <c r="P62" i="1"/>
  <c r="O62" i="1"/>
  <c r="Z61" i="1"/>
  <c r="Y61" i="1"/>
  <c r="AP60" i="1"/>
  <c r="AR60" i="1" s="1"/>
  <c r="AM60" i="1"/>
  <c r="AN60" i="1" s="1"/>
  <c r="AK61" i="1"/>
  <c r="AI61" i="1"/>
  <c r="AQ62" i="1"/>
  <c r="AW62" i="1"/>
  <c r="AX62" i="1" s="1"/>
  <c r="AC62" i="1"/>
  <c r="N63" i="1"/>
  <c r="V62" i="1"/>
  <c r="AL62" i="1" s="1"/>
  <c r="AH62" i="1"/>
  <c r="X62" i="1"/>
  <c r="Z62" i="1" s="1"/>
  <c r="AA61" i="1"/>
  <c r="AD61" i="1"/>
  <c r="AF61" i="1"/>
  <c r="AO60" i="1"/>
  <c r="AG67" i="1"/>
  <c r="AB66" i="1"/>
  <c r="AE62" i="1" l="1"/>
  <c r="O63" i="1"/>
  <c r="P63" i="1"/>
  <c r="Q63" i="1"/>
  <c r="AJ62" i="1" s="1"/>
  <c r="Y62" i="1"/>
  <c r="AO61" i="1"/>
  <c r="AM61" i="1"/>
  <c r="AN61" i="1" s="1"/>
  <c r="AQ63" i="1"/>
  <c r="AW63" i="1"/>
  <c r="AX63" i="1" s="1"/>
  <c r="X63" i="1"/>
  <c r="Z63" i="1" s="1"/>
  <c r="AH63" i="1"/>
  <c r="V63" i="1"/>
  <c r="AL63" i="1" s="1"/>
  <c r="AC63" i="1"/>
  <c r="N64" i="1"/>
  <c r="AA62" i="1"/>
  <c r="AD62" i="1"/>
  <c r="AF62" i="1"/>
  <c r="AP61" i="1"/>
  <c r="AR61" i="1" s="1"/>
  <c r="AI62" i="1"/>
  <c r="AK62" i="1"/>
  <c r="AG68" i="1"/>
  <c r="AB67" i="1"/>
  <c r="AE63" i="1" l="1"/>
  <c r="Q64" i="1"/>
  <c r="AJ63" i="1" s="1"/>
  <c r="O64" i="1"/>
  <c r="P64" i="1"/>
  <c r="Y63" i="1"/>
  <c r="AO62" i="1"/>
  <c r="AQ64" i="1"/>
  <c r="AW64" i="1"/>
  <c r="AX64" i="1" s="1"/>
  <c r="V64" i="1"/>
  <c r="AL64" i="1" s="1"/>
  <c r="AC64" i="1"/>
  <c r="X64" i="1"/>
  <c r="Z64" i="1" s="1"/>
  <c r="N65" i="1"/>
  <c r="AH64" i="1"/>
  <c r="AA63" i="1"/>
  <c r="AP62" i="1"/>
  <c r="AR62" i="1" s="1"/>
  <c r="AD63" i="1"/>
  <c r="AF63" i="1"/>
  <c r="AI63" i="1"/>
  <c r="AK63" i="1"/>
  <c r="AM62" i="1"/>
  <c r="AN62" i="1" s="1"/>
  <c r="AG69" i="1"/>
  <c r="AB68" i="1"/>
  <c r="P65" i="1" l="1"/>
  <c r="Q65" i="1"/>
  <c r="AJ64" i="1" s="1"/>
  <c r="O65" i="1"/>
  <c r="AE64" i="1"/>
  <c r="Y64" i="1"/>
  <c r="AI64" i="1"/>
  <c r="AK64" i="1"/>
  <c r="AP63" i="1"/>
  <c r="AR63" i="1" s="1"/>
  <c r="AQ65" i="1"/>
  <c r="X65" i="1"/>
  <c r="AH65" i="1"/>
  <c r="AW65" i="1"/>
  <c r="AX65" i="1" s="1"/>
  <c r="AC65" i="1"/>
  <c r="AE65" i="1" s="1"/>
  <c r="V65" i="1"/>
  <c r="AL65" i="1" s="1"/>
  <c r="N66" i="1"/>
  <c r="AM63" i="1"/>
  <c r="AN63" i="1" s="1"/>
  <c r="AA64" i="1"/>
  <c r="AO63" i="1"/>
  <c r="AD64" i="1"/>
  <c r="AF64" i="1"/>
  <c r="AG70" i="1"/>
  <c r="AB69" i="1"/>
  <c r="Q66" i="1" l="1"/>
  <c r="AJ65" i="1" s="1"/>
  <c r="P66" i="1"/>
  <c r="O66" i="1"/>
  <c r="Z65" i="1"/>
  <c r="AO64" i="1"/>
  <c r="Y65" i="1"/>
  <c r="AI65" i="1"/>
  <c r="AK65" i="1"/>
  <c r="AP64" i="1"/>
  <c r="AR64" i="1" s="1"/>
  <c r="AA65" i="1"/>
  <c r="AQ66" i="1"/>
  <c r="V66" i="1"/>
  <c r="AL66" i="1" s="1"/>
  <c r="AC66" i="1"/>
  <c r="AE66" i="1" s="1"/>
  <c r="N67" i="1"/>
  <c r="AH66" i="1"/>
  <c r="X66" i="1"/>
  <c r="Z66" i="1" s="1"/>
  <c r="AW66" i="1"/>
  <c r="AX66" i="1" s="1"/>
  <c r="AM64" i="1"/>
  <c r="AN64" i="1" s="1"/>
  <c r="AD65" i="1"/>
  <c r="AF65" i="1"/>
  <c r="AG71" i="1"/>
  <c r="AB70" i="1"/>
  <c r="O67" i="1" l="1"/>
  <c r="P67" i="1"/>
  <c r="Q67" i="1"/>
  <c r="AJ66" i="1" s="1"/>
  <c r="AO65" i="1"/>
  <c r="Y66" i="1"/>
  <c r="AI66" i="1"/>
  <c r="AK66" i="1"/>
  <c r="AA66" i="1"/>
  <c r="AQ67" i="1"/>
  <c r="X67" i="1"/>
  <c r="Z67" i="1" s="1"/>
  <c r="AH67" i="1"/>
  <c r="AC67" i="1"/>
  <c r="AE67" i="1" s="1"/>
  <c r="AW67" i="1"/>
  <c r="AX67" i="1" s="1"/>
  <c r="V67" i="1"/>
  <c r="AL67" i="1" s="1"/>
  <c r="N68" i="1"/>
  <c r="AP65" i="1"/>
  <c r="AR65" i="1" s="1"/>
  <c r="AD66" i="1"/>
  <c r="AF66" i="1"/>
  <c r="AM65" i="1"/>
  <c r="AN65" i="1" s="1"/>
  <c r="AG72" i="1"/>
  <c r="AB71" i="1"/>
  <c r="Q68" i="1" l="1"/>
  <c r="AJ67" i="1" s="1"/>
  <c r="O68" i="1"/>
  <c r="P68" i="1"/>
  <c r="AO66" i="1"/>
  <c r="Y67" i="1"/>
  <c r="AM66" i="1"/>
  <c r="AN66" i="1" s="1"/>
  <c r="AQ68" i="1"/>
  <c r="X68" i="1"/>
  <c r="V68" i="1"/>
  <c r="AL68" i="1" s="1"/>
  <c r="N69" i="1"/>
  <c r="AH68" i="1"/>
  <c r="AC68" i="1"/>
  <c r="AW68" i="1"/>
  <c r="AX68" i="1" s="1"/>
  <c r="AI67" i="1"/>
  <c r="AK67" i="1"/>
  <c r="AP66" i="1"/>
  <c r="AR66" i="1" s="1"/>
  <c r="AA67" i="1"/>
  <c r="AD67" i="1"/>
  <c r="AF67" i="1"/>
  <c r="AG73" i="1"/>
  <c r="AB72" i="1"/>
  <c r="P69" i="1" l="1"/>
  <c r="Q69" i="1"/>
  <c r="AJ68" i="1" s="1"/>
  <c r="O69" i="1"/>
  <c r="AE68" i="1"/>
  <c r="Z68" i="1"/>
  <c r="Y68" i="1"/>
  <c r="AM67" i="1"/>
  <c r="AN67" i="1" s="1"/>
  <c r="AQ69" i="1"/>
  <c r="AH69" i="1"/>
  <c r="AC69" i="1"/>
  <c r="AE69" i="1" s="1"/>
  <c r="X69" i="1"/>
  <c r="Z69" i="1" s="1"/>
  <c r="AW69" i="1"/>
  <c r="AX69" i="1" s="1"/>
  <c r="V69" i="1"/>
  <c r="AL69" i="1" s="1"/>
  <c r="N70" i="1"/>
  <c r="AO67" i="1"/>
  <c r="AP67" i="1"/>
  <c r="AR67" i="1" s="1"/>
  <c r="AD68" i="1"/>
  <c r="AF68" i="1"/>
  <c r="AA68" i="1"/>
  <c r="AI68" i="1"/>
  <c r="AK68" i="1"/>
  <c r="AG74" i="1"/>
  <c r="AB73" i="1"/>
  <c r="Q70" i="1" l="1"/>
  <c r="AJ69" i="1" s="1"/>
  <c r="P70" i="1"/>
  <c r="O70" i="1"/>
  <c r="Y69" i="1"/>
  <c r="AP68" i="1"/>
  <c r="AR68" i="1" s="1"/>
  <c r="AM68" i="1"/>
  <c r="AN68" i="1" s="1"/>
  <c r="AA69" i="1"/>
  <c r="AO68" i="1"/>
  <c r="AQ70" i="1"/>
  <c r="AH70" i="1"/>
  <c r="AC70" i="1"/>
  <c r="AE70" i="1" s="1"/>
  <c r="N71" i="1"/>
  <c r="X70" i="1"/>
  <c r="AW70" i="1"/>
  <c r="AX70" i="1" s="1"/>
  <c r="V70" i="1"/>
  <c r="AL70" i="1" s="1"/>
  <c r="AD69" i="1"/>
  <c r="AF69" i="1"/>
  <c r="AI69" i="1"/>
  <c r="AK69" i="1"/>
  <c r="AG75" i="1"/>
  <c r="AB74" i="1"/>
  <c r="O71" i="1" l="1"/>
  <c r="P71" i="1"/>
  <c r="Q71" i="1"/>
  <c r="AJ70" i="1" s="1"/>
  <c r="Z70" i="1"/>
  <c r="Y70" i="1"/>
  <c r="AO69" i="1"/>
  <c r="AQ71" i="1"/>
  <c r="AH71" i="1"/>
  <c r="AC71" i="1"/>
  <c r="V71" i="1"/>
  <c r="AL71" i="1" s="1"/>
  <c r="X71" i="1"/>
  <c r="Z71" i="1" s="1"/>
  <c r="N72" i="1"/>
  <c r="AW71" i="1"/>
  <c r="AX71" i="1" s="1"/>
  <c r="AD70" i="1"/>
  <c r="AF70" i="1"/>
  <c r="AP69" i="1"/>
  <c r="AR69" i="1" s="1"/>
  <c r="AA70" i="1"/>
  <c r="AM69" i="1"/>
  <c r="AN69" i="1" s="1"/>
  <c r="AI70" i="1"/>
  <c r="AK70" i="1"/>
  <c r="AG76" i="1"/>
  <c r="AB75" i="1"/>
  <c r="Q72" i="1" l="1"/>
  <c r="AJ71" i="1" s="1"/>
  <c r="O72" i="1"/>
  <c r="P72" i="1"/>
  <c r="AE71" i="1"/>
  <c r="Y71" i="1"/>
  <c r="AM70" i="1"/>
  <c r="AN70" i="1" s="1"/>
  <c r="AD71" i="1"/>
  <c r="AF71" i="1"/>
  <c r="AO70" i="1"/>
  <c r="AQ72" i="1"/>
  <c r="AH72" i="1"/>
  <c r="V72" i="1"/>
  <c r="AL72" i="1" s="1"/>
  <c r="AC72" i="1"/>
  <c r="X72" i="1"/>
  <c r="Z72" i="1" s="1"/>
  <c r="N73" i="1"/>
  <c r="AW72" i="1"/>
  <c r="AX72" i="1" s="1"/>
  <c r="AI71" i="1"/>
  <c r="AK71" i="1"/>
  <c r="AP70" i="1"/>
  <c r="AR70" i="1" s="1"/>
  <c r="AA71" i="1"/>
  <c r="AG77" i="1"/>
  <c r="AB76" i="1"/>
  <c r="P73" i="1" l="1"/>
  <c r="Q73" i="1"/>
  <c r="AJ72" i="1" s="1"/>
  <c r="O73" i="1"/>
  <c r="AE72" i="1"/>
  <c r="Y72" i="1"/>
  <c r="AM71" i="1"/>
  <c r="AN71" i="1" s="1"/>
  <c r="AQ73" i="1"/>
  <c r="AH73" i="1"/>
  <c r="AC73" i="1"/>
  <c r="AE73" i="1" s="1"/>
  <c r="V73" i="1"/>
  <c r="AL73" i="1" s="1"/>
  <c r="AW73" i="1"/>
  <c r="AX73" i="1" s="1"/>
  <c r="X73" i="1"/>
  <c r="Z73" i="1" s="1"/>
  <c r="N74" i="1"/>
  <c r="AI72" i="1"/>
  <c r="AK72" i="1"/>
  <c r="AP71" i="1"/>
  <c r="AR71" i="1" s="1"/>
  <c r="AA72" i="1"/>
  <c r="AO71" i="1"/>
  <c r="AD72" i="1"/>
  <c r="AF72" i="1"/>
  <c r="AG78" i="1"/>
  <c r="AB77" i="1"/>
  <c r="Q74" i="1" l="1"/>
  <c r="AJ73" i="1" s="1"/>
  <c r="P74" i="1"/>
  <c r="O74" i="1"/>
  <c r="Y73" i="1"/>
  <c r="AO72" i="1"/>
  <c r="AD73" i="1"/>
  <c r="AF73" i="1"/>
  <c r="AA73" i="1"/>
  <c r="AI73" i="1"/>
  <c r="AK73" i="1"/>
  <c r="AP72" i="1"/>
  <c r="AR72" i="1" s="1"/>
  <c r="AQ74" i="1"/>
  <c r="V74" i="1"/>
  <c r="AL74" i="1" s="1"/>
  <c r="AC74" i="1"/>
  <c r="AE74" i="1" s="1"/>
  <c r="N75" i="1"/>
  <c r="X74" i="1"/>
  <c r="Z74" i="1" s="1"/>
  <c r="AH74" i="1"/>
  <c r="AW74" i="1"/>
  <c r="AX74" i="1" s="1"/>
  <c r="AM72" i="1"/>
  <c r="AN72" i="1" s="1"/>
  <c r="AG79" i="1"/>
  <c r="AB78" i="1"/>
  <c r="O75" i="1" l="1"/>
  <c r="P75" i="1"/>
  <c r="Q75" i="1"/>
  <c r="AJ74" i="1" s="1"/>
  <c r="Y74" i="1"/>
  <c r="AM73" i="1"/>
  <c r="AN73" i="1" s="1"/>
  <c r="AO73" i="1"/>
  <c r="AA74" i="1"/>
  <c r="AI74" i="1"/>
  <c r="AK74" i="1"/>
  <c r="AQ75" i="1"/>
  <c r="AH75" i="1"/>
  <c r="AC75" i="1"/>
  <c r="V75" i="1"/>
  <c r="AL75" i="1" s="1"/>
  <c r="X75" i="1"/>
  <c r="Z75" i="1" s="1"/>
  <c r="N76" i="1"/>
  <c r="AW75" i="1"/>
  <c r="AX75" i="1" s="1"/>
  <c r="AD74" i="1"/>
  <c r="AF74" i="1"/>
  <c r="AP73" i="1"/>
  <c r="AR73" i="1" s="1"/>
  <c r="AG80" i="1"/>
  <c r="AB79" i="1"/>
  <c r="Q76" i="1" l="1"/>
  <c r="AJ75" i="1" s="1"/>
  <c r="O76" i="1"/>
  <c r="P76" i="1"/>
  <c r="AE75" i="1"/>
  <c r="Y75" i="1"/>
  <c r="AI75" i="1"/>
  <c r="AK75" i="1"/>
  <c r="AO74" i="1"/>
  <c r="AA75" i="1"/>
  <c r="AP74" i="1"/>
  <c r="AR74" i="1" s="1"/>
  <c r="AD75" i="1"/>
  <c r="AF75" i="1"/>
  <c r="AQ76" i="1"/>
  <c r="AC76" i="1"/>
  <c r="V76" i="1"/>
  <c r="AL76" i="1" s="1"/>
  <c r="AH76" i="1"/>
  <c r="AW76" i="1"/>
  <c r="AX76" i="1" s="1"/>
  <c r="X76" i="1"/>
  <c r="Z76" i="1" s="1"/>
  <c r="N77" i="1"/>
  <c r="AM74" i="1"/>
  <c r="AN74" i="1" s="1"/>
  <c r="AG81" i="1"/>
  <c r="AB80" i="1"/>
  <c r="AE76" i="1" l="1"/>
  <c r="P77" i="1"/>
  <c r="Q77" i="1"/>
  <c r="AJ76" i="1" s="1"/>
  <c r="O77" i="1"/>
  <c r="Y76" i="1"/>
  <c r="AO75" i="1"/>
  <c r="AF76" i="1"/>
  <c r="AQ77" i="1"/>
  <c r="N78" i="1"/>
  <c r="X77" i="1"/>
  <c r="AH77" i="1"/>
  <c r="AC77" i="1"/>
  <c r="AE77" i="1" s="1"/>
  <c r="V77" i="1"/>
  <c r="AL77" i="1" s="1"/>
  <c r="AW77" i="1"/>
  <c r="AX77" i="1" s="1"/>
  <c r="AP75" i="1"/>
  <c r="AR75" i="1" s="1"/>
  <c r="AD76" i="1"/>
  <c r="AI76" i="1"/>
  <c r="AK76" i="1"/>
  <c r="AA76" i="1"/>
  <c r="AM75" i="1"/>
  <c r="AN75" i="1" s="1"/>
  <c r="AG82" i="1"/>
  <c r="AB81" i="1"/>
  <c r="Z77" i="1" l="1"/>
  <c r="Q78" i="1"/>
  <c r="AJ77" i="1" s="1"/>
  <c r="P78" i="1"/>
  <c r="O78" i="1"/>
  <c r="Y77" i="1"/>
  <c r="AM76" i="1"/>
  <c r="AN76" i="1" s="1"/>
  <c r="AP76" i="1"/>
  <c r="AR76" i="1" s="1"/>
  <c r="AQ78" i="1"/>
  <c r="X78" i="1"/>
  <c r="V78" i="1"/>
  <c r="AL78" i="1" s="1"/>
  <c r="AC78" i="1"/>
  <c r="AE78" i="1" s="1"/>
  <c r="N79" i="1"/>
  <c r="AH78" i="1"/>
  <c r="AW78" i="1"/>
  <c r="AX78" i="1" s="1"/>
  <c r="AO76" i="1"/>
  <c r="AD77" i="1"/>
  <c r="AF77" i="1"/>
  <c r="AI77" i="1"/>
  <c r="AK77" i="1"/>
  <c r="AA77" i="1"/>
  <c r="AG83" i="1"/>
  <c r="AB82" i="1"/>
  <c r="Z78" i="1" l="1"/>
  <c r="O79" i="1"/>
  <c r="P79" i="1"/>
  <c r="Q79" i="1"/>
  <c r="AJ78" i="1" s="1"/>
  <c r="Y78" i="1"/>
  <c r="AP77" i="1"/>
  <c r="AR77" i="1" s="1"/>
  <c r="AM77" i="1"/>
  <c r="AN77" i="1" s="1"/>
  <c r="AD78" i="1"/>
  <c r="AF78" i="1"/>
  <c r="AO77" i="1"/>
  <c r="AI78" i="1"/>
  <c r="AK78" i="1"/>
  <c r="AA78" i="1"/>
  <c r="AQ79" i="1"/>
  <c r="AC79" i="1"/>
  <c r="AE79" i="1" s="1"/>
  <c r="V79" i="1"/>
  <c r="AL79" i="1" s="1"/>
  <c r="N80" i="1"/>
  <c r="AW79" i="1"/>
  <c r="AX79" i="1" s="1"/>
  <c r="AH79" i="1"/>
  <c r="X79" i="1"/>
  <c r="Z79" i="1" s="1"/>
  <c r="AG84" i="1"/>
  <c r="AB83" i="1"/>
  <c r="Q80" i="1" l="1"/>
  <c r="AJ79" i="1" s="1"/>
  <c r="O80" i="1"/>
  <c r="P80" i="1"/>
  <c r="Y79" i="1"/>
  <c r="AP78" i="1"/>
  <c r="AR78" i="1" s="1"/>
  <c r="AO78" i="1"/>
  <c r="AD79" i="1"/>
  <c r="AF79" i="1"/>
  <c r="AQ80" i="1"/>
  <c r="AC80" i="1"/>
  <c r="V80" i="1"/>
  <c r="AL80" i="1" s="1"/>
  <c r="AW80" i="1"/>
  <c r="AX80" i="1" s="1"/>
  <c r="AH80" i="1"/>
  <c r="X80" i="1"/>
  <c r="Z80" i="1" s="1"/>
  <c r="N81" i="1"/>
  <c r="AK79" i="1"/>
  <c r="AI79" i="1"/>
  <c r="AA79" i="1"/>
  <c r="AM78" i="1"/>
  <c r="AN78" i="1" s="1"/>
  <c r="AG85" i="1"/>
  <c r="AB84" i="1"/>
  <c r="P81" i="1" l="1"/>
  <c r="Q81" i="1"/>
  <c r="AJ80" i="1" s="1"/>
  <c r="O81" i="1"/>
  <c r="AE80" i="1"/>
  <c r="Y80" i="1"/>
  <c r="AP79" i="1"/>
  <c r="AR79" i="1" s="1"/>
  <c r="AM79" i="1"/>
  <c r="AN79" i="1" s="1"/>
  <c r="AK80" i="1"/>
  <c r="AI80" i="1"/>
  <c r="AQ81" i="1"/>
  <c r="V81" i="1"/>
  <c r="AL81" i="1" s="1"/>
  <c r="AW81" i="1"/>
  <c r="AX81" i="1" s="1"/>
  <c r="AC81" i="1"/>
  <c r="AE81" i="1" s="1"/>
  <c r="X81" i="1"/>
  <c r="N82" i="1"/>
  <c r="AH81" i="1"/>
  <c r="AA80" i="1"/>
  <c r="AD80" i="1"/>
  <c r="AF80" i="1"/>
  <c r="AO79" i="1"/>
  <c r="AG86" i="1"/>
  <c r="AB85" i="1"/>
  <c r="Q82" i="1" l="1"/>
  <c r="AJ81" i="1" s="1"/>
  <c r="P82" i="1"/>
  <c r="O82" i="1"/>
  <c r="Z81" i="1"/>
  <c r="Y81" i="1"/>
  <c r="AO80" i="1"/>
  <c r="AI81" i="1"/>
  <c r="AK81" i="1"/>
  <c r="AQ82" i="1"/>
  <c r="V82" i="1"/>
  <c r="AL82" i="1" s="1"/>
  <c r="X82" i="1"/>
  <c r="Z82" i="1" s="1"/>
  <c r="N83" i="1"/>
  <c r="AH82" i="1"/>
  <c r="AC82" i="1"/>
  <c r="AE82" i="1" s="1"/>
  <c r="AW82" i="1"/>
  <c r="AX82" i="1" s="1"/>
  <c r="AP80" i="1"/>
  <c r="AR80" i="1" s="1"/>
  <c r="AA81" i="1"/>
  <c r="AM80" i="1"/>
  <c r="AN80" i="1" s="1"/>
  <c r="AD81" i="1"/>
  <c r="AF81" i="1"/>
  <c r="AG87" i="1"/>
  <c r="AB86" i="1"/>
  <c r="O83" i="1" l="1"/>
  <c r="P83" i="1"/>
  <c r="Q83" i="1"/>
  <c r="AJ82" i="1" s="1"/>
  <c r="AI82" i="1"/>
  <c r="Y82" i="1"/>
  <c r="AO81" i="1"/>
  <c r="AA82" i="1"/>
  <c r="AQ83" i="1"/>
  <c r="AW83" i="1"/>
  <c r="AX83" i="1" s="1"/>
  <c r="V83" i="1"/>
  <c r="AL83" i="1" s="1"/>
  <c r="AH83" i="1"/>
  <c r="AC83" i="1"/>
  <c r="AE83" i="1" s="1"/>
  <c r="N84" i="1"/>
  <c r="X83" i="1"/>
  <c r="Z83" i="1" s="1"/>
  <c r="AP81" i="1"/>
  <c r="AR81" i="1" s="1"/>
  <c r="AD82" i="1"/>
  <c r="AF82" i="1"/>
  <c r="AM81" i="1"/>
  <c r="AN81" i="1" s="1"/>
  <c r="AK82" i="1"/>
  <c r="AG88" i="1"/>
  <c r="AB87" i="1"/>
  <c r="Q84" i="1" l="1"/>
  <c r="AJ83" i="1" s="1"/>
  <c r="O84" i="1"/>
  <c r="P84" i="1"/>
  <c r="AP83" i="1"/>
  <c r="AR83" i="1" s="1"/>
  <c r="AO82" i="1"/>
  <c r="Y83" i="1"/>
  <c r="AD83" i="1"/>
  <c r="AF83" i="1"/>
  <c r="AI83" i="1"/>
  <c r="AK83" i="1"/>
  <c r="AP82" i="1"/>
  <c r="AR82" i="1" s="1"/>
  <c r="AQ84" i="1"/>
  <c r="AW84" i="1"/>
  <c r="AX84" i="1" s="1"/>
  <c r="AH84" i="1"/>
  <c r="AC84" i="1"/>
  <c r="AE84" i="1" s="1"/>
  <c r="V84" i="1"/>
  <c r="AL84" i="1" s="1"/>
  <c r="N85" i="1"/>
  <c r="X84" i="1"/>
  <c r="Z84" i="1" s="1"/>
  <c r="AA83" i="1"/>
  <c r="AM82" i="1"/>
  <c r="AN82" i="1" s="1"/>
  <c r="AG89" i="1"/>
  <c r="AB88" i="1"/>
  <c r="P85" i="1" l="1"/>
  <c r="Q85" i="1"/>
  <c r="AJ84" i="1" s="1"/>
  <c r="O85" i="1"/>
  <c r="Y84" i="1"/>
  <c r="AM83" i="1"/>
  <c r="AN83" i="1" s="1"/>
  <c r="AO83" i="1"/>
  <c r="AA84" i="1"/>
  <c r="AI84" i="1"/>
  <c r="AK84" i="1"/>
  <c r="AD84" i="1"/>
  <c r="AF84" i="1"/>
  <c r="AQ85" i="1"/>
  <c r="X85" i="1"/>
  <c r="N86" i="1"/>
  <c r="AH85" i="1"/>
  <c r="AW85" i="1"/>
  <c r="AX85" i="1" s="1"/>
  <c r="AC85" i="1"/>
  <c r="AE85" i="1" s="1"/>
  <c r="V85" i="1"/>
  <c r="AL85" i="1" s="1"/>
  <c r="AG90" i="1"/>
  <c r="AB89" i="1"/>
  <c r="Q86" i="1" l="1"/>
  <c r="AJ85" i="1" s="1"/>
  <c r="P86" i="1"/>
  <c r="O86" i="1"/>
  <c r="Z85" i="1"/>
  <c r="Y85" i="1"/>
  <c r="AP84" i="1"/>
  <c r="AR84" i="1" s="1"/>
  <c r="AQ86" i="1"/>
  <c r="V86" i="1"/>
  <c r="AL86" i="1" s="1"/>
  <c r="X86" i="1"/>
  <c r="AW86" i="1"/>
  <c r="AX86" i="1" s="1"/>
  <c r="AH86" i="1"/>
  <c r="AC86" i="1"/>
  <c r="AE86" i="1" s="1"/>
  <c r="N87" i="1"/>
  <c r="AD85" i="1"/>
  <c r="AF85" i="1"/>
  <c r="AO84" i="1"/>
  <c r="AM84" i="1"/>
  <c r="AN84" i="1" s="1"/>
  <c r="AA85" i="1"/>
  <c r="AI85" i="1"/>
  <c r="AK85" i="1"/>
  <c r="AG91" i="1"/>
  <c r="AB90" i="1"/>
  <c r="O87" i="1" l="1"/>
  <c r="P87" i="1"/>
  <c r="Q87" i="1"/>
  <c r="AJ86" i="1" s="1"/>
  <c r="Z86" i="1"/>
  <c r="AI86" i="1"/>
  <c r="Y86" i="1"/>
  <c r="AM85" i="1"/>
  <c r="AN85" i="1" s="1"/>
  <c r="AD86" i="1"/>
  <c r="AF86" i="1"/>
  <c r="AQ87" i="1"/>
  <c r="AH87" i="1"/>
  <c r="X87" i="1"/>
  <c r="Z87" i="1" s="1"/>
  <c r="V87" i="1"/>
  <c r="AL87" i="1" s="1"/>
  <c r="AW87" i="1"/>
  <c r="AX87" i="1" s="1"/>
  <c r="AC87" i="1"/>
  <c r="AE87" i="1" s="1"/>
  <c r="N88" i="1"/>
  <c r="AK86" i="1"/>
  <c r="AA86" i="1"/>
  <c r="AP85" i="1"/>
  <c r="AR85" i="1" s="1"/>
  <c r="AO85" i="1"/>
  <c r="AG92" i="1"/>
  <c r="AB91" i="1"/>
  <c r="Q88" i="1" l="1"/>
  <c r="AJ87" i="1" s="1"/>
  <c r="O88" i="1"/>
  <c r="P88" i="1"/>
  <c r="AO86" i="1"/>
  <c r="AD87" i="1"/>
  <c r="Y87" i="1"/>
  <c r="AM86" i="1"/>
  <c r="AN86" i="1" s="1"/>
  <c r="AA87" i="1"/>
  <c r="AI87" i="1"/>
  <c r="AK87" i="1"/>
  <c r="AF87" i="1"/>
  <c r="AP86" i="1"/>
  <c r="AR86" i="1" s="1"/>
  <c r="AQ88" i="1"/>
  <c r="V88" i="1"/>
  <c r="AL88" i="1" s="1"/>
  <c r="X88" i="1"/>
  <c r="N89" i="1"/>
  <c r="AC88" i="1"/>
  <c r="AW88" i="1"/>
  <c r="AX88" i="1" s="1"/>
  <c r="AH88" i="1"/>
  <c r="AG93" i="1"/>
  <c r="AB92" i="1"/>
  <c r="Z88" i="1" l="1"/>
  <c r="AE88" i="1"/>
  <c r="Y88" i="1"/>
  <c r="P89" i="1"/>
  <c r="Q89" i="1"/>
  <c r="AJ88" i="1" s="1"/>
  <c r="O89" i="1"/>
  <c r="AO87" i="1"/>
  <c r="AD88" i="1"/>
  <c r="AQ89" i="1"/>
  <c r="N90" i="1"/>
  <c r="AH89" i="1"/>
  <c r="X89" i="1"/>
  <c r="Z89" i="1" s="1"/>
  <c r="AC89" i="1"/>
  <c r="V89" i="1"/>
  <c r="AL89" i="1" s="1"/>
  <c r="AD89" i="1"/>
  <c r="AW89" i="1"/>
  <c r="AX89" i="1" s="1"/>
  <c r="AP87" i="1"/>
  <c r="AR87" i="1" s="1"/>
  <c r="AI88" i="1"/>
  <c r="AK88" i="1"/>
  <c r="AA88" i="1"/>
  <c r="AM87" i="1"/>
  <c r="AN87" i="1" s="1"/>
  <c r="AF88" i="1"/>
  <c r="AG94" i="1"/>
  <c r="AB93" i="1"/>
  <c r="Q90" i="1" l="1"/>
  <c r="AJ89" i="1" s="1"/>
  <c r="P90" i="1"/>
  <c r="O90" i="1"/>
  <c r="AE89" i="1"/>
  <c r="Y89" i="1"/>
  <c r="AO88" i="1"/>
  <c r="AP88" i="1"/>
  <c r="AR88" i="1" s="1"/>
  <c r="AM88" i="1"/>
  <c r="AN88" i="1" s="1"/>
  <c r="AI89" i="1"/>
  <c r="AO89" i="1" s="1"/>
  <c r="AK89" i="1"/>
  <c r="AQ90" i="1"/>
  <c r="X90" i="1"/>
  <c r="Z90" i="1" s="1"/>
  <c r="N91" i="1"/>
  <c r="V90" i="1"/>
  <c r="AL90" i="1" s="1"/>
  <c r="AH90" i="1"/>
  <c r="AC90" i="1"/>
  <c r="AE90" i="1" s="1"/>
  <c r="AW90" i="1"/>
  <c r="AX90" i="1" s="1"/>
  <c r="AF89" i="1"/>
  <c r="AA89" i="1"/>
  <c r="AG95" i="1"/>
  <c r="AB94" i="1"/>
  <c r="O91" i="1" l="1"/>
  <c r="P91" i="1"/>
  <c r="Q91" i="1"/>
  <c r="AJ90" i="1" s="1"/>
  <c r="AD90" i="1"/>
  <c r="Y90" i="1"/>
  <c r="AM89" i="1"/>
  <c r="AN89" i="1" s="1"/>
  <c r="AF90" i="1"/>
  <c r="AQ91" i="1"/>
  <c r="X91" i="1"/>
  <c r="Z91" i="1" s="1"/>
  <c r="N92" i="1"/>
  <c r="AC91" i="1"/>
  <c r="AE91" i="1" s="1"/>
  <c r="AW91" i="1"/>
  <c r="AX91" i="1" s="1"/>
  <c r="Y91" i="1"/>
  <c r="V91" i="1"/>
  <c r="AL91" i="1" s="1"/>
  <c r="AH91" i="1"/>
  <c r="AD91" i="1"/>
  <c r="AP89" i="1"/>
  <c r="AR89" i="1" s="1"/>
  <c r="AK90" i="1"/>
  <c r="AI90" i="1"/>
  <c r="AA90" i="1"/>
  <c r="AG96" i="1"/>
  <c r="AB95" i="1"/>
  <c r="Q92" i="1" l="1"/>
  <c r="AJ91" i="1" s="1"/>
  <c r="O92" i="1"/>
  <c r="P92" i="1"/>
  <c r="AO90" i="1"/>
  <c r="AP90" i="1"/>
  <c r="AR90" i="1" s="1"/>
  <c r="AI91" i="1"/>
  <c r="AO91" i="1" s="1"/>
  <c r="AK91" i="1"/>
  <c r="AF91" i="1"/>
  <c r="AQ92" i="1"/>
  <c r="X92" i="1"/>
  <c r="Z92" i="1" s="1"/>
  <c r="V92" i="1"/>
  <c r="AL92" i="1" s="1"/>
  <c r="N93" i="1"/>
  <c r="AC92" i="1"/>
  <c r="AH92" i="1"/>
  <c r="AW92" i="1"/>
  <c r="AX92" i="1" s="1"/>
  <c r="AM90" i="1"/>
  <c r="AN90" i="1" s="1"/>
  <c r="AA91" i="1"/>
  <c r="AG97" i="1"/>
  <c r="AB96" i="1"/>
  <c r="P93" i="1" l="1"/>
  <c r="Q93" i="1"/>
  <c r="AJ92" i="1" s="1"/>
  <c r="O93" i="1"/>
  <c r="AE92" i="1"/>
  <c r="AD92" i="1"/>
  <c r="Y92" i="1"/>
  <c r="AM91" i="1"/>
  <c r="AN91" i="1" s="1"/>
  <c r="AK92" i="1"/>
  <c r="AI92" i="1"/>
  <c r="AF92" i="1"/>
  <c r="AA92" i="1"/>
  <c r="AP91" i="1"/>
  <c r="AR91" i="1" s="1"/>
  <c r="AQ93" i="1"/>
  <c r="X93" i="1"/>
  <c r="N94" i="1"/>
  <c r="AH93" i="1"/>
  <c r="AC93" i="1"/>
  <c r="AE93" i="1" s="1"/>
  <c r="Y93" i="1"/>
  <c r="V93" i="1"/>
  <c r="AL93" i="1" s="1"/>
  <c r="AI93" i="1"/>
  <c r="AD93" i="1"/>
  <c r="AW93" i="1"/>
  <c r="AX93" i="1" s="1"/>
  <c r="AG98" i="1"/>
  <c r="AB97" i="1"/>
  <c r="Z93" i="1" l="1"/>
  <c r="Q94" i="1"/>
  <c r="AJ93" i="1" s="1"/>
  <c r="P94" i="1"/>
  <c r="O94" i="1"/>
  <c r="AO92" i="1"/>
  <c r="AP92" i="1"/>
  <c r="AR92" i="1" s="1"/>
  <c r="AO93" i="1"/>
  <c r="AA93" i="1"/>
  <c r="AF93" i="1"/>
  <c r="AQ94" i="1"/>
  <c r="AC94" i="1"/>
  <c r="AE94" i="1" s="1"/>
  <c r="V94" i="1"/>
  <c r="AL94" i="1" s="1"/>
  <c r="AH94" i="1"/>
  <c r="Y94" i="1"/>
  <c r="AW94" i="1"/>
  <c r="AX94" i="1" s="1"/>
  <c r="AI94" i="1"/>
  <c r="X94" i="1"/>
  <c r="N95" i="1"/>
  <c r="AK93" i="1"/>
  <c r="AM92" i="1"/>
  <c r="AN92" i="1" s="1"/>
  <c r="AG99" i="1"/>
  <c r="AB98" i="1"/>
  <c r="O95" i="1" l="1"/>
  <c r="P95" i="1"/>
  <c r="Q95" i="1"/>
  <c r="AJ94" i="1" s="1"/>
  <c r="Z94" i="1"/>
  <c r="AD94" i="1"/>
  <c r="AO94" i="1" s="1"/>
  <c r="AK94" i="1"/>
  <c r="AQ95" i="1"/>
  <c r="AH95" i="1"/>
  <c r="N96" i="1"/>
  <c r="X95" i="1"/>
  <c r="Z95" i="1" s="1"/>
  <c r="AI95" i="1"/>
  <c r="AC95" i="1"/>
  <c r="AE95" i="1" s="1"/>
  <c r="AW95" i="1"/>
  <c r="AX95" i="1" s="1"/>
  <c r="V95" i="1"/>
  <c r="AL95" i="1" s="1"/>
  <c r="AF94" i="1"/>
  <c r="AP93" i="1"/>
  <c r="AR93" i="1" s="1"/>
  <c r="AA94" i="1"/>
  <c r="AM93" i="1"/>
  <c r="AN93" i="1" s="1"/>
  <c r="AG100" i="1"/>
  <c r="AB99" i="1"/>
  <c r="AD95" i="1" l="1"/>
  <c r="Q96" i="1"/>
  <c r="AJ95" i="1" s="1"/>
  <c r="P96" i="1"/>
  <c r="O96" i="1"/>
  <c r="Y95" i="1"/>
  <c r="AO95" i="1" s="1"/>
  <c r="AM94" i="1"/>
  <c r="AN94" i="1" s="1"/>
  <c r="AA95" i="1"/>
  <c r="AK95" i="1"/>
  <c r="AP94" i="1"/>
  <c r="AR94" i="1" s="1"/>
  <c r="AQ96" i="1"/>
  <c r="AW96" i="1"/>
  <c r="AX96" i="1" s="1"/>
  <c r="AC96" i="1"/>
  <c r="AE96" i="1" s="1"/>
  <c r="AI96" i="1"/>
  <c r="N97" i="1"/>
  <c r="AH96" i="1"/>
  <c r="AD96" i="1"/>
  <c r="V96" i="1"/>
  <c r="AL96" i="1" s="1"/>
  <c r="X96" i="1"/>
  <c r="AF95" i="1"/>
  <c r="AG101" i="1"/>
  <c r="AB100" i="1"/>
  <c r="Z96" i="1" l="1"/>
  <c r="P97" i="1"/>
  <c r="Q97" i="1"/>
  <c r="AJ96" i="1" s="1"/>
  <c r="O97" i="1"/>
  <c r="Y96" i="1"/>
  <c r="AO96" i="1" s="1"/>
  <c r="AA96" i="1"/>
  <c r="AQ97" i="1"/>
  <c r="AI97" i="1"/>
  <c r="V97" i="1"/>
  <c r="AL97" i="1" s="1"/>
  <c r="AH97" i="1"/>
  <c r="AC97" i="1"/>
  <c r="AE97" i="1" s="1"/>
  <c r="AW97" i="1"/>
  <c r="AX97" i="1" s="1"/>
  <c r="X97" i="1"/>
  <c r="N98" i="1"/>
  <c r="Y97" i="1"/>
  <c r="AK96" i="1"/>
  <c r="AP95" i="1"/>
  <c r="AR95" i="1" s="1"/>
  <c r="AF96" i="1"/>
  <c r="AM95" i="1"/>
  <c r="AN95" i="1" s="1"/>
  <c r="AG102" i="1"/>
  <c r="AB101" i="1"/>
  <c r="Q98" i="1" l="1"/>
  <c r="AJ97" i="1" s="1"/>
  <c r="P98" i="1"/>
  <c r="O98" i="1"/>
  <c r="Z97" i="1"/>
  <c r="AD97" i="1"/>
  <c r="AO97" i="1" s="1"/>
  <c r="AQ98" i="1"/>
  <c r="X98" i="1"/>
  <c r="Z98" i="1" s="1"/>
  <c r="N99" i="1"/>
  <c r="AC98" i="1"/>
  <c r="AE98" i="1" s="1"/>
  <c r="V98" i="1"/>
  <c r="AL98" i="1" s="1"/>
  <c r="Y98" i="1"/>
  <c r="AW98" i="1"/>
  <c r="AX98" i="1" s="1"/>
  <c r="AH98" i="1"/>
  <c r="AK97" i="1"/>
  <c r="AA97" i="1"/>
  <c r="AP96" i="1"/>
  <c r="AR96" i="1" s="1"/>
  <c r="AF97" i="1"/>
  <c r="AM96" i="1"/>
  <c r="AN96" i="1" s="1"/>
  <c r="AG103" i="1"/>
  <c r="AI103" i="1" s="1"/>
  <c r="AB102" i="1"/>
  <c r="O99" i="1" l="1"/>
  <c r="P99" i="1"/>
  <c r="Q99" i="1"/>
  <c r="AJ98" i="1" s="1"/>
  <c r="AI98" i="1"/>
  <c r="AD98" i="1"/>
  <c r="AA98" i="1"/>
  <c r="AP97" i="1"/>
  <c r="AR97" i="1" s="1"/>
  <c r="AK98" i="1"/>
  <c r="AQ99" i="1"/>
  <c r="V99" i="1"/>
  <c r="AL99" i="1" s="1"/>
  <c r="N100" i="1"/>
  <c r="AI99" i="1"/>
  <c r="AC99" i="1"/>
  <c r="AW99" i="1"/>
  <c r="AX99" i="1" s="1"/>
  <c r="AH99" i="1"/>
  <c r="X99" i="1"/>
  <c r="Z99" i="1" s="1"/>
  <c r="AM97" i="1"/>
  <c r="AN97" i="1" s="1"/>
  <c r="AF98" i="1"/>
  <c r="AB103" i="1"/>
  <c r="AD103" i="1" s="1"/>
  <c r="AO103" i="1" s="1"/>
  <c r="H22" i="1" s="1"/>
  <c r="H24" i="1" s="1"/>
  <c r="AE99" i="1" l="1"/>
  <c r="Q100" i="1"/>
  <c r="AJ99" i="1" s="1"/>
  <c r="O100" i="1"/>
  <c r="P100" i="1"/>
  <c r="AD99" i="1"/>
  <c r="AO98" i="1"/>
  <c r="Y99" i="1"/>
  <c r="AP98" i="1"/>
  <c r="AR98" i="1" s="1"/>
  <c r="AA99" i="1"/>
  <c r="AK99" i="1"/>
  <c r="AQ100" i="1"/>
  <c r="N101" i="1"/>
  <c r="AW100" i="1"/>
  <c r="AX100" i="1" s="1"/>
  <c r="V100" i="1"/>
  <c r="AL100" i="1" s="1"/>
  <c r="AC100" i="1"/>
  <c r="X100" i="1"/>
  <c r="Z100" i="1" s="1"/>
  <c r="AH100" i="1"/>
  <c r="AM98" i="1"/>
  <c r="AN98" i="1" s="1"/>
  <c r="AF99" i="1"/>
  <c r="AP103" i="1"/>
  <c r="AR103" i="1" s="1"/>
  <c r="AT103" i="1" s="1"/>
  <c r="K23" i="1" s="1"/>
  <c r="AE100" i="1" l="1"/>
  <c r="P101" i="1"/>
  <c r="Q101" i="1"/>
  <c r="AJ100" i="1" s="1"/>
  <c r="O101" i="1"/>
  <c r="Y100" i="1"/>
  <c r="AO99" i="1"/>
  <c r="AD100" i="1"/>
  <c r="AI100" i="1"/>
  <c r="AM99" i="1"/>
  <c r="AN99" i="1" s="1"/>
  <c r="AK100" i="1"/>
  <c r="AP99" i="1"/>
  <c r="AR99" i="1" s="1"/>
  <c r="AF100" i="1"/>
  <c r="AQ101" i="1"/>
  <c r="AH101" i="1"/>
  <c r="AC101" i="1"/>
  <c r="AE101" i="1" s="1"/>
  <c r="N102" i="1"/>
  <c r="AI101" i="1"/>
  <c r="AW101" i="1"/>
  <c r="AX101" i="1" s="1"/>
  <c r="V101" i="1"/>
  <c r="AL101" i="1" s="1"/>
  <c r="X101" i="1"/>
  <c r="AA100" i="1"/>
  <c r="AO100" i="1" l="1"/>
  <c r="AD101" i="1"/>
  <c r="Q102" i="1"/>
  <c r="AJ101" i="1" s="1"/>
  <c r="P102" i="1"/>
  <c r="O102" i="1"/>
  <c r="Z101" i="1"/>
  <c r="Y101" i="1"/>
  <c r="AO101" i="1" s="1"/>
  <c r="AP100" i="1"/>
  <c r="AR100" i="1" s="1"/>
  <c r="AA101" i="1"/>
  <c r="AQ102" i="1"/>
  <c r="AC102" i="1"/>
  <c r="X102" i="1"/>
  <c r="AD102" i="1"/>
  <c r="V102" i="1"/>
  <c r="AL102" i="1" s="1"/>
  <c r="Y102" i="1"/>
  <c r="AH102" i="1"/>
  <c r="AJ102" i="1" s="1"/>
  <c r="AW102" i="1"/>
  <c r="AX102" i="1" s="1"/>
  <c r="AM100" i="1"/>
  <c r="AN100" i="1" s="1"/>
  <c r="AK101" i="1"/>
  <c r="AF101" i="1"/>
  <c r="AT5" i="1"/>
  <c r="AS3" i="1"/>
  <c r="E11" i="1"/>
  <c r="AE102" i="1" l="1"/>
  <c r="Z102" i="1"/>
  <c r="AI102" i="1"/>
  <c r="R32" i="1"/>
  <c r="AY32" i="1" s="1"/>
  <c r="B15" i="1"/>
  <c r="AU32" i="1"/>
  <c r="AF102" i="1"/>
  <c r="AU56" i="1"/>
  <c r="AU55" i="1"/>
  <c r="AU5" i="1"/>
  <c r="AU103" i="1"/>
  <c r="AK102" i="1"/>
  <c r="AP101" i="1"/>
  <c r="AR101" i="1" s="1"/>
  <c r="AM101" i="1"/>
  <c r="AN101" i="1" s="1"/>
  <c r="AO102" i="1"/>
  <c r="AA102" i="1"/>
  <c r="H11" i="1"/>
  <c r="T32" i="1" s="1"/>
  <c r="S32" i="1"/>
  <c r="K11" i="1"/>
  <c r="U32" i="1" s="1"/>
  <c r="R5" i="1"/>
  <c r="R9" i="1"/>
  <c r="R13" i="1"/>
  <c r="R17" i="1"/>
  <c r="R21" i="1"/>
  <c r="R25" i="1"/>
  <c r="R29" i="1"/>
  <c r="R33" i="1"/>
  <c r="R37" i="1"/>
  <c r="R41" i="1"/>
  <c r="R45" i="1"/>
  <c r="R49" i="1"/>
  <c r="R53" i="1"/>
  <c r="R57" i="1"/>
  <c r="R61" i="1"/>
  <c r="R65" i="1"/>
  <c r="R69" i="1"/>
  <c r="R73" i="1"/>
  <c r="R77" i="1"/>
  <c r="R81" i="1"/>
  <c r="R85" i="1"/>
  <c r="R89" i="1"/>
  <c r="R93" i="1"/>
  <c r="R97" i="1"/>
  <c r="R101" i="1"/>
  <c r="R6" i="1"/>
  <c r="R10" i="1"/>
  <c r="R14" i="1"/>
  <c r="R18" i="1"/>
  <c r="R22" i="1"/>
  <c r="R26" i="1"/>
  <c r="R30" i="1"/>
  <c r="R34" i="1"/>
  <c r="R38" i="1"/>
  <c r="R42" i="1"/>
  <c r="R46" i="1"/>
  <c r="R50" i="1"/>
  <c r="R54" i="1"/>
  <c r="R58" i="1"/>
  <c r="R62" i="1"/>
  <c r="R66" i="1"/>
  <c r="R70" i="1"/>
  <c r="R74" i="1"/>
  <c r="R78" i="1"/>
  <c r="R82" i="1"/>
  <c r="R86" i="1"/>
  <c r="R90" i="1"/>
  <c r="R94" i="1"/>
  <c r="R98" i="1"/>
  <c r="R102" i="1"/>
  <c r="R7" i="1"/>
  <c r="R11" i="1"/>
  <c r="R15" i="1"/>
  <c r="R19" i="1"/>
  <c r="R23" i="1"/>
  <c r="R27" i="1"/>
  <c r="R31" i="1"/>
  <c r="R35" i="1"/>
  <c r="R39" i="1"/>
  <c r="R43" i="1"/>
  <c r="R47" i="1"/>
  <c r="R51" i="1"/>
  <c r="R55" i="1"/>
  <c r="R59" i="1"/>
  <c r="R63" i="1"/>
  <c r="R67" i="1"/>
  <c r="R71" i="1"/>
  <c r="R75" i="1"/>
  <c r="R79" i="1"/>
  <c r="R83" i="1"/>
  <c r="R87" i="1"/>
  <c r="R91" i="1"/>
  <c r="R95" i="1"/>
  <c r="R99" i="1"/>
  <c r="R103" i="1"/>
  <c r="K22" i="1" s="1"/>
  <c r="R4" i="1"/>
  <c r="R8" i="1"/>
  <c r="R12" i="1"/>
  <c r="R16" i="1"/>
  <c r="R20" i="1"/>
  <c r="R24" i="1"/>
  <c r="R28" i="1"/>
  <c r="R36" i="1"/>
  <c r="R40" i="1"/>
  <c r="R48" i="1"/>
  <c r="R64" i="1"/>
  <c r="R80" i="1"/>
  <c r="R96" i="1"/>
  <c r="R68" i="1"/>
  <c r="R84" i="1"/>
  <c r="R100" i="1"/>
  <c r="R56" i="1"/>
  <c r="R72" i="1"/>
  <c r="R88" i="1"/>
  <c r="R3" i="1"/>
  <c r="R44" i="1"/>
  <c r="R60" i="1"/>
  <c r="R76" i="1"/>
  <c r="R92" i="1"/>
  <c r="R52" i="1"/>
  <c r="AT6" i="1"/>
  <c r="AU6" i="1" s="1"/>
  <c r="AN3" i="1"/>
  <c r="AT3" i="1" s="1"/>
  <c r="AU3" i="1" s="1"/>
  <c r="AN4" i="1"/>
  <c r="AT4" i="1" s="1"/>
  <c r="AU4" i="1" s="1"/>
  <c r="AS4" i="1"/>
  <c r="AM102" i="1" l="1"/>
  <c r="AN102" i="1" s="1"/>
  <c r="AP102" i="1"/>
  <c r="AR102" i="1" s="1"/>
  <c r="H21" i="1"/>
  <c r="H25" i="1" s="1"/>
  <c r="K21" i="1" s="1"/>
  <c r="AY3" i="1"/>
  <c r="AY4" i="1"/>
  <c r="U103" i="1"/>
  <c r="U3" i="1"/>
  <c r="U4" i="1"/>
  <c r="U5" i="1"/>
  <c r="U6" i="1"/>
  <c r="U7" i="1"/>
  <c r="U8" i="1"/>
  <c r="U9" i="1"/>
  <c r="U11" i="1"/>
  <c r="U10" i="1"/>
  <c r="U12" i="1"/>
  <c r="U13" i="1"/>
  <c r="U14" i="1"/>
  <c r="U15" i="1"/>
  <c r="U16" i="1"/>
  <c r="U17" i="1"/>
  <c r="U18" i="1"/>
  <c r="U19" i="1"/>
  <c r="U20" i="1"/>
  <c r="U21" i="1"/>
  <c r="U22" i="1"/>
  <c r="U23" i="1"/>
  <c r="U24" i="1"/>
  <c r="U25" i="1"/>
  <c r="U26" i="1"/>
  <c r="U27" i="1"/>
  <c r="U28" i="1"/>
  <c r="U29" i="1"/>
  <c r="U30" i="1"/>
  <c r="U31"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S103" i="1"/>
  <c r="S3" i="1"/>
  <c r="S4" i="1"/>
  <c r="S5" i="1"/>
  <c r="S7" i="1"/>
  <c r="S6" i="1"/>
  <c r="S8" i="1"/>
  <c r="S9" i="1"/>
  <c r="S10" i="1"/>
  <c r="S11" i="1"/>
  <c r="S12" i="1"/>
  <c r="S13" i="1"/>
  <c r="S14" i="1"/>
  <c r="S15" i="1"/>
  <c r="S16" i="1"/>
  <c r="S17" i="1"/>
  <c r="S18" i="1"/>
  <c r="S19" i="1"/>
  <c r="S20" i="1"/>
  <c r="S21" i="1"/>
  <c r="S22" i="1"/>
  <c r="S23" i="1"/>
  <c r="S24" i="1"/>
  <c r="S25" i="1"/>
  <c r="S26" i="1"/>
  <c r="S27" i="1"/>
  <c r="S28" i="1"/>
  <c r="S29" i="1"/>
  <c r="S30" i="1"/>
  <c r="S31"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T3" i="1"/>
  <c r="T103" i="1"/>
  <c r="T4" i="1"/>
  <c r="T5" i="1"/>
  <c r="T6" i="1"/>
  <c r="T7" i="1"/>
  <c r="T8" i="1"/>
  <c r="T9" i="1"/>
  <c r="T11" i="1"/>
  <c r="T10" i="1"/>
  <c r="T12" i="1"/>
  <c r="T13" i="1"/>
  <c r="T14" i="1"/>
  <c r="T15" i="1"/>
  <c r="T16" i="1"/>
  <c r="T17" i="1"/>
  <c r="T18" i="1"/>
  <c r="T19" i="1"/>
  <c r="T20" i="1"/>
  <c r="T21" i="1"/>
  <c r="T22" i="1"/>
  <c r="T23" i="1"/>
  <c r="T24" i="1"/>
  <c r="T25" i="1"/>
  <c r="T26" i="1"/>
  <c r="T27" i="1"/>
  <c r="T28" i="1"/>
  <c r="T29" i="1"/>
  <c r="T30" i="1"/>
  <c r="T31"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K12" i="1"/>
  <c r="E12" i="1"/>
  <c r="H12" i="1"/>
  <c r="AS5" i="1"/>
  <c r="AT7" i="1"/>
  <c r="AU7" i="1" s="1"/>
  <c r="AS6" i="1" l="1"/>
  <c r="AS7" i="1" s="1"/>
  <c r="AY5" i="1"/>
  <c r="AT8" i="1"/>
  <c r="AU8" i="1" s="1"/>
  <c r="AY6" i="1" l="1"/>
  <c r="AY7" i="1"/>
  <c r="AS8" i="1"/>
  <c r="AT9" i="1"/>
  <c r="AU9" i="1" s="1"/>
  <c r="AY8" i="1" l="1"/>
  <c r="AS9" i="1"/>
  <c r="AT10" i="1"/>
  <c r="AU10" i="1" s="1"/>
  <c r="AY9" i="1" l="1"/>
  <c r="AS10" i="1"/>
  <c r="AT11" i="1"/>
  <c r="AU11" i="1" s="1"/>
  <c r="AY10" i="1" l="1"/>
  <c r="AS11" i="1"/>
  <c r="AT12" i="1"/>
  <c r="AU12" i="1" s="1"/>
  <c r="AY11" i="1" l="1"/>
  <c r="AS12" i="1"/>
  <c r="AT13" i="1"/>
  <c r="AU13" i="1" s="1"/>
  <c r="AY12" i="1" l="1"/>
  <c r="AS13" i="1"/>
  <c r="AT14" i="1"/>
  <c r="AU14" i="1" s="1"/>
  <c r="AY13" i="1" l="1"/>
  <c r="AS14" i="1"/>
  <c r="AT15" i="1"/>
  <c r="AU15" i="1" s="1"/>
  <c r="AY14" i="1" l="1"/>
  <c r="AS15" i="1"/>
  <c r="AT16" i="1"/>
  <c r="AU16" i="1" s="1"/>
  <c r="AY15" i="1" l="1"/>
  <c r="AS16" i="1"/>
  <c r="AT17" i="1"/>
  <c r="AU17" i="1" s="1"/>
  <c r="AY16" i="1" l="1"/>
  <c r="AS17" i="1"/>
  <c r="AT18" i="1"/>
  <c r="AU18" i="1" s="1"/>
  <c r="AY17" i="1" l="1"/>
  <c r="AS18" i="1"/>
  <c r="AT19" i="1"/>
  <c r="AU19" i="1" s="1"/>
  <c r="AY18" i="1" l="1"/>
  <c r="AS19" i="1"/>
  <c r="AT20" i="1"/>
  <c r="AU20" i="1" s="1"/>
  <c r="AY19" i="1" l="1"/>
  <c r="AS20" i="1"/>
  <c r="AT21" i="1"/>
  <c r="AU21" i="1" s="1"/>
  <c r="AY20" i="1" l="1"/>
  <c r="AS21" i="1"/>
  <c r="AT22" i="1"/>
  <c r="AU22" i="1" s="1"/>
  <c r="AY21" i="1" l="1"/>
  <c r="AS22" i="1"/>
  <c r="AT23" i="1"/>
  <c r="AU23" i="1" s="1"/>
  <c r="AY22" i="1" l="1"/>
  <c r="AS23" i="1"/>
  <c r="AT24" i="1"/>
  <c r="AU24" i="1" s="1"/>
  <c r="AY23" i="1" l="1"/>
  <c r="AS24" i="1"/>
  <c r="AT25" i="1"/>
  <c r="AU25" i="1" s="1"/>
  <c r="AY24" i="1" l="1"/>
  <c r="AS25" i="1"/>
  <c r="AT26" i="1"/>
  <c r="AU26" i="1" s="1"/>
  <c r="AY25" i="1" l="1"/>
  <c r="AS26" i="1"/>
  <c r="AT27" i="1"/>
  <c r="AU27" i="1" s="1"/>
  <c r="AY26" i="1" l="1"/>
  <c r="AS27" i="1"/>
  <c r="AT28" i="1"/>
  <c r="AU28" i="1" s="1"/>
  <c r="AY27" i="1" l="1"/>
  <c r="AS28" i="1"/>
  <c r="AT29" i="1"/>
  <c r="AU29" i="1" s="1"/>
  <c r="AY28" i="1" l="1"/>
  <c r="AS29" i="1"/>
  <c r="AT30" i="1"/>
  <c r="AY29" i="1" l="1"/>
  <c r="AS30" i="1"/>
  <c r="AT31" i="1"/>
  <c r="AU31" i="1" s="1"/>
  <c r="AY30" i="1" l="1"/>
  <c r="AU30" i="1"/>
  <c r="AS31" i="1"/>
  <c r="AS32" i="1" s="1"/>
  <c r="AY31" i="1" l="1"/>
  <c r="AT33" i="1"/>
  <c r="AU33" i="1" s="1"/>
  <c r="AS33" i="1" l="1"/>
  <c r="AT34" i="1"/>
  <c r="AU34" i="1" s="1"/>
  <c r="AY33" i="1" l="1"/>
  <c r="AS34" i="1"/>
  <c r="AT35" i="1"/>
  <c r="AU35" i="1" s="1"/>
  <c r="AY34" i="1" l="1"/>
  <c r="AS35" i="1"/>
  <c r="AT36" i="1"/>
  <c r="AY35" i="1" l="1"/>
  <c r="AS36" i="1"/>
  <c r="AT37" i="1"/>
  <c r="AU37" i="1" s="1"/>
  <c r="AU36" i="1" l="1"/>
  <c r="AY36" i="1"/>
  <c r="AS37" i="1"/>
  <c r="AT38" i="1"/>
  <c r="AU38" i="1" s="1"/>
  <c r="AY37" i="1" l="1"/>
  <c r="AS38" i="1"/>
  <c r="AT39" i="1"/>
  <c r="AU39" i="1" s="1"/>
  <c r="AY38" i="1" l="1"/>
  <c r="AS39" i="1"/>
  <c r="AT40" i="1"/>
  <c r="AU40" i="1" s="1"/>
  <c r="AY39" i="1" l="1"/>
  <c r="AS40" i="1"/>
  <c r="AT41" i="1"/>
  <c r="AU41" i="1" s="1"/>
  <c r="AY40" i="1" l="1"/>
  <c r="AS41" i="1"/>
  <c r="AT42" i="1"/>
  <c r="AU42" i="1" s="1"/>
  <c r="AY41" i="1" l="1"/>
  <c r="AS42" i="1"/>
  <c r="AT43" i="1"/>
  <c r="AU43" i="1" s="1"/>
  <c r="AY42" i="1" l="1"/>
  <c r="AS43" i="1"/>
  <c r="AT44" i="1"/>
  <c r="AU44" i="1" s="1"/>
  <c r="AY43" i="1" l="1"/>
  <c r="AS44" i="1"/>
  <c r="AT45" i="1"/>
  <c r="AU45" i="1" s="1"/>
  <c r="AY44" i="1" l="1"/>
  <c r="AS45" i="1"/>
  <c r="AT46" i="1"/>
  <c r="AU46" i="1" s="1"/>
  <c r="AY45" i="1" l="1"/>
  <c r="AS46" i="1"/>
  <c r="AT47" i="1"/>
  <c r="AU47" i="1" s="1"/>
  <c r="AY46" i="1" l="1"/>
  <c r="AS47" i="1"/>
  <c r="AT48" i="1"/>
  <c r="AU48" i="1" s="1"/>
  <c r="AY47" i="1" l="1"/>
  <c r="AS48" i="1"/>
  <c r="AT49" i="1"/>
  <c r="AU49" i="1" s="1"/>
  <c r="AY48" i="1" l="1"/>
  <c r="AS49" i="1"/>
  <c r="AT50" i="1"/>
  <c r="AU50" i="1" s="1"/>
  <c r="AY49" i="1" l="1"/>
  <c r="AS50" i="1"/>
  <c r="AT51" i="1"/>
  <c r="AU51" i="1" s="1"/>
  <c r="AY50" i="1" l="1"/>
  <c r="AS51" i="1"/>
  <c r="AT52" i="1"/>
  <c r="AU52" i="1" s="1"/>
  <c r="AY51" i="1" l="1"/>
  <c r="AS52" i="1"/>
  <c r="AT53" i="1"/>
  <c r="AU53" i="1" s="1"/>
  <c r="AY52" i="1" l="1"/>
  <c r="AS53" i="1"/>
  <c r="AT54" i="1"/>
  <c r="AU54" i="1" s="1"/>
  <c r="AY53" i="1" l="1"/>
  <c r="AS54" i="1"/>
  <c r="AY54" i="1" l="1"/>
  <c r="AS55" i="1"/>
  <c r="AY55" i="1" l="1"/>
  <c r="AS56" i="1"/>
  <c r="AU57" i="1"/>
  <c r="AY56" i="1" l="1"/>
  <c r="AS57" i="1"/>
  <c r="AT58" i="1"/>
  <c r="AU58" i="1" s="1"/>
  <c r="AY57" i="1" l="1"/>
  <c r="AS58" i="1"/>
  <c r="AT59" i="1"/>
  <c r="AU59" i="1" s="1"/>
  <c r="AY58" i="1" l="1"/>
  <c r="AS59" i="1"/>
  <c r="AT60" i="1"/>
  <c r="AU60" i="1" s="1"/>
  <c r="AY59" i="1" l="1"/>
  <c r="AS60" i="1"/>
  <c r="AT61" i="1"/>
  <c r="AU61" i="1" s="1"/>
  <c r="AY60" i="1" l="1"/>
  <c r="AS61" i="1"/>
  <c r="AT62" i="1"/>
  <c r="AU62" i="1" s="1"/>
  <c r="AY61" i="1" l="1"/>
  <c r="AS62" i="1"/>
  <c r="AT63" i="1"/>
  <c r="AU63" i="1" s="1"/>
  <c r="AY62" i="1" l="1"/>
  <c r="AS63" i="1"/>
  <c r="AT64" i="1"/>
  <c r="AU64" i="1" s="1"/>
  <c r="AY63" i="1" l="1"/>
  <c r="AS64" i="1"/>
  <c r="AT65" i="1"/>
  <c r="AU65" i="1" s="1"/>
  <c r="AY64" i="1" l="1"/>
  <c r="AS65" i="1"/>
  <c r="AT66" i="1"/>
  <c r="AU66" i="1" s="1"/>
  <c r="AY65" i="1" l="1"/>
  <c r="AS66" i="1"/>
  <c r="AT67" i="1"/>
  <c r="AU67" i="1" s="1"/>
  <c r="AY66" i="1" l="1"/>
  <c r="AS67" i="1"/>
  <c r="AT68" i="1"/>
  <c r="AU68" i="1" s="1"/>
  <c r="AY67" i="1" l="1"/>
  <c r="AS68" i="1"/>
  <c r="AT69" i="1"/>
  <c r="AU69" i="1" s="1"/>
  <c r="AY68" i="1" l="1"/>
  <c r="AS69" i="1"/>
  <c r="AT70" i="1"/>
  <c r="AY69" i="1" l="1"/>
  <c r="AS70" i="1"/>
  <c r="AT71" i="1"/>
  <c r="AU71" i="1" s="1"/>
  <c r="AY70" i="1" l="1"/>
  <c r="AU70" i="1"/>
  <c r="AS71" i="1"/>
  <c r="AT72" i="1"/>
  <c r="AU72" i="1" s="1"/>
  <c r="AY71" i="1" l="1"/>
  <c r="AS72" i="1"/>
  <c r="AT73" i="1"/>
  <c r="AU73" i="1" s="1"/>
  <c r="AY72" i="1" l="1"/>
  <c r="AS73" i="1"/>
  <c r="AT74" i="1"/>
  <c r="AU74" i="1" s="1"/>
  <c r="AY73" i="1" l="1"/>
  <c r="AS74" i="1"/>
  <c r="AT75" i="1"/>
  <c r="AU75" i="1" s="1"/>
  <c r="AY74" i="1" l="1"/>
  <c r="AS75" i="1"/>
  <c r="AT76" i="1"/>
  <c r="AU76" i="1" s="1"/>
  <c r="AY75" i="1" l="1"/>
  <c r="AS76" i="1"/>
  <c r="AT77" i="1"/>
  <c r="AU77" i="1" s="1"/>
  <c r="AY76" i="1" l="1"/>
  <c r="AS77" i="1"/>
  <c r="AT78" i="1"/>
  <c r="AY77" i="1" l="1"/>
  <c r="AS78" i="1"/>
  <c r="AT79" i="1"/>
  <c r="AU79" i="1" s="1"/>
  <c r="AY78" i="1" l="1"/>
  <c r="AU78" i="1"/>
  <c r="AS79" i="1"/>
  <c r="AT80" i="1"/>
  <c r="AU80" i="1" s="1"/>
  <c r="AY79" i="1" l="1"/>
  <c r="AS80" i="1"/>
  <c r="AT81" i="1"/>
  <c r="AU81" i="1" s="1"/>
  <c r="AY80" i="1" l="1"/>
  <c r="AS81" i="1"/>
  <c r="AT82" i="1"/>
  <c r="AU82" i="1" s="1"/>
  <c r="AY81" i="1" l="1"/>
  <c r="AS82" i="1"/>
  <c r="AT83" i="1"/>
  <c r="AU83" i="1" s="1"/>
  <c r="AY82" i="1" l="1"/>
  <c r="AS83" i="1"/>
  <c r="AT84" i="1"/>
  <c r="AU84" i="1" s="1"/>
  <c r="AY83" i="1" l="1"/>
  <c r="AS84" i="1"/>
  <c r="AT85" i="1"/>
  <c r="AU85" i="1" s="1"/>
  <c r="AY84" i="1" l="1"/>
  <c r="AS85" i="1"/>
  <c r="AT86" i="1"/>
  <c r="AU86" i="1" s="1"/>
  <c r="AY85" i="1" l="1"/>
  <c r="AS86" i="1"/>
  <c r="AT87" i="1"/>
  <c r="AU87" i="1" s="1"/>
  <c r="AY86" i="1" l="1"/>
  <c r="AS87" i="1"/>
  <c r="AT88" i="1"/>
  <c r="AU88" i="1" s="1"/>
  <c r="AY87" i="1" l="1"/>
  <c r="AS88" i="1"/>
  <c r="AT89" i="1"/>
  <c r="AU89" i="1" s="1"/>
  <c r="AY88" i="1" l="1"/>
  <c r="AS89" i="1"/>
  <c r="AT90" i="1"/>
  <c r="AU90" i="1" s="1"/>
  <c r="AY89" i="1" l="1"/>
  <c r="AS90" i="1"/>
  <c r="AT91" i="1"/>
  <c r="AU91" i="1" s="1"/>
  <c r="AY90" i="1" l="1"/>
  <c r="AS91" i="1"/>
  <c r="AT92" i="1"/>
  <c r="AU92" i="1" s="1"/>
  <c r="AY91" i="1" l="1"/>
  <c r="AS92" i="1"/>
  <c r="AT93" i="1"/>
  <c r="AU93" i="1" s="1"/>
  <c r="AY92" i="1" l="1"/>
  <c r="AS93" i="1"/>
  <c r="AT94" i="1"/>
  <c r="AU94" i="1" s="1"/>
  <c r="AY93" i="1" l="1"/>
  <c r="AS94" i="1"/>
  <c r="AT95" i="1"/>
  <c r="AU95" i="1" s="1"/>
  <c r="AY94" i="1" l="1"/>
  <c r="AS95" i="1"/>
  <c r="AT96" i="1"/>
  <c r="AU96" i="1" s="1"/>
  <c r="AY95" i="1" l="1"/>
  <c r="AS96" i="1"/>
  <c r="AT97" i="1"/>
  <c r="AU97" i="1" s="1"/>
  <c r="AY96" i="1" l="1"/>
  <c r="AS97" i="1"/>
  <c r="AT98" i="1"/>
  <c r="AU98" i="1" s="1"/>
  <c r="AY97" i="1" l="1"/>
  <c r="AS98" i="1"/>
  <c r="AT99" i="1"/>
  <c r="AU99" i="1" s="1"/>
  <c r="AY98" i="1" l="1"/>
  <c r="AS99" i="1"/>
  <c r="AT100" i="1"/>
  <c r="AU100" i="1" s="1"/>
  <c r="AY99" i="1" l="1"/>
  <c r="AS100" i="1"/>
  <c r="AT101" i="1"/>
  <c r="AU101" i="1" s="1"/>
  <c r="AY100" i="1" l="1"/>
  <c r="AS101" i="1"/>
  <c r="AT102" i="1"/>
  <c r="AU102" i="1" s="1"/>
  <c r="AY101" i="1" l="1"/>
  <c r="AS102" i="1"/>
  <c r="AY102" i="1" l="1"/>
  <c r="AS103" i="1"/>
  <c r="AY10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tc={54250CCC-9291-4516-9EAE-A0E78A38DE31}</author>
    <author>tc={C230159F-807B-4A5A-95F3-D8AF76CC5B51}</author>
  </authors>
  <commentList>
    <comment ref="A3" authorId="0" shapeId="0" xr:uid="{54250CCC-9291-4516-9EAE-A0E78A38DE31}">
      <text>
        <t>[Threaded comment]
Your version of Excel allows you to read this threaded comment; however, any edits to it will get removed if the file is opened in a newer version of Excel. Learn more: https://go.microsoft.com/fwlink/?linkid=870924
Comment:
    This field only controls the graphical display of position value at different prices; it is not used for calculations. The field used for calculations is "Purchase Price" below, which must be filled out for the sheet to work properly.</t>
      </text>
    </comment>
    <comment ref="A7" authorId="1" shapeId="0" xr:uid="{C230159F-807B-4A5A-95F3-D8AF76CC5B51}">
      <text>
        <t>[Threaded comment]
Your version of Excel allows you to read this threaded comment; however, any edits to it will get removed if the file is opened in a newer version of Excel. Learn more: https://go.microsoft.com/fwlink/?linkid=870924
Comment:
    You must fill out this purchase price even if you are not purchasing the stock, but only options. Option calculations related to moneyness are connected to this value, so if you do not fill a value in here, the sheet will not work. Use the current price of the stock when you analyzed / bought your call options.</t>
      </text>
    </comment>
  </commentList>
</comments>
</file>

<file path=xl/sharedStrings.xml><?xml version="1.0" encoding="utf-8"?>
<sst xmlns="http://schemas.openxmlformats.org/spreadsheetml/2006/main" count="121" uniqueCount="97">
  <si>
    <t>FV Estimate</t>
  </si>
  <si>
    <t>Purchase Price</t>
  </si>
  <si>
    <t>Stock Position Value</t>
  </si>
  <si>
    <t>Portfolio Size</t>
  </si>
  <si>
    <t>Fully Unlevered Allocation</t>
  </si>
  <si>
    <t>Fully Allocated Shares</t>
  </si>
  <si>
    <t>Ticker</t>
  </si>
  <si>
    <t>Target Allocation (%)</t>
  </si>
  <si>
    <t>Stock Position</t>
  </si>
  <si>
    <t>Actual Shares Owned</t>
  </si>
  <si>
    <t>Option Contracts Owned</t>
  </si>
  <si>
    <t>Strike Price</t>
  </si>
  <si>
    <t>Option Ask Price</t>
  </si>
  <si>
    <t>Fully Allocated Options</t>
  </si>
  <si>
    <t>Realized Loss</t>
  </si>
  <si>
    <t>Unrealized Loss</t>
  </si>
  <si>
    <t>Cash</t>
  </si>
  <si>
    <t>Cash Reserve</t>
  </si>
  <si>
    <t>Unrealized Stock Gain</t>
  </si>
  <si>
    <t>Net Value / Share at FV</t>
  </si>
  <si>
    <t>Position Value</t>
  </si>
  <si>
    <t>Stock and Cash Position</t>
  </si>
  <si>
    <t>Option Structure #1</t>
  </si>
  <si>
    <t>Option Structure #2</t>
  </si>
  <si>
    <t>Contract Size</t>
  </si>
  <si>
    <t>Stock Price</t>
  </si>
  <si>
    <t>Fully Levered Allocation #1</t>
  </si>
  <si>
    <t>Fully Levered Allocation #2</t>
  </si>
  <si>
    <t>Fully Levered Allocation #3</t>
  </si>
  <si>
    <t>Option Structure #3</t>
  </si>
  <si>
    <t>Present Price</t>
  </si>
  <si>
    <t>Dummy1</t>
  </si>
  <si>
    <t>Dummy2</t>
  </si>
  <si>
    <t>Dummy3</t>
  </si>
  <si>
    <t>Levered v Unlevered Difference</t>
  </si>
  <si>
    <t>Total Spent on Time Value</t>
  </si>
  <si>
    <t>Time Value % of Allocation</t>
  </si>
  <si>
    <t>Time Value &amp; of Portfolio</t>
  </si>
  <si>
    <t>Option 1 Time Value per Share</t>
  </si>
  <si>
    <t>Intrinsic Value Per Share</t>
  </si>
  <si>
    <t>Option 1 Unrealized Loss per Share</t>
  </si>
  <si>
    <t>Option 1 Unrealized Gain per Share</t>
  </si>
  <si>
    <t>Unrealized Option Loss</t>
  </si>
  <si>
    <t>Unrealized Stock Loss</t>
  </si>
  <si>
    <t>Option 2 Time Value per Share</t>
  </si>
  <si>
    <t>Option 2 Intrinsic Value Per Share</t>
  </si>
  <si>
    <t>Option 2 Unrealized Loss per Share</t>
  </si>
  <si>
    <t>Option 2 Unrealized Gain per Share</t>
  </si>
  <si>
    <t>Option 3 Time Value per Share</t>
  </si>
  <si>
    <t>Option 3 Intrinsic Value Per Share</t>
  </si>
  <si>
    <t>Option 3 Unrealized Loss per Share</t>
  </si>
  <si>
    <t>Option 3 Unrealized Gain per Share</t>
  </si>
  <si>
    <t>Option 1 Intrinsic Value per share</t>
  </si>
  <si>
    <t>Option 1 Realized Loss per share</t>
  </si>
  <si>
    <t>Unrealized Option Position Gain</t>
  </si>
  <si>
    <t>Unrealized Position Gain</t>
  </si>
  <si>
    <t>Option 2 Realized Loss per share</t>
  </si>
  <si>
    <t>Option 3 Realized Loss per share</t>
  </si>
  <si>
    <t>Option Max Loss Strike</t>
  </si>
  <si>
    <t>Option % of Allocation</t>
  </si>
  <si>
    <t>Strategy and Structure</t>
  </si>
  <si>
    <t>Notional Value (Stock Price)</t>
  </si>
  <si>
    <t>Notional Value (Strike Price)</t>
  </si>
  <si>
    <t>Fully Allocated Value at FV</t>
  </si>
  <si>
    <t>Time Value Calculations</t>
  </si>
  <si>
    <t>Stock Price fall to Max Loss</t>
  </si>
  <si>
    <t>Gain Leverage at FVE</t>
  </si>
  <si>
    <t>Unlev. Full Allocation (a)</t>
  </si>
  <si>
    <t>Option Allocation</t>
  </si>
  <si>
    <t>Stock Allocation</t>
  </si>
  <si>
    <t>Levered Full Allocation (b)</t>
  </si>
  <si>
    <t>Loss Leverage at Option Max Loss Strike</t>
  </si>
  <si>
    <t>Leverage Calculations</t>
  </si>
  <si>
    <t>Company</t>
  </si>
  <si>
    <t>Framework Leverage</t>
  </si>
  <si>
    <t>Structure Return at FV</t>
  </si>
  <si>
    <t>Unlevered Return at FV</t>
  </si>
  <si>
    <t xml:space="preserve">Calculations! DO NOT ALTER!! Calculations! DO NOT ALTER!! Calculations! DO NOT ALTER!! Calculations! DO NOT ALTER!! Calculations! DO NOT ALTER!! Calculations! DO NOT ALTER!! Calculations! DO NOT ALTER!! Calculations! DO NOT ALTER!! Calculations! DO NOT ALTER!! Calculations! DO NOT ALTER!! Calculations! DO NOT ALTER!! Calculations! DO NOT ALTER!! Calculations! DO NOT ALTER!! Calculations! DO NOT ALTER!! Calculations! DO NOT ALTER!! Calculations! DO NOT ALTER!! Calculations! DO NOT ALTER!! Calculations! DO NOT ALTER!! Calculations! DO NOT ALTER!! Calculations! DO NOT ALTER!! Calculations! DO NOT ALTER!! Calculations! DO NOT ALTER!! Calculations! DO NOT ALTER!! Calculations! DO NOT ALTER!! Calculations! DO NOT ALTER!! Calculations! DO NOT ALTER!! Calculations! DO NOT ALTER!! Calculations! DO NOT ALTER!! </t>
  </si>
  <si>
    <t>Option 1</t>
  </si>
  <si>
    <t>Option 2</t>
  </si>
  <si>
    <t>Option 3</t>
  </si>
  <si>
    <t>Position?</t>
  </si>
  <si>
    <t>#</t>
  </si>
  <si>
    <t>Used for Display Fields DO NOT CHANGE</t>
  </si>
  <si>
    <t>Full Allocation Value at FV</t>
  </si>
  <si>
    <t>Position % Allocation</t>
  </si>
  <si>
    <t>Stock</t>
  </si>
  <si>
    <t>Option Loss Leverage</t>
  </si>
  <si>
    <t>Position Loss Leverage</t>
  </si>
  <si>
    <t>Position Gain Leverage (b / a)</t>
  </si>
  <si>
    <t>Net Value / Unlevered NV</t>
  </si>
  <si>
    <t>Option 1 ITM?</t>
  </si>
  <si>
    <t>Option 2 ITM?</t>
  </si>
  <si>
    <t>Option 3 ITM?</t>
  </si>
  <si>
    <t>Present Stock Price</t>
  </si>
  <si>
    <t>ABC</t>
  </si>
  <si>
    <t>Allied Borometrics 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</si>
</sst>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 #,##0_);_(* \(#,##0\);_(* &quot;-&quot;??_);_(@_)"/>
    <numFmt numFmtId="165" formatCode="_(* #,##0.000_);_(* \(#,##0.000\);_(* &quot;-&quot;??_);_(@_)"/>
    <numFmt numFmtId="166" formatCode="_(* #,##0.000_);_(* \(#,##0.000\);_(* &quot;-&quot;???_);_(@_)"/>
    <numFmt numFmtId="167" formatCode="0.0%"/>
    <numFmt numFmtId="168" formatCode="#,##0.0_);\(#,##0.0\)"/>
    <numFmt numFmtId="169" formatCode="0.00000%"/>
    <numFmt numFmtId="170" formatCode="0.00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11"/>
      <color rgb="FFFF0000"/>
      <name val="Calibri"/>
      <family val="2"/>
      <scheme val="minor"/>
    </font>
    <font>
      <sz val="1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rgb="FF575A5D"/>
        <bgColor indexed="64"/>
      </patternFill>
    </fill>
    <fill>
      <patternFill patternType="solid">
        <fgColor rgb="FF0046AD"/>
        <bgColor indexed="64"/>
      </patternFill>
    </fill>
    <fill>
      <patternFill patternType="solid">
        <fgColor rgb="FFFF0000"/>
        <bgColor indexed="64"/>
      </patternFill>
    </fill>
    <fill>
      <patternFill patternType="solid">
        <fgColor theme="0" tint="-0.249977111117893"/>
        <bgColor indexed="64"/>
      </patternFill>
    </fill>
  </fills>
  <borders count="10">
    <border>
      <left/>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3">
    <xf numFmtId="0" fontId="0" fillId="0" borderId="0" xfId="0"/>
    <xf numFmtId="164" fontId="0" fillId="0" borderId="0" xfId="1" applyNumberFormat="1" applyFont="1"/>
    <xf numFmtId="164" fontId="0" fillId="0" borderId="0" xfId="0" applyNumberFormat="1"/>
    <xf numFmtId="43" fontId="0" fillId="0" borderId="0" xfId="0" applyNumberFormat="1"/>
    <xf numFmtId="164" fontId="0" fillId="2" borderId="0" xfId="1" applyNumberFormat="1" applyFont="1" applyFill="1"/>
    <xf numFmtId="9" fontId="0" fillId="2" borderId="0" xfId="0" applyNumberFormat="1" applyFill="1"/>
    <xf numFmtId="44" fontId="0" fillId="2" borderId="0" xfId="2" applyFont="1" applyFill="1"/>
    <xf numFmtId="165" fontId="0" fillId="0" borderId="0" xfId="0" applyNumberFormat="1"/>
    <xf numFmtId="166" fontId="0" fillId="0" borderId="0" xfId="0" applyNumberFormat="1"/>
    <xf numFmtId="43" fontId="0" fillId="2" borderId="0" xfId="1" applyNumberFormat="1" applyFont="1" applyFill="1"/>
    <xf numFmtId="43" fontId="0" fillId="0" borderId="0" xfId="1" applyNumberFormat="1" applyFont="1"/>
    <xf numFmtId="0" fontId="0" fillId="0" borderId="0" xfId="0" applyFill="1"/>
    <xf numFmtId="0" fontId="0" fillId="0" borderId="2" xfId="0" applyBorder="1"/>
    <xf numFmtId="164" fontId="0" fillId="0" borderId="3" xfId="1" applyNumberFormat="1" applyFont="1" applyBorder="1"/>
    <xf numFmtId="0" fontId="0" fillId="0" borderId="4" xfId="0" applyBorder="1"/>
    <xf numFmtId="164" fontId="0" fillId="0" borderId="5" xfId="1" applyNumberFormat="1" applyFont="1" applyBorder="1"/>
    <xf numFmtId="0" fontId="0" fillId="0" borderId="6" xfId="0" applyBorder="1"/>
    <xf numFmtId="164" fontId="0" fillId="0" borderId="5" xfId="0" applyNumberFormat="1" applyBorder="1"/>
    <xf numFmtId="43" fontId="0" fillId="0" borderId="5" xfId="0" applyNumberFormat="1" applyBorder="1"/>
    <xf numFmtId="43" fontId="0" fillId="0" borderId="5" xfId="1" applyFont="1" applyBorder="1"/>
    <xf numFmtId="43" fontId="0" fillId="0" borderId="7" xfId="0" applyNumberFormat="1" applyBorder="1"/>
    <xf numFmtId="0" fontId="0" fillId="0" borderId="8" xfId="0" applyBorder="1"/>
    <xf numFmtId="164" fontId="0" fillId="0" borderId="9" xfId="1" applyNumberFormat="1" applyFont="1" applyBorder="1"/>
    <xf numFmtId="9" fontId="0" fillId="0" borderId="5" xfId="3" applyFont="1" applyBorder="1"/>
    <xf numFmtId="167" fontId="0" fillId="0" borderId="7" xfId="3" applyNumberFormat="1" applyFont="1" applyBorder="1"/>
    <xf numFmtId="168" fontId="0" fillId="0" borderId="7" xfId="1" applyNumberFormat="1" applyFont="1" applyBorder="1" applyAlignment="1">
      <alignment horizontal="right"/>
    </xf>
    <xf numFmtId="168" fontId="0" fillId="0" borderId="7" xfId="1" applyNumberFormat="1" applyFont="1" applyBorder="1"/>
    <xf numFmtId="0" fontId="0" fillId="2" borderId="0" xfId="0" applyFill="1"/>
    <xf numFmtId="164" fontId="4" fillId="0" borderId="0" xfId="1" applyNumberFormat="1" applyFont="1"/>
    <xf numFmtId="0" fontId="4" fillId="0" borderId="0" xfId="0" applyFont="1"/>
    <xf numFmtId="0" fontId="0" fillId="0" borderId="1" xfId="0" applyBorder="1"/>
    <xf numFmtId="43" fontId="0" fillId="0" borderId="3" xfId="1" applyFont="1" applyBorder="1" applyAlignment="1">
      <alignment horizontal="right"/>
    </xf>
    <xf numFmtId="9" fontId="0" fillId="0" borderId="5" xfId="3" applyFont="1" applyBorder="1" applyAlignment="1">
      <alignment horizontal="right"/>
    </xf>
    <xf numFmtId="0" fontId="0" fillId="0" borderId="0" xfId="0" applyAlignment="1"/>
    <xf numFmtId="0" fontId="2" fillId="0" borderId="2" xfId="0" applyFont="1" applyBorder="1"/>
    <xf numFmtId="0" fontId="2" fillId="0" borderId="4" xfId="0" applyFont="1" applyBorder="1"/>
    <xf numFmtId="0" fontId="2" fillId="0" borderId="6" xfId="0" applyFont="1" applyBorder="1"/>
    <xf numFmtId="0" fontId="2" fillId="0" borderId="3" xfId="0" applyFont="1" applyBorder="1" applyAlignment="1">
      <alignment horizontal="center"/>
    </xf>
    <xf numFmtId="9" fontId="2" fillId="0" borderId="5" xfId="3" applyFont="1" applyBorder="1" applyAlignment="1">
      <alignment horizontal="center"/>
    </xf>
    <xf numFmtId="9" fontId="2" fillId="0" borderId="7" xfId="3" applyFont="1" applyBorder="1" applyAlignment="1">
      <alignment horizontal="center"/>
    </xf>
    <xf numFmtId="9" fontId="0" fillId="0" borderId="0" xfId="3" applyFont="1"/>
    <xf numFmtId="43" fontId="0" fillId="0" borderId="3" xfId="1" applyNumberFormat="1" applyFont="1" applyBorder="1"/>
    <xf numFmtId="0" fontId="5" fillId="0" borderId="0" xfId="0" applyFont="1"/>
    <xf numFmtId="43" fontId="5" fillId="0" borderId="0" xfId="0" applyNumberFormat="1" applyFont="1"/>
    <xf numFmtId="164" fontId="5" fillId="0" borderId="0" xfId="0" applyNumberFormat="1" applyFont="1" applyFill="1"/>
    <xf numFmtId="0" fontId="5" fillId="0" borderId="1" xfId="0" applyFont="1" applyBorder="1"/>
    <xf numFmtId="43" fontId="6" fillId="0" borderId="0" xfId="1" applyNumberFormat="1" applyFont="1"/>
    <xf numFmtId="164" fontId="6" fillId="0" borderId="0" xfId="1" applyNumberFormat="1" applyFont="1"/>
    <xf numFmtId="164" fontId="6" fillId="0" borderId="0" xfId="0" applyNumberFormat="1" applyFont="1"/>
    <xf numFmtId="43" fontId="6" fillId="0" borderId="0" xfId="0" applyNumberFormat="1" applyFont="1"/>
    <xf numFmtId="0" fontId="0" fillId="0" borderId="4" xfId="0" applyFill="1" applyBorder="1"/>
    <xf numFmtId="168" fontId="0" fillId="0" borderId="5" xfId="1" applyNumberFormat="1" applyFont="1" applyBorder="1" applyAlignment="1">
      <alignment horizontal="right"/>
    </xf>
    <xf numFmtId="9" fontId="5" fillId="0" borderId="0" xfId="3" applyFont="1"/>
    <xf numFmtId="9" fontId="0" fillId="0" borderId="5" xfId="3" applyNumberFormat="1" applyFont="1" applyBorder="1"/>
    <xf numFmtId="9" fontId="5" fillId="0" borderId="0" xfId="3" applyNumberFormat="1" applyFont="1"/>
    <xf numFmtId="169" fontId="5" fillId="0" borderId="0" xfId="0" applyNumberFormat="1" applyFont="1"/>
    <xf numFmtId="170" fontId="5" fillId="0" borderId="0" xfId="0" applyNumberFormat="1" applyFont="1"/>
    <xf numFmtId="0" fontId="0" fillId="6" borderId="0" xfId="0" applyFill="1"/>
    <xf numFmtId="0" fontId="5" fillId="0" borderId="0" xfId="0" applyFont="1" applyAlignment="1">
      <alignment horizontal="center"/>
    </xf>
    <xf numFmtId="0" fontId="3" fillId="5" borderId="1" xfId="0" applyFont="1" applyFill="1" applyBorder="1" applyAlignment="1">
      <alignment horizontal="center"/>
    </xf>
    <xf numFmtId="0" fontId="3" fillId="3" borderId="0" xfId="0" applyFont="1" applyFill="1" applyAlignment="1">
      <alignment horizontal="center"/>
    </xf>
    <xf numFmtId="0" fontId="3" fillId="4" borderId="0" xfId="0" applyFont="1" applyFill="1" applyAlignment="1">
      <alignment horizontal="center"/>
    </xf>
    <xf numFmtId="0" fontId="3" fillId="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ont>
        <b/>
        <i val="0"/>
        <color theme="0"/>
      </font>
      <fill>
        <patternFill>
          <bgColor rgb="FFFF0000"/>
        </patternFill>
      </fill>
    </dxf>
  </dxfs>
  <tableStyles count="0" defaultTableStyle="TableStyleMedium2" defaultPivotStyle="PivotStyleLight16"/>
  <colors>
    <mruColors>
      <color rgb="FF0046AD"/>
      <color rgb="FF575A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chartsheet" Target="chartsheets/sheet2.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17/10/relationships/person" Target="persons/person.xml"/><Relationship Id="rId5" Type="http://schemas.openxmlformats.org/officeDocument/2006/relationships/worksheet" Target="worksheets/sheet2.xml"/><Relationship Id="rId10" Type="http://schemas.openxmlformats.org/officeDocument/2006/relationships/sharedStrings" Target="sharedStrings.xml"/><Relationship Id="rId4" Type="http://schemas.openxmlformats.org/officeDocument/2006/relationships/chartsheet" Target="chartsheets/sheet3.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Arial Narrow" panose="020B0606020202030204" pitchFamily="34" charset="0"/>
                <a:ea typeface="+mn-ea"/>
                <a:cs typeface="+mn-cs"/>
              </a:defRPr>
            </a:pPr>
            <a:r>
              <a:rPr lang="en-US" sz="1600"/>
              <a:t>Position Gain / Loss Summary for a Bullish Position</a:t>
            </a:r>
          </a:p>
        </c:rich>
      </c:tx>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barChart>
        <c:barDir val="col"/>
        <c:grouping val="stacked"/>
        <c:varyColors val="0"/>
        <c:ser>
          <c:idx val="1"/>
          <c:order val="0"/>
          <c:tx>
            <c:strRef>
              <c:f>'Bullish Strategy Builder'!$AO$2</c:f>
              <c:strCache>
                <c:ptCount val="1"/>
                <c:pt idx="0">
                  <c:v>Realized Loss</c:v>
                </c:pt>
              </c:strCache>
            </c:strRef>
          </c:tx>
          <c:spPr>
            <a:solidFill>
              <a:srgbClr val="FF0000"/>
            </a:solidFill>
            <a:ln>
              <a:noFill/>
            </a:ln>
            <a:effectLst/>
          </c:spPr>
          <c:invertIfNegative val="0"/>
          <c:cat>
            <c:numRef>
              <c:f>'Bullish Strategy Builder'!$N$3:$N$103</c:f>
              <c:numCache>
                <c:formatCode>_(* #,##0.00_);_(* \(#,##0.00\);_(* "-"??_);_(@_)</c:formatCode>
                <c:ptCount val="101"/>
                <c:pt idx="0">
                  <c:v>0</c:v>
                </c:pt>
                <c:pt idx="1">
                  <c:v>0.3</c:v>
                </c:pt>
                <c:pt idx="2">
                  <c:v>0.6</c:v>
                </c:pt>
                <c:pt idx="3">
                  <c:v>0.89999999999999991</c:v>
                </c:pt>
                <c:pt idx="4">
                  <c:v>1.2</c:v>
                </c:pt>
                <c:pt idx="5">
                  <c:v>1.5</c:v>
                </c:pt>
                <c:pt idx="6">
                  <c:v>1.8</c:v>
                </c:pt>
                <c:pt idx="7">
                  <c:v>2.1</c:v>
                </c:pt>
                <c:pt idx="8">
                  <c:v>2.4</c:v>
                </c:pt>
                <c:pt idx="9">
                  <c:v>2.6999999999999997</c:v>
                </c:pt>
                <c:pt idx="10">
                  <c:v>2.9999999999999996</c:v>
                </c:pt>
                <c:pt idx="11">
                  <c:v>3.2999999999999994</c:v>
                </c:pt>
                <c:pt idx="12">
                  <c:v>3.5999999999999992</c:v>
                </c:pt>
                <c:pt idx="13">
                  <c:v>3.899999999999999</c:v>
                </c:pt>
                <c:pt idx="14">
                  <c:v>4.1999999999999993</c:v>
                </c:pt>
                <c:pt idx="15">
                  <c:v>4.4999999999999991</c:v>
                </c:pt>
                <c:pt idx="16">
                  <c:v>4.7999999999999989</c:v>
                </c:pt>
                <c:pt idx="17">
                  <c:v>5.0999999999999988</c:v>
                </c:pt>
                <c:pt idx="18">
                  <c:v>5.3999999999999986</c:v>
                </c:pt>
                <c:pt idx="19">
                  <c:v>5.6999999999999984</c:v>
                </c:pt>
                <c:pt idx="20">
                  <c:v>5.9999999999999982</c:v>
                </c:pt>
                <c:pt idx="21">
                  <c:v>6.299999999999998</c:v>
                </c:pt>
                <c:pt idx="22">
                  <c:v>6.5999999999999979</c:v>
                </c:pt>
                <c:pt idx="23">
                  <c:v>6.8999999999999977</c:v>
                </c:pt>
                <c:pt idx="24">
                  <c:v>7.1999999999999975</c:v>
                </c:pt>
                <c:pt idx="25">
                  <c:v>7.4999999999999973</c:v>
                </c:pt>
                <c:pt idx="26">
                  <c:v>7.7999999999999972</c:v>
                </c:pt>
                <c:pt idx="27">
                  <c:v>8.0999999999999979</c:v>
                </c:pt>
                <c:pt idx="28">
                  <c:v>8.3999999999999986</c:v>
                </c:pt>
                <c:pt idx="29">
                  <c:v>8.6999999999999993</c:v>
                </c:pt>
                <c:pt idx="30">
                  <c:v>9</c:v>
                </c:pt>
                <c:pt idx="31">
                  <c:v>9.3000000000000007</c:v>
                </c:pt>
                <c:pt idx="32">
                  <c:v>9.6000000000000014</c:v>
                </c:pt>
                <c:pt idx="33">
                  <c:v>9.9000000000000021</c:v>
                </c:pt>
                <c:pt idx="34">
                  <c:v>10.200000000000003</c:v>
                </c:pt>
                <c:pt idx="35">
                  <c:v>10.500000000000004</c:v>
                </c:pt>
                <c:pt idx="36">
                  <c:v>10.800000000000004</c:v>
                </c:pt>
                <c:pt idx="37">
                  <c:v>11.100000000000005</c:v>
                </c:pt>
                <c:pt idx="38">
                  <c:v>11.400000000000006</c:v>
                </c:pt>
                <c:pt idx="39">
                  <c:v>11.700000000000006</c:v>
                </c:pt>
                <c:pt idx="40">
                  <c:v>12.000000000000007</c:v>
                </c:pt>
                <c:pt idx="41">
                  <c:v>12.300000000000008</c:v>
                </c:pt>
                <c:pt idx="42">
                  <c:v>12.600000000000009</c:v>
                </c:pt>
                <c:pt idx="43">
                  <c:v>12.900000000000009</c:v>
                </c:pt>
                <c:pt idx="44">
                  <c:v>13.20000000000001</c:v>
                </c:pt>
                <c:pt idx="45">
                  <c:v>13.500000000000011</c:v>
                </c:pt>
                <c:pt idx="46">
                  <c:v>13.800000000000011</c:v>
                </c:pt>
                <c:pt idx="47">
                  <c:v>14.100000000000012</c:v>
                </c:pt>
                <c:pt idx="48">
                  <c:v>14.400000000000013</c:v>
                </c:pt>
                <c:pt idx="49">
                  <c:v>14.700000000000014</c:v>
                </c:pt>
                <c:pt idx="50">
                  <c:v>15.000000000000014</c:v>
                </c:pt>
                <c:pt idx="51">
                  <c:v>15.300000000000015</c:v>
                </c:pt>
                <c:pt idx="52">
                  <c:v>15.600000000000016</c:v>
                </c:pt>
                <c:pt idx="53">
                  <c:v>15.900000000000016</c:v>
                </c:pt>
                <c:pt idx="54">
                  <c:v>16.200000000000017</c:v>
                </c:pt>
                <c:pt idx="55">
                  <c:v>16.500000000000018</c:v>
                </c:pt>
                <c:pt idx="56">
                  <c:v>16.800000000000018</c:v>
                </c:pt>
                <c:pt idx="57">
                  <c:v>17.100000000000019</c:v>
                </c:pt>
                <c:pt idx="58">
                  <c:v>17.40000000000002</c:v>
                </c:pt>
                <c:pt idx="59">
                  <c:v>17.700000000000021</c:v>
                </c:pt>
                <c:pt idx="60">
                  <c:v>18.000000000000021</c:v>
                </c:pt>
                <c:pt idx="61">
                  <c:v>18.300000000000022</c:v>
                </c:pt>
                <c:pt idx="62">
                  <c:v>18.600000000000023</c:v>
                </c:pt>
                <c:pt idx="63">
                  <c:v>18.900000000000023</c:v>
                </c:pt>
                <c:pt idx="64">
                  <c:v>19.200000000000024</c:v>
                </c:pt>
                <c:pt idx="65">
                  <c:v>19.500000000000025</c:v>
                </c:pt>
                <c:pt idx="66">
                  <c:v>19.800000000000026</c:v>
                </c:pt>
                <c:pt idx="67">
                  <c:v>20.100000000000026</c:v>
                </c:pt>
                <c:pt idx="68">
                  <c:v>20.400000000000027</c:v>
                </c:pt>
                <c:pt idx="69">
                  <c:v>20.700000000000028</c:v>
                </c:pt>
                <c:pt idx="70">
                  <c:v>21.000000000000028</c:v>
                </c:pt>
                <c:pt idx="71">
                  <c:v>21.300000000000029</c:v>
                </c:pt>
                <c:pt idx="72">
                  <c:v>21.60000000000003</c:v>
                </c:pt>
                <c:pt idx="73">
                  <c:v>21.900000000000031</c:v>
                </c:pt>
                <c:pt idx="74">
                  <c:v>22.200000000000031</c:v>
                </c:pt>
                <c:pt idx="75">
                  <c:v>22.500000000000032</c:v>
                </c:pt>
                <c:pt idx="76">
                  <c:v>22.800000000000033</c:v>
                </c:pt>
                <c:pt idx="77">
                  <c:v>23.100000000000033</c:v>
                </c:pt>
                <c:pt idx="78">
                  <c:v>23.400000000000034</c:v>
                </c:pt>
                <c:pt idx="79">
                  <c:v>23.700000000000035</c:v>
                </c:pt>
                <c:pt idx="80">
                  <c:v>24.000000000000036</c:v>
                </c:pt>
                <c:pt idx="81">
                  <c:v>24.300000000000036</c:v>
                </c:pt>
                <c:pt idx="82">
                  <c:v>24.600000000000037</c:v>
                </c:pt>
                <c:pt idx="83">
                  <c:v>24.900000000000038</c:v>
                </c:pt>
                <c:pt idx="84">
                  <c:v>25.200000000000038</c:v>
                </c:pt>
                <c:pt idx="85">
                  <c:v>25.500000000000039</c:v>
                </c:pt>
                <c:pt idx="86">
                  <c:v>25.80000000000004</c:v>
                </c:pt>
                <c:pt idx="87">
                  <c:v>26.100000000000041</c:v>
                </c:pt>
                <c:pt idx="88">
                  <c:v>26.400000000000041</c:v>
                </c:pt>
                <c:pt idx="89">
                  <c:v>26.700000000000042</c:v>
                </c:pt>
                <c:pt idx="90">
                  <c:v>27.000000000000043</c:v>
                </c:pt>
                <c:pt idx="91">
                  <c:v>27.300000000000043</c:v>
                </c:pt>
                <c:pt idx="92">
                  <c:v>27.600000000000044</c:v>
                </c:pt>
                <c:pt idx="93">
                  <c:v>27.900000000000045</c:v>
                </c:pt>
                <c:pt idx="94">
                  <c:v>28.200000000000045</c:v>
                </c:pt>
                <c:pt idx="95">
                  <c:v>28.500000000000046</c:v>
                </c:pt>
                <c:pt idx="96">
                  <c:v>28.800000000000047</c:v>
                </c:pt>
                <c:pt idx="97">
                  <c:v>29.100000000000048</c:v>
                </c:pt>
                <c:pt idx="98">
                  <c:v>29.400000000000048</c:v>
                </c:pt>
                <c:pt idx="99">
                  <c:v>29.700000000000049</c:v>
                </c:pt>
                <c:pt idx="100">
                  <c:v>30</c:v>
                </c:pt>
              </c:numCache>
            </c:numRef>
          </c:cat>
          <c:val>
            <c:numRef>
              <c:f>'Bullish Strategy Builder'!$AO$3:$AO$103</c:f>
              <c:numCache>
                <c:formatCode>_(* #,##0_);_(* \(#,##0\);_(* "-"??_);_(@_)</c:formatCode>
                <c:ptCount val="101"/>
                <c:pt idx="0">
                  <c:v>-4758.7999999999993</c:v>
                </c:pt>
                <c:pt idx="1">
                  <c:v>-2000</c:v>
                </c:pt>
                <c:pt idx="2">
                  <c:v>-2000</c:v>
                </c:pt>
                <c:pt idx="3">
                  <c:v>-2000</c:v>
                </c:pt>
                <c:pt idx="4">
                  <c:v>-2000</c:v>
                </c:pt>
                <c:pt idx="5">
                  <c:v>-2000</c:v>
                </c:pt>
                <c:pt idx="6">
                  <c:v>-2000</c:v>
                </c:pt>
                <c:pt idx="7">
                  <c:v>-2000</c:v>
                </c:pt>
                <c:pt idx="8">
                  <c:v>-2000</c:v>
                </c:pt>
                <c:pt idx="9">
                  <c:v>-2000</c:v>
                </c:pt>
                <c:pt idx="10">
                  <c:v>-2000</c:v>
                </c:pt>
                <c:pt idx="11">
                  <c:v>-2000</c:v>
                </c:pt>
                <c:pt idx="12">
                  <c:v>-2000</c:v>
                </c:pt>
                <c:pt idx="13">
                  <c:v>-2000</c:v>
                </c:pt>
                <c:pt idx="14">
                  <c:v>-2000</c:v>
                </c:pt>
                <c:pt idx="15">
                  <c:v>-2000</c:v>
                </c:pt>
                <c:pt idx="16">
                  <c:v>-2000</c:v>
                </c:pt>
                <c:pt idx="17">
                  <c:v>-2000</c:v>
                </c:pt>
                <c:pt idx="18">
                  <c:v>-2000</c:v>
                </c:pt>
                <c:pt idx="19">
                  <c:v>-2000</c:v>
                </c:pt>
                <c:pt idx="20">
                  <c:v>-2000</c:v>
                </c:pt>
                <c:pt idx="21">
                  <c:v>-2000</c:v>
                </c:pt>
                <c:pt idx="22">
                  <c:v>-2000</c:v>
                </c:pt>
                <c:pt idx="23">
                  <c:v>-2000</c:v>
                </c:pt>
                <c:pt idx="24">
                  <c:v>-2000</c:v>
                </c:pt>
                <c:pt idx="25">
                  <c:v>-2000</c:v>
                </c:pt>
                <c:pt idx="26">
                  <c:v>-2000</c:v>
                </c:pt>
                <c:pt idx="27">
                  <c:v>-2000</c:v>
                </c:pt>
                <c:pt idx="28">
                  <c:v>-2000</c:v>
                </c:pt>
                <c:pt idx="29">
                  <c:v>-2000</c:v>
                </c:pt>
                <c:pt idx="30">
                  <c:v>-2000</c:v>
                </c:pt>
                <c:pt idx="31">
                  <c:v>-2000</c:v>
                </c:pt>
                <c:pt idx="32">
                  <c:v>-2000</c:v>
                </c:pt>
                <c:pt idx="33">
                  <c:v>-2000</c:v>
                </c:pt>
                <c:pt idx="34">
                  <c:v>-2000</c:v>
                </c:pt>
                <c:pt idx="35">
                  <c:v>-2000</c:v>
                </c:pt>
                <c:pt idx="36">
                  <c:v>-2000</c:v>
                </c:pt>
                <c:pt idx="37">
                  <c:v>-2000</c:v>
                </c:pt>
                <c:pt idx="38">
                  <c:v>-2000</c:v>
                </c:pt>
                <c:pt idx="39">
                  <c:v>-2000</c:v>
                </c:pt>
                <c:pt idx="40">
                  <c:v>-2000</c:v>
                </c:pt>
                <c:pt idx="41">
                  <c:v>-2000</c:v>
                </c:pt>
                <c:pt idx="42">
                  <c:v>-2000</c:v>
                </c:pt>
                <c:pt idx="43">
                  <c:v>-2000</c:v>
                </c:pt>
                <c:pt idx="44">
                  <c:v>-2000</c:v>
                </c:pt>
                <c:pt idx="45">
                  <c:v>-2000</c:v>
                </c:pt>
                <c:pt idx="46">
                  <c:v>-2000</c:v>
                </c:pt>
                <c:pt idx="47">
                  <c:v>-202.00000000000031</c:v>
                </c:pt>
                <c:pt idx="48">
                  <c:v>-202.00000000000031</c:v>
                </c:pt>
                <c:pt idx="49">
                  <c:v>-202.00000000000031</c:v>
                </c:pt>
                <c:pt idx="50">
                  <c:v>-202.00000000000031</c:v>
                </c:pt>
                <c:pt idx="51">
                  <c:v>-202.00000000000031</c:v>
                </c:pt>
                <c:pt idx="52">
                  <c:v>-202.00000000000031</c:v>
                </c:pt>
                <c:pt idx="53">
                  <c:v>-202.00000000000031</c:v>
                </c:pt>
                <c:pt idx="54">
                  <c:v>-202.00000000000031</c:v>
                </c:pt>
                <c:pt idx="55">
                  <c:v>-202.00000000000031</c:v>
                </c:pt>
                <c:pt idx="56">
                  <c:v>-202.00000000000031</c:v>
                </c:pt>
                <c:pt idx="57">
                  <c:v>-202.00000000000031</c:v>
                </c:pt>
                <c:pt idx="58">
                  <c:v>-202.00000000000031</c:v>
                </c:pt>
                <c:pt idx="59">
                  <c:v>-202.00000000000031</c:v>
                </c:pt>
                <c:pt idx="60">
                  <c:v>-202.00000000000031</c:v>
                </c:pt>
                <c:pt idx="61">
                  <c:v>-202.00000000000031</c:v>
                </c:pt>
                <c:pt idx="62">
                  <c:v>-202.00000000000031</c:v>
                </c:pt>
                <c:pt idx="63">
                  <c:v>-202.00000000000031</c:v>
                </c:pt>
                <c:pt idx="64">
                  <c:v>-202.00000000000031</c:v>
                </c:pt>
                <c:pt idx="65">
                  <c:v>-202.00000000000031</c:v>
                </c:pt>
                <c:pt idx="66">
                  <c:v>-202.00000000000031</c:v>
                </c:pt>
                <c:pt idx="67">
                  <c:v>-202.00000000000031</c:v>
                </c:pt>
                <c:pt idx="68">
                  <c:v>-202.00000000000031</c:v>
                </c:pt>
                <c:pt idx="69">
                  <c:v>-202.00000000000031</c:v>
                </c:pt>
                <c:pt idx="70">
                  <c:v>-202.00000000000031</c:v>
                </c:pt>
                <c:pt idx="71">
                  <c:v>-202.00000000000031</c:v>
                </c:pt>
                <c:pt idx="72">
                  <c:v>-202.00000000000031</c:v>
                </c:pt>
                <c:pt idx="73">
                  <c:v>-202.00000000000031</c:v>
                </c:pt>
                <c:pt idx="74">
                  <c:v>-202.00000000000031</c:v>
                </c:pt>
                <c:pt idx="75">
                  <c:v>-202.00000000000031</c:v>
                </c:pt>
                <c:pt idx="76">
                  <c:v>-202.00000000000031</c:v>
                </c:pt>
                <c:pt idx="77">
                  <c:v>-202.00000000000031</c:v>
                </c:pt>
                <c:pt idx="78">
                  <c:v>-202.00000000000031</c:v>
                </c:pt>
                <c:pt idx="79">
                  <c:v>-202.00000000000031</c:v>
                </c:pt>
                <c:pt idx="80">
                  <c:v>-202.00000000000031</c:v>
                </c:pt>
                <c:pt idx="81">
                  <c:v>-202.00000000000031</c:v>
                </c:pt>
                <c:pt idx="82">
                  <c:v>-202.00000000000031</c:v>
                </c:pt>
                <c:pt idx="83">
                  <c:v>-202.00000000000031</c:v>
                </c:pt>
                <c:pt idx="84">
                  <c:v>-202.00000000000031</c:v>
                </c:pt>
                <c:pt idx="85">
                  <c:v>-202.00000000000031</c:v>
                </c:pt>
                <c:pt idx="86">
                  <c:v>-202.00000000000031</c:v>
                </c:pt>
                <c:pt idx="87">
                  <c:v>-202.00000000000031</c:v>
                </c:pt>
                <c:pt idx="88">
                  <c:v>-202.00000000000031</c:v>
                </c:pt>
                <c:pt idx="89">
                  <c:v>-202.00000000000031</c:v>
                </c:pt>
                <c:pt idx="90">
                  <c:v>-202.00000000000031</c:v>
                </c:pt>
                <c:pt idx="91">
                  <c:v>-202.00000000000031</c:v>
                </c:pt>
                <c:pt idx="92">
                  <c:v>-202.00000000000031</c:v>
                </c:pt>
                <c:pt idx="93">
                  <c:v>-202.00000000000031</c:v>
                </c:pt>
                <c:pt idx="94">
                  <c:v>-202.00000000000031</c:v>
                </c:pt>
                <c:pt idx="95">
                  <c:v>-202.00000000000031</c:v>
                </c:pt>
                <c:pt idx="96">
                  <c:v>-202.00000000000031</c:v>
                </c:pt>
                <c:pt idx="97">
                  <c:v>-202.00000000000031</c:v>
                </c:pt>
                <c:pt idx="98">
                  <c:v>-202.00000000000031</c:v>
                </c:pt>
                <c:pt idx="99">
                  <c:v>-202.00000000000031</c:v>
                </c:pt>
                <c:pt idx="100">
                  <c:v>-202.00000000000031</c:v>
                </c:pt>
              </c:numCache>
            </c:numRef>
          </c:val>
          <c:extLst>
            <c:ext xmlns:c16="http://schemas.microsoft.com/office/drawing/2014/chart" uri="{C3380CC4-5D6E-409C-BE32-E72D297353CC}">
              <c16:uniqueId val="{00000002-4BE8-4354-A08D-069329F2860C}"/>
            </c:ext>
          </c:extLst>
        </c:ser>
        <c:ser>
          <c:idx val="3"/>
          <c:order val="1"/>
          <c:tx>
            <c:strRef>
              <c:f>'Bullish Strategy Builder'!$AS$2</c:f>
              <c:strCache>
                <c:ptCount val="1"/>
                <c:pt idx="0">
                  <c:v>Cash</c:v>
                </c:pt>
              </c:strCache>
            </c:strRef>
          </c:tx>
          <c:spPr>
            <a:solidFill>
              <a:schemeClr val="bg1">
                <a:lumMod val="65000"/>
              </a:schemeClr>
            </a:solidFill>
            <a:ln>
              <a:noFill/>
            </a:ln>
            <a:effectLst/>
          </c:spPr>
          <c:invertIfNegative val="0"/>
          <c:cat>
            <c:numRef>
              <c:f>'Bullish Strategy Builder'!$N$3:$N$103</c:f>
              <c:numCache>
                <c:formatCode>_(* #,##0.00_);_(* \(#,##0.00\);_(* "-"??_);_(@_)</c:formatCode>
                <c:ptCount val="101"/>
                <c:pt idx="0">
                  <c:v>0</c:v>
                </c:pt>
                <c:pt idx="1">
                  <c:v>0.3</c:v>
                </c:pt>
                <c:pt idx="2">
                  <c:v>0.6</c:v>
                </c:pt>
                <c:pt idx="3">
                  <c:v>0.89999999999999991</c:v>
                </c:pt>
                <c:pt idx="4">
                  <c:v>1.2</c:v>
                </c:pt>
                <c:pt idx="5">
                  <c:v>1.5</c:v>
                </c:pt>
                <c:pt idx="6">
                  <c:v>1.8</c:v>
                </c:pt>
                <c:pt idx="7">
                  <c:v>2.1</c:v>
                </c:pt>
                <c:pt idx="8">
                  <c:v>2.4</c:v>
                </c:pt>
                <c:pt idx="9">
                  <c:v>2.6999999999999997</c:v>
                </c:pt>
                <c:pt idx="10">
                  <c:v>2.9999999999999996</c:v>
                </c:pt>
                <c:pt idx="11">
                  <c:v>3.2999999999999994</c:v>
                </c:pt>
                <c:pt idx="12">
                  <c:v>3.5999999999999992</c:v>
                </c:pt>
                <c:pt idx="13">
                  <c:v>3.899999999999999</c:v>
                </c:pt>
                <c:pt idx="14">
                  <c:v>4.1999999999999993</c:v>
                </c:pt>
                <c:pt idx="15">
                  <c:v>4.4999999999999991</c:v>
                </c:pt>
                <c:pt idx="16">
                  <c:v>4.7999999999999989</c:v>
                </c:pt>
                <c:pt idx="17">
                  <c:v>5.0999999999999988</c:v>
                </c:pt>
                <c:pt idx="18">
                  <c:v>5.3999999999999986</c:v>
                </c:pt>
                <c:pt idx="19">
                  <c:v>5.6999999999999984</c:v>
                </c:pt>
                <c:pt idx="20">
                  <c:v>5.9999999999999982</c:v>
                </c:pt>
                <c:pt idx="21">
                  <c:v>6.299999999999998</c:v>
                </c:pt>
                <c:pt idx="22">
                  <c:v>6.5999999999999979</c:v>
                </c:pt>
                <c:pt idx="23">
                  <c:v>6.8999999999999977</c:v>
                </c:pt>
                <c:pt idx="24">
                  <c:v>7.1999999999999975</c:v>
                </c:pt>
                <c:pt idx="25">
                  <c:v>7.4999999999999973</c:v>
                </c:pt>
                <c:pt idx="26">
                  <c:v>7.7999999999999972</c:v>
                </c:pt>
                <c:pt idx="27">
                  <c:v>8.0999999999999979</c:v>
                </c:pt>
                <c:pt idx="28">
                  <c:v>8.3999999999999986</c:v>
                </c:pt>
                <c:pt idx="29">
                  <c:v>8.6999999999999993</c:v>
                </c:pt>
                <c:pt idx="30">
                  <c:v>9</c:v>
                </c:pt>
                <c:pt idx="31">
                  <c:v>9.3000000000000007</c:v>
                </c:pt>
                <c:pt idx="32">
                  <c:v>9.6000000000000014</c:v>
                </c:pt>
                <c:pt idx="33">
                  <c:v>9.9000000000000021</c:v>
                </c:pt>
                <c:pt idx="34">
                  <c:v>10.200000000000003</c:v>
                </c:pt>
                <c:pt idx="35">
                  <c:v>10.500000000000004</c:v>
                </c:pt>
                <c:pt idx="36">
                  <c:v>10.800000000000004</c:v>
                </c:pt>
                <c:pt idx="37">
                  <c:v>11.100000000000005</c:v>
                </c:pt>
                <c:pt idx="38">
                  <c:v>11.400000000000006</c:v>
                </c:pt>
                <c:pt idx="39">
                  <c:v>11.700000000000006</c:v>
                </c:pt>
                <c:pt idx="40">
                  <c:v>12.000000000000007</c:v>
                </c:pt>
                <c:pt idx="41">
                  <c:v>12.300000000000008</c:v>
                </c:pt>
                <c:pt idx="42">
                  <c:v>12.600000000000009</c:v>
                </c:pt>
                <c:pt idx="43">
                  <c:v>12.900000000000009</c:v>
                </c:pt>
                <c:pt idx="44">
                  <c:v>13.20000000000001</c:v>
                </c:pt>
                <c:pt idx="45">
                  <c:v>13.500000000000011</c:v>
                </c:pt>
                <c:pt idx="46">
                  <c:v>13.800000000000011</c:v>
                </c:pt>
                <c:pt idx="47">
                  <c:v>14.100000000000012</c:v>
                </c:pt>
                <c:pt idx="48">
                  <c:v>14.400000000000013</c:v>
                </c:pt>
                <c:pt idx="49">
                  <c:v>14.700000000000014</c:v>
                </c:pt>
                <c:pt idx="50">
                  <c:v>15.000000000000014</c:v>
                </c:pt>
                <c:pt idx="51">
                  <c:v>15.300000000000015</c:v>
                </c:pt>
                <c:pt idx="52">
                  <c:v>15.600000000000016</c:v>
                </c:pt>
                <c:pt idx="53">
                  <c:v>15.900000000000016</c:v>
                </c:pt>
                <c:pt idx="54">
                  <c:v>16.200000000000017</c:v>
                </c:pt>
                <c:pt idx="55">
                  <c:v>16.500000000000018</c:v>
                </c:pt>
                <c:pt idx="56">
                  <c:v>16.800000000000018</c:v>
                </c:pt>
                <c:pt idx="57">
                  <c:v>17.100000000000019</c:v>
                </c:pt>
                <c:pt idx="58">
                  <c:v>17.40000000000002</c:v>
                </c:pt>
                <c:pt idx="59">
                  <c:v>17.700000000000021</c:v>
                </c:pt>
                <c:pt idx="60">
                  <c:v>18.000000000000021</c:v>
                </c:pt>
                <c:pt idx="61">
                  <c:v>18.300000000000022</c:v>
                </c:pt>
                <c:pt idx="62">
                  <c:v>18.600000000000023</c:v>
                </c:pt>
                <c:pt idx="63">
                  <c:v>18.900000000000023</c:v>
                </c:pt>
                <c:pt idx="64">
                  <c:v>19.200000000000024</c:v>
                </c:pt>
                <c:pt idx="65">
                  <c:v>19.500000000000025</c:v>
                </c:pt>
                <c:pt idx="66">
                  <c:v>19.800000000000026</c:v>
                </c:pt>
                <c:pt idx="67">
                  <c:v>20.100000000000026</c:v>
                </c:pt>
                <c:pt idx="68">
                  <c:v>20.400000000000027</c:v>
                </c:pt>
                <c:pt idx="69">
                  <c:v>20.700000000000028</c:v>
                </c:pt>
                <c:pt idx="70">
                  <c:v>21.000000000000028</c:v>
                </c:pt>
                <c:pt idx="71">
                  <c:v>21.300000000000029</c:v>
                </c:pt>
                <c:pt idx="72">
                  <c:v>21.60000000000003</c:v>
                </c:pt>
                <c:pt idx="73">
                  <c:v>21.900000000000031</c:v>
                </c:pt>
                <c:pt idx="74">
                  <c:v>22.200000000000031</c:v>
                </c:pt>
                <c:pt idx="75">
                  <c:v>22.500000000000032</c:v>
                </c:pt>
                <c:pt idx="76">
                  <c:v>22.800000000000033</c:v>
                </c:pt>
                <c:pt idx="77">
                  <c:v>23.100000000000033</c:v>
                </c:pt>
                <c:pt idx="78">
                  <c:v>23.400000000000034</c:v>
                </c:pt>
                <c:pt idx="79">
                  <c:v>23.700000000000035</c:v>
                </c:pt>
                <c:pt idx="80">
                  <c:v>24.000000000000036</c:v>
                </c:pt>
                <c:pt idx="81">
                  <c:v>24.300000000000036</c:v>
                </c:pt>
                <c:pt idx="82">
                  <c:v>24.600000000000037</c:v>
                </c:pt>
                <c:pt idx="83">
                  <c:v>24.900000000000038</c:v>
                </c:pt>
                <c:pt idx="84">
                  <c:v>25.200000000000038</c:v>
                </c:pt>
                <c:pt idx="85">
                  <c:v>25.500000000000039</c:v>
                </c:pt>
                <c:pt idx="86">
                  <c:v>25.80000000000004</c:v>
                </c:pt>
                <c:pt idx="87">
                  <c:v>26.100000000000041</c:v>
                </c:pt>
                <c:pt idx="88">
                  <c:v>26.400000000000041</c:v>
                </c:pt>
                <c:pt idx="89">
                  <c:v>26.700000000000042</c:v>
                </c:pt>
                <c:pt idx="90">
                  <c:v>27.000000000000043</c:v>
                </c:pt>
                <c:pt idx="91">
                  <c:v>27.300000000000043</c:v>
                </c:pt>
                <c:pt idx="92">
                  <c:v>27.600000000000044</c:v>
                </c:pt>
                <c:pt idx="93">
                  <c:v>27.900000000000045</c:v>
                </c:pt>
                <c:pt idx="94">
                  <c:v>28.200000000000045</c:v>
                </c:pt>
                <c:pt idx="95">
                  <c:v>28.500000000000046</c:v>
                </c:pt>
                <c:pt idx="96">
                  <c:v>28.800000000000047</c:v>
                </c:pt>
                <c:pt idx="97">
                  <c:v>29.100000000000048</c:v>
                </c:pt>
                <c:pt idx="98">
                  <c:v>29.400000000000048</c:v>
                </c:pt>
                <c:pt idx="99">
                  <c:v>29.700000000000049</c:v>
                </c:pt>
                <c:pt idx="100">
                  <c:v>30</c:v>
                </c:pt>
              </c:numCache>
            </c:numRef>
          </c:cat>
          <c:val>
            <c:numRef>
              <c:f>'Bullish Strategy Builder'!$AS$3:$AS$103</c:f>
              <c:numCache>
                <c:formatCode>_(* #,##0_);_(* \(#,##0\);_(* "-"??_);_(@_)</c:formatCode>
                <c:ptCount val="101"/>
                <c:pt idx="0">
                  <c:v>241.20000000000073</c:v>
                </c:pt>
                <c:pt idx="1">
                  <c:v>241.20000000000073</c:v>
                </c:pt>
                <c:pt idx="2">
                  <c:v>241.20000000000073</c:v>
                </c:pt>
                <c:pt idx="3">
                  <c:v>241.20000000000073</c:v>
                </c:pt>
                <c:pt idx="4">
                  <c:v>241.20000000000073</c:v>
                </c:pt>
                <c:pt idx="5">
                  <c:v>241.20000000000073</c:v>
                </c:pt>
                <c:pt idx="6">
                  <c:v>241.20000000000073</c:v>
                </c:pt>
                <c:pt idx="7">
                  <c:v>241.20000000000073</c:v>
                </c:pt>
                <c:pt idx="8">
                  <c:v>241.20000000000073</c:v>
                </c:pt>
                <c:pt idx="9">
                  <c:v>241.20000000000073</c:v>
                </c:pt>
                <c:pt idx="10">
                  <c:v>241.20000000000073</c:v>
                </c:pt>
                <c:pt idx="11">
                  <c:v>241.20000000000073</c:v>
                </c:pt>
                <c:pt idx="12">
                  <c:v>241.20000000000073</c:v>
                </c:pt>
                <c:pt idx="13">
                  <c:v>241.20000000000073</c:v>
                </c:pt>
                <c:pt idx="14">
                  <c:v>241.20000000000073</c:v>
                </c:pt>
                <c:pt idx="15">
                  <c:v>241.20000000000073</c:v>
                </c:pt>
                <c:pt idx="16">
                  <c:v>241.20000000000073</c:v>
                </c:pt>
                <c:pt idx="17">
                  <c:v>241.20000000000073</c:v>
                </c:pt>
                <c:pt idx="18">
                  <c:v>241.20000000000073</c:v>
                </c:pt>
                <c:pt idx="19">
                  <c:v>241.20000000000073</c:v>
                </c:pt>
                <c:pt idx="20">
                  <c:v>241.20000000000073</c:v>
                </c:pt>
                <c:pt idx="21">
                  <c:v>241.20000000000073</c:v>
                </c:pt>
                <c:pt idx="22">
                  <c:v>241.20000000000073</c:v>
                </c:pt>
                <c:pt idx="23">
                  <c:v>241.20000000000073</c:v>
                </c:pt>
                <c:pt idx="24">
                  <c:v>241.20000000000073</c:v>
                </c:pt>
                <c:pt idx="25">
                  <c:v>241.20000000000073</c:v>
                </c:pt>
                <c:pt idx="26">
                  <c:v>241.20000000000073</c:v>
                </c:pt>
                <c:pt idx="27">
                  <c:v>241.20000000000073</c:v>
                </c:pt>
                <c:pt idx="28">
                  <c:v>241.20000000000073</c:v>
                </c:pt>
                <c:pt idx="29">
                  <c:v>241.20000000000073</c:v>
                </c:pt>
                <c:pt idx="30">
                  <c:v>241.20000000000073</c:v>
                </c:pt>
                <c:pt idx="31">
                  <c:v>241.20000000000073</c:v>
                </c:pt>
                <c:pt idx="32">
                  <c:v>241.20000000000073</c:v>
                </c:pt>
                <c:pt idx="33">
                  <c:v>241.20000000000073</c:v>
                </c:pt>
                <c:pt idx="34">
                  <c:v>241.20000000000073</c:v>
                </c:pt>
                <c:pt idx="35">
                  <c:v>241.20000000000073</c:v>
                </c:pt>
                <c:pt idx="36">
                  <c:v>241.20000000000073</c:v>
                </c:pt>
                <c:pt idx="37">
                  <c:v>241.20000000000073</c:v>
                </c:pt>
                <c:pt idx="38">
                  <c:v>241.20000000000073</c:v>
                </c:pt>
                <c:pt idx="39">
                  <c:v>241.20000000000073</c:v>
                </c:pt>
                <c:pt idx="40">
                  <c:v>241.20000000000073</c:v>
                </c:pt>
                <c:pt idx="41">
                  <c:v>241.20000000000073</c:v>
                </c:pt>
                <c:pt idx="42">
                  <c:v>241.20000000000073</c:v>
                </c:pt>
                <c:pt idx="43">
                  <c:v>241.20000000000073</c:v>
                </c:pt>
                <c:pt idx="44">
                  <c:v>241.20000000000073</c:v>
                </c:pt>
                <c:pt idx="45">
                  <c:v>241.20000000000073</c:v>
                </c:pt>
                <c:pt idx="46">
                  <c:v>241.20000000000073</c:v>
                </c:pt>
                <c:pt idx="47">
                  <c:v>241.20000000000073</c:v>
                </c:pt>
                <c:pt idx="48">
                  <c:v>241.20000000000073</c:v>
                </c:pt>
                <c:pt idx="49">
                  <c:v>241.20000000000073</c:v>
                </c:pt>
                <c:pt idx="50">
                  <c:v>241.20000000000073</c:v>
                </c:pt>
                <c:pt idx="51">
                  <c:v>241.20000000000073</c:v>
                </c:pt>
                <c:pt idx="52">
                  <c:v>241.20000000000073</c:v>
                </c:pt>
                <c:pt idx="53">
                  <c:v>241.20000000000073</c:v>
                </c:pt>
                <c:pt idx="54">
                  <c:v>241.20000000000073</c:v>
                </c:pt>
                <c:pt idx="55">
                  <c:v>241.20000000000073</c:v>
                </c:pt>
                <c:pt idx="56">
                  <c:v>241.20000000000073</c:v>
                </c:pt>
                <c:pt idx="57">
                  <c:v>241.20000000000073</c:v>
                </c:pt>
                <c:pt idx="58">
                  <c:v>241.20000000000073</c:v>
                </c:pt>
                <c:pt idx="59">
                  <c:v>241.20000000000073</c:v>
                </c:pt>
                <c:pt idx="60">
                  <c:v>241.20000000000073</c:v>
                </c:pt>
                <c:pt idx="61">
                  <c:v>241.20000000000073</c:v>
                </c:pt>
                <c:pt idx="62">
                  <c:v>241.20000000000073</c:v>
                </c:pt>
                <c:pt idx="63">
                  <c:v>241.20000000000073</c:v>
                </c:pt>
                <c:pt idx="64">
                  <c:v>241.20000000000073</c:v>
                </c:pt>
                <c:pt idx="65">
                  <c:v>241.20000000000073</c:v>
                </c:pt>
                <c:pt idx="66">
                  <c:v>241.20000000000073</c:v>
                </c:pt>
                <c:pt idx="67">
                  <c:v>241.20000000000073</c:v>
                </c:pt>
                <c:pt idx="68">
                  <c:v>241.20000000000073</c:v>
                </c:pt>
                <c:pt idx="69">
                  <c:v>241.20000000000073</c:v>
                </c:pt>
                <c:pt idx="70">
                  <c:v>241.20000000000073</c:v>
                </c:pt>
                <c:pt idx="71">
                  <c:v>241.20000000000073</c:v>
                </c:pt>
                <c:pt idx="72">
                  <c:v>241.20000000000073</c:v>
                </c:pt>
                <c:pt idx="73">
                  <c:v>241.20000000000073</c:v>
                </c:pt>
                <c:pt idx="74">
                  <c:v>241.20000000000073</c:v>
                </c:pt>
                <c:pt idx="75">
                  <c:v>241.20000000000073</c:v>
                </c:pt>
                <c:pt idx="76">
                  <c:v>241.20000000000073</c:v>
                </c:pt>
                <c:pt idx="77">
                  <c:v>241.20000000000073</c:v>
                </c:pt>
                <c:pt idx="78">
                  <c:v>241.20000000000073</c:v>
                </c:pt>
                <c:pt idx="79">
                  <c:v>241.20000000000073</c:v>
                </c:pt>
                <c:pt idx="80">
                  <c:v>241.20000000000073</c:v>
                </c:pt>
                <c:pt idx="81">
                  <c:v>241.20000000000073</c:v>
                </c:pt>
                <c:pt idx="82">
                  <c:v>241.20000000000073</c:v>
                </c:pt>
                <c:pt idx="83">
                  <c:v>241.20000000000073</c:v>
                </c:pt>
                <c:pt idx="84">
                  <c:v>241.20000000000073</c:v>
                </c:pt>
                <c:pt idx="85">
                  <c:v>241.20000000000073</c:v>
                </c:pt>
                <c:pt idx="86">
                  <c:v>241.20000000000073</c:v>
                </c:pt>
                <c:pt idx="87">
                  <c:v>241.20000000000073</c:v>
                </c:pt>
                <c:pt idx="88">
                  <c:v>241.20000000000073</c:v>
                </c:pt>
                <c:pt idx="89">
                  <c:v>241.20000000000073</c:v>
                </c:pt>
                <c:pt idx="90">
                  <c:v>241.20000000000073</c:v>
                </c:pt>
                <c:pt idx="91">
                  <c:v>241.20000000000073</c:v>
                </c:pt>
                <c:pt idx="92">
                  <c:v>241.20000000000073</c:v>
                </c:pt>
                <c:pt idx="93">
                  <c:v>241.20000000000073</c:v>
                </c:pt>
                <c:pt idx="94">
                  <c:v>241.20000000000073</c:v>
                </c:pt>
                <c:pt idx="95">
                  <c:v>241.20000000000073</c:v>
                </c:pt>
                <c:pt idx="96">
                  <c:v>241.20000000000073</c:v>
                </c:pt>
                <c:pt idx="97">
                  <c:v>241.20000000000073</c:v>
                </c:pt>
                <c:pt idx="98">
                  <c:v>241.20000000000073</c:v>
                </c:pt>
                <c:pt idx="99">
                  <c:v>241.20000000000073</c:v>
                </c:pt>
                <c:pt idx="100">
                  <c:v>241.20000000000073</c:v>
                </c:pt>
              </c:numCache>
            </c:numRef>
          </c:val>
          <c:extLst>
            <c:ext xmlns:c16="http://schemas.microsoft.com/office/drawing/2014/chart" uri="{C3380CC4-5D6E-409C-BE32-E72D297353CC}">
              <c16:uniqueId val="{00000000-4BE8-4354-A08D-069329F2860C}"/>
            </c:ext>
          </c:extLst>
        </c:ser>
        <c:ser>
          <c:idx val="2"/>
          <c:order val="2"/>
          <c:tx>
            <c:v>Unrealized Loss</c:v>
          </c:tx>
          <c:spPr>
            <a:solidFill>
              <a:schemeClr val="accent4"/>
            </a:solidFill>
            <a:ln>
              <a:noFill/>
            </a:ln>
            <a:effectLst/>
          </c:spPr>
          <c:invertIfNegative val="0"/>
          <c:cat>
            <c:numRef>
              <c:f>'Bullish Strategy Builder'!$N$3:$N$103</c:f>
              <c:numCache>
                <c:formatCode>_(* #,##0.00_);_(* \(#,##0.00\);_(* "-"??_);_(@_)</c:formatCode>
                <c:ptCount val="101"/>
                <c:pt idx="0">
                  <c:v>0</c:v>
                </c:pt>
                <c:pt idx="1">
                  <c:v>0.3</c:v>
                </c:pt>
                <c:pt idx="2">
                  <c:v>0.6</c:v>
                </c:pt>
                <c:pt idx="3">
                  <c:v>0.89999999999999991</c:v>
                </c:pt>
                <c:pt idx="4">
                  <c:v>1.2</c:v>
                </c:pt>
                <c:pt idx="5">
                  <c:v>1.5</c:v>
                </c:pt>
                <c:pt idx="6">
                  <c:v>1.8</c:v>
                </c:pt>
                <c:pt idx="7">
                  <c:v>2.1</c:v>
                </c:pt>
                <c:pt idx="8">
                  <c:v>2.4</c:v>
                </c:pt>
                <c:pt idx="9">
                  <c:v>2.6999999999999997</c:v>
                </c:pt>
                <c:pt idx="10">
                  <c:v>2.9999999999999996</c:v>
                </c:pt>
                <c:pt idx="11">
                  <c:v>3.2999999999999994</c:v>
                </c:pt>
                <c:pt idx="12">
                  <c:v>3.5999999999999992</c:v>
                </c:pt>
                <c:pt idx="13">
                  <c:v>3.899999999999999</c:v>
                </c:pt>
                <c:pt idx="14">
                  <c:v>4.1999999999999993</c:v>
                </c:pt>
                <c:pt idx="15">
                  <c:v>4.4999999999999991</c:v>
                </c:pt>
                <c:pt idx="16">
                  <c:v>4.7999999999999989</c:v>
                </c:pt>
                <c:pt idx="17">
                  <c:v>5.0999999999999988</c:v>
                </c:pt>
                <c:pt idx="18">
                  <c:v>5.3999999999999986</c:v>
                </c:pt>
                <c:pt idx="19">
                  <c:v>5.6999999999999984</c:v>
                </c:pt>
                <c:pt idx="20">
                  <c:v>5.9999999999999982</c:v>
                </c:pt>
                <c:pt idx="21">
                  <c:v>6.299999999999998</c:v>
                </c:pt>
                <c:pt idx="22">
                  <c:v>6.5999999999999979</c:v>
                </c:pt>
                <c:pt idx="23">
                  <c:v>6.8999999999999977</c:v>
                </c:pt>
                <c:pt idx="24">
                  <c:v>7.1999999999999975</c:v>
                </c:pt>
                <c:pt idx="25">
                  <c:v>7.4999999999999973</c:v>
                </c:pt>
                <c:pt idx="26">
                  <c:v>7.7999999999999972</c:v>
                </c:pt>
                <c:pt idx="27">
                  <c:v>8.0999999999999979</c:v>
                </c:pt>
                <c:pt idx="28">
                  <c:v>8.3999999999999986</c:v>
                </c:pt>
                <c:pt idx="29">
                  <c:v>8.6999999999999993</c:v>
                </c:pt>
                <c:pt idx="30">
                  <c:v>9</c:v>
                </c:pt>
                <c:pt idx="31">
                  <c:v>9.3000000000000007</c:v>
                </c:pt>
                <c:pt idx="32">
                  <c:v>9.6000000000000014</c:v>
                </c:pt>
                <c:pt idx="33">
                  <c:v>9.9000000000000021</c:v>
                </c:pt>
                <c:pt idx="34">
                  <c:v>10.200000000000003</c:v>
                </c:pt>
                <c:pt idx="35">
                  <c:v>10.500000000000004</c:v>
                </c:pt>
                <c:pt idx="36">
                  <c:v>10.800000000000004</c:v>
                </c:pt>
                <c:pt idx="37">
                  <c:v>11.100000000000005</c:v>
                </c:pt>
                <c:pt idx="38">
                  <c:v>11.400000000000006</c:v>
                </c:pt>
                <c:pt idx="39">
                  <c:v>11.700000000000006</c:v>
                </c:pt>
                <c:pt idx="40">
                  <c:v>12.000000000000007</c:v>
                </c:pt>
                <c:pt idx="41">
                  <c:v>12.300000000000008</c:v>
                </c:pt>
                <c:pt idx="42">
                  <c:v>12.600000000000009</c:v>
                </c:pt>
                <c:pt idx="43">
                  <c:v>12.900000000000009</c:v>
                </c:pt>
                <c:pt idx="44">
                  <c:v>13.20000000000001</c:v>
                </c:pt>
                <c:pt idx="45">
                  <c:v>13.500000000000011</c:v>
                </c:pt>
                <c:pt idx="46">
                  <c:v>13.800000000000011</c:v>
                </c:pt>
                <c:pt idx="47">
                  <c:v>14.100000000000012</c:v>
                </c:pt>
                <c:pt idx="48">
                  <c:v>14.400000000000013</c:v>
                </c:pt>
                <c:pt idx="49">
                  <c:v>14.700000000000014</c:v>
                </c:pt>
                <c:pt idx="50">
                  <c:v>15.000000000000014</c:v>
                </c:pt>
                <c:pt idx="51">
                  <c:v>15.300000000000015</c:v>
                </c:pt>
                <c:pt idx="52">
                  <c:v>15.600000000000016</c:v>
                </c:pt>
                <c:pt idx="53">
                  <c:v>15.900000000000016</c:v>
                </c:pt>
                <c:pt idx="54">
                  <c:v>16.200000000000017</c:v>
                </c:pt>
                <c:pt idx="55">
                  <c:v>16.500000000000018</c:v>
                </c:pt>
                <c:pt idx="56">
                  <c:v>16.800000000000018</c:v>
                </c:pt>
                <c:pt idx="57">
                  <c:v>17.100000000000019</c:v>
                </c:pt>
                <c:pt idx="58">
                  <c:v>17.40000000000002</c:v>
                </c:pt>
                <c:pt idx="59">
                  <c:v>17.700000000000021</c:v>
                </c:pt>
                <c:pt idx="60">
                  <c:v>18.000000000000021</c:v>
                </c:pt>
                <c:pt idx="61">
                  <c:v>18.300000000000022</c:v>
                </c:pt>
                <c:pt idx="62">
                  <c:v>18.600000000000023</c:v>
                </c:pt>
                <c:pt idx="63">
                  <c:v>18.900000000000023</c:v>
                </c:pt>
                <c:pt idx="64">
                  <c:v>19.200000000000024</c:v>
                </c:pt>
                <c:pt idx="65">
                  <c:v>19.500000000000025</c:v>
                </c:pt>
                <c:pt idx="66">
                  <c:v>19.800000000000026</c:v>
                </c:pt>
                <c:pt idx="67">
                  <c:v>20.100000000000026</c:v>
                </c:pt>
                <c:pt idx="68">
                  <c:v>20.400000000000027</c:v>
                </c:pt>
                <c:pt idx="69">
                  <c:v>20.700000000000028</c:v>
                </c:pt>
                <c:pt idx="70">
                  <c:v>21.000000000000028</c:v>
                </c:pt>
                <c:pt idx="71">
                  <c:v>21.300000000000029</c:v>
                </c:pt>
                <c:pt idx="72">
                  <c:v>21.60000000000003</c:v>
                </c:pt>
                <c:pt idx="73">
                  <c:v>21.900000000000031</c:v>
                </c:pt>
                <c:pt idx="74">
                  <c:v>22.200000000000031</c:v>
                </c:pt>
                <c:pt idx="75">
                  <c:v>22.500000000000032</c:v>
                </c:pt>
                <c:pt idx="76">
                  <c:v>22.800000000000033</c:v>
                </c:pt>
                <c:pt idx="77">
                  <c:v>23.100000000000033</c:v>
                </c:pt>
                <c:pt idx="78">
                  <c:v>23.400000000000034</c:v>
                </c:pt>
                <c:pt idx="79">
                  <c:v>23.700000000000035</c:v>
                </c:pt>
                <c:pt idx="80">
                  <c:v>24.000000000000036</c:v>
                </c:pt>
                <c:pt idx="81">
                  <c:v>24.300000000000036</c:v>
                </c:pt>
                <c:pt idx="82">
                  <c:v>24.600000000000037</c:v>
                </c:pt>
                <c:pt idx="83">
                  <c:v>24.900000000000038</c:v>
                </c:pt>
                <c:pt idx="84">
                  <c:v>25.200000000000038</c:v>
                </c:pt>
                <c:pt idx="85">
                  <c:v>25.500000000000039</c:v>
                </c:pt>
                <c:pt idx="86">
                  <c:v>25.80000000000004</c:v>
                </c:pt>
                <c:pt idx="87">
                  <c:v>26.100000000000041</c:v>
                </c:pt>
                <c:pt idx="88">
                  <c:v>26.400000000000041</c:v>
                </c:pt>
                <c:pt idx="89">
                  <c:v>26.700000000000042</c:v>
                </c:pt>
                <c:pt idx="90">
                  <c:v>27.000000000000043</c:v>
                </c:pt>
                <c:pt idx="91">
                  <c:v>27.300000000000043</c:v>
                </c:pt>
                <c:pt idx="92">
                  <c:v>27.600000000000044</c:v>
                </c:pt>
                <c:pt idx="93">
                  <c:v>27.900000000000045</c:v>
                </c:pt>
                <c:pt idx="94">
                  <c:v>28.200000000000045</c:v>
                </c:pt>
                <c:pt idx="95">
                  <c:v>28.500000000000046</c:v>
                </c:pt>
                <c:pt idx="96">
                  <c:v>28.800000000000047</c:v>
                </c:pt>
                <c:pt idx="97">
                  <c:v>29.100000000000048</c:v>
                </c:pt>
                <c:pt idx="98">
                  <c:v>29.400000000000048</c:v>
                </c:pt>
                <c:pt idx="99">
                  <c:v>29.700000000000049</c:v>
                </c:pt>
                <c:pt idx="100">
                  <c:v>30</c:v>
                </c:pt>
              </c:numCache>
            </c:numRef>
          </c:cat>
          <c:val>
            <c:numRef>
              <c:f>'Bullish Strategy Builder'!$AR$3:$AR$103</c:f>
              <c:numCache>
                <c:formatCode>_(* #,##0_);_(* \(#,##0\);_(* "-"??_);_(@_)</c:formatCode>
                <c:ptCount val="101"/>
                <c:pt idx="0">
                  <c:v>0</c:v>
                </c:pt>
                <c:pt idx="1">
                  <c:v>-2722.7999999999997</c:v>
                </c:pt>
                <c:pt idx="2">
                  <c:v>-2686.7999999999997</c:v>
                </c:pt>
                <c:pt idx="3">
                  <c:v>-2650.8</c:v>
                </c:pt>
                <c:pt idx="4">
                  <c:v>-2614.7999999999997</c:v>
                </c:pt>
                <c:pt idx="5">
                  <c:v>-2578.7999999999997</c:v>
                </c:pt>
                <c:pt idx="6">
                  <c:v>-2542.7999999999997</c:v>
                </c:pt>
                <c:pt idx="7">
                  <c:v>-2506.7999999999997</c:v>
                </c:pt>
                <c:pt idx="8">
                  <c:v>-2470.8000000000002</c:v>
                </c:pt>
                <c:pt idx="9">
                  <c:v>-2434.7999999999997</c:v>
                </c:pt>
                <c:pt idx="10">
                  <c:v>-2398.7999999999997</c:v>
                </c:pt>
                <c:pt idx="11">
                  <c:v>-2362.7999999999997</c:v>
                </c:pt>
                <c:pt idx="12">
                  <c:v>-2326.8000000000002</c:v>
                </c:pt>
                <c:pt idx="13">
                  <c:v>-2290.8000000000002</c:v>
                </c:pt>
                <c:pt idx="14">
                  <c:v>-2254.7999999999997</c:v>
                </c:pt>
                <c:pt idx="15">
                  <c:v>-2218.7999999999997</c:v>
                </c:pt>
                <c:pt idx="16">
                  <c:v>-2182.7999999999997</c:v>
                </c:pt>
                <c:pt idx="17">
                  <c:v>-2146.8000000000002</c:v>
                </c:pt>
                <c:pt idx="18">
                  <c:v>-2110.8000000000002</c:v>
                </c:pt>
                <c:pt idx="19">
                  <c:v>-2074.7999999999997</c:v>
                </c:pt>
                <c:pt idx="20">
                  <c:v>-2038.8000000000002</c:v>
                </c:pt>
                <c:pt idx="21">
                  <c:v>-2002.8000000000002</c:v>
                </c:pt>
                <c:pt idx="22">
                  <c:v>-1966.8000000000002</c:v>
                </c:pt>
                <c:pt idx="23">
                  <c:v>-1930.8</c:v>
                </c:pt>
                <c:pt idx="24">
                  <c:v>-1894.8000000000002</c:v>
                </c:pt>
                <c:pt idx="25">
                  <c:v>-1858.8000000000002</c:v>
                </c:pt>
                <c:pt idx="26">
                  <c:v>-1822.8000000000002</c:v>
                </c:pt>
                <c:pt idx="27">
                  <c:v>-1786.8000000000002</c:v>
                </c:pt>
                <c:pt idx="28">
                  <c:v>-1750.8</c:v>
                </c:pt>
                <c:pt idx="29">
                  <c:v>-1714.8</c:v>
                </c:pt>
                <c:pt idx="30">
                  <c:v>-1678.7999999999997</c:v>
                </c:pt>
                <c:pt idx="31">
                  <c:v>-1642.7999999999997</c:v>
                </c:pt>
                <c:pt idx="32">
                  <c:v>-1606.7999999999997</c:v>
                </c:pt>
                <c:pt idx="33">
                  <c:v>-1570.7999999999995</c:v>
                </c:pt>
                <c:pt idx="34">
                  <c:v>-1534.7999999999995</c:v>
                </c:pt>
                <c:pt idx="35">
                  <c:v>-1498.7999999999993</c:v>
                </c:pt>
                <c:pt idx="36">
                  <c:v>-1462.7999999999993</c:v>
                </c:pt>
                <c:pt idx="37">
                  <c:v>-1426.7999999999993</c:v>
                </c:pt>
                <c:pt idx="38">
                  <c:v>-1390.799999999999</c:v>
                </c:pt>
                <c:pt idx="39">
                  <c:v>-1354.799999999999</c:v>
                </c:pt>
                <c:pt idx="40">
                  <c:v>-1318.799999999999</c:v>
                </c:pt>
                <c:pt idx="41">
                  <c:v>-1282.7999999999988</c:v>
                </c:pt>
                <c:pt idx="42">
                  <c:v>-1246.7999999999988</c:v>
                </c:pt>
                <c:pt idx="43">
                  <c:v>-1210.7999999999988</c:v>
                </c:pt>
                <c:pt idx="44">
                  <c:v>-1174.7999999999986</c:v>
                </c:pt>
                <c:pt idx="45">
                  <c:v>-1138.7999999999986</c:v>
                </c:pt>
                <c:pt idx="46">
                  <c:v>-1102.7999999999984</c:v>
                </c:pt>
                <c:pt idx="47">
                  <c:v>-2844.7999999999956</c:v>
                </c:pt>
                <c:pt idx="48">
                  <c:v>-2748.7999999999956</c:v>
                </c:pt>
                <c:pt idx="49">
                  <c:v>-2652.7999999999952</c:v>
                </c:pt>
                <c:pt idx="50">
                  <c:v>-2556.7999999999947</c:v>
                </c:pt>
                <c:pt idx="51">
                  <c:v>-2460.7999999999947</c:v>
                </c:pt>
                <c:pt idx="52">
                  <c:v>-2364.7999999999947</c:v>
                </c:pt>
                <c:pt idx="53">
                  <c:v>-2268.7999999999943</c:v>
                </c:pt>
                <c:pt idx="54">
                  <c:v>-2172.7999999999943</c:v>
                </c:pt>
                <c:pt idx="55">
                  <c:v>-2076.7999999999938</c:v>
                </c:pt>
                <c:pt idx="56">
                  <c:v>-1980.7999999999934</c:v>
                </c:pt>
                <c:pt idx="57">
                  <c:v>-1884.7999999999934</c:v>
                </c:pt>
                <c:pt idx="58">
                  <c:v>-1788.7999999999931</c:v>
                </c:pt>
                <c:pt idx="59">
                  <c:v>-1692.7999999999929</c:v>
                </c:pt>
                <c:pt idx="60">
                  <c:v>-1596.7999999999927</c:v>
                </c:pt>
                <c:pt idx="61">
                  <c:v>-1500.7999999999925</c:v>
                </c:pt>
                <c:pt idx="62">
                  <c:v>-1404.7999999999922</c:v>
                </c:pt>
                <c:pt idx="63">
                  <c:v>-1308.799999999992</c:v>
                </c:pt>
                <c:pt idx="64">
                  <c:v>-1212.7999999999918</c:v>
                </c:pt>
                <c:pt idx="65">
                  <c:v>-1116.7999999999915</c:v>
                </c:pt>
                <c:pt idx="66">
                  <c:v>-1020.7999999999913</c:v>
                </c:pt>
                <c:pt idx="67">
                  <c:v>-924.79999999999109</c:v>
                </c:pt>
                <c:pt idx="68">
                  <c:v>-828.79999999999086</c:v>
                </c:pt>
                <c:pt idx="69">
                  <c:v>-732.79999999999063</c:v>
                </c:pt>
                <c:pt idx="70">
                  <c:v>-636.7999999999904</c:v>
                </c:pt>
                <c:pt idx="71">
                  <c:v>-540.79999999999018</c:v>
                </c:pt>
                <c:pt idx="72">
                  <c:v>-444.79999999998995</c:v>
                </c:pt>
                <c:pt idx="73">
                  <c:v>-348.79999999998972</c:v>
                </c:pt>
                <c:pt idx="74">
                  <c:v>-252.7999999999895</c:v>
                </c:pt>
                <c:pt idx="75">
                  <c:v>-156.79999999998927</c:v>
                </c:pt>
                <c:pt idx="76">
                  <c:v>-60.799999999989041</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extLst>
            <c:ext xmlns:c16="http://schemas.microsoft.com/office/drawing/2014/chart" uri="{C3380CC4-5D6E-409C-BE32-E72D297353CC}">
              <c16:uniqueId val="{00000003-4BE8-4354-A08D-069329F2860C}"/>
            </c:ext>
          </c:extLst>
        </c:ser>
        <c:ser>
          <c:idx val="0"/>
          <c:order val="3"/>
          <c:tx>
            <c:v>Unrealized Gain</c:v>
          </c:tx>
          <c:spPr>
            <a:solidFill>
              <a:srgbClr val="00B050"/>
            </a:solidFill>
            <a:ln>
              <a:noFill/>
            </a:ln>
            <a:effectLst/>
          </c:spPr>
          <c:invertIfNegative val="0"/>
          <c:cat>
            <c:numRef>
              <c:f>'Bullish Strategy Builder'!$N$3:$N$103</c:f>
              <c:numCache>
                <c:formatCode>_(* #,##0.00_);_(* \(#,##0.00\);_(* "-"??_);_(@_)</c:formatCode>
                <c:ptCount val="101"/>
                <c:pt idx="0">
                  <c:v>0</c:v>
                </c:pt>
                <c:pt idx="1">
                  <c:v>0.3</c:v>
                </c:pt>
                <c:pt idx="2">
                  <c:v>0.6</c:v>
                </c:pt>
                <c:pt idx="3">
                  <c:v>0.89999999999999991</c:v>
                </c:pt>
                <c:pt idx="4">
                  <c:v>1.2</c:v>
                </c:pt>
                <c:pt idx="5">
                  <c:v>1.5</c:v>
                </c:pt>
                <c:pt idx="6">
                  <c:v>1.8</c:v>
                </c:pt>
                <c:pt idx="7">
                  <c:v>2.1</c:v>
                </c:pt>
                <c:pt idx="8">
                  <c:v>2.4</c:v>
                </c:pt>
                <c:pt idx="9">
                  <c:v>2.6999999999999997</c:v>
                </c:pt>
                <c:pt idx="10">
                  <c:v>2.9999999999999996</c:v>
                </c:pt>
                <c:pt idx="11">
                  <c:v>3.2999999999999994</c:v>
                </c:pt>
                <c:pt idx="12">
                  <c:v>3.5999999999999992</c:v>
                </c:pt>
                <c:pt idx="13">
                  <c:v>3.899999999999999</c:v>
                </c:pt>
                <c:pt idx="14">
                  <c:v>4.1999999999999993</c:v>
                </c:pt>
                <c:pt idx="15">
                  <c:v>4.4999999999999991</c:v>
                </c:pt>
                <c:pt idx="16">
                  <c:v>4.7999999999999989</c:v>
                </c:pt>
                <c:pt idx="17">
                  <c:v>5.0999999999999988</c:v>
                </c:pt>
                <c:pt idx="18">
                  <c:v>5.3999999999999986</c:v>
                </c:pt>
                <c:pt idx="19">
                  <c:v>5.6999999999999984</c:v>
                </c:pt>
                <c:pt idx="20">
                  <c:v>5.9999999999999982</c:v>
                </c:pt>
                <c:pt idx="21">
                  <c:v>6.299999999999998</c:v>
                </c:pt>
                <c:pt idx="22">
                  <c:v>6.5999999999999979</c:v>
                </c:pt>
                <c:pt idx="23">
                  <c:v>6.8999999999999977</c:v>
                </c:pt>
                <c:pt idx="24">
                  <c:v>7.1999999999999975</c:v>
                </c:pt>
                <c:pt idx="25">
                  <c:v>7.4999999999999973</c:v>
                </c:pt>
                <c:pt idx="26">
                  <c:v>7.7999999999999972</c:v>
                </c:pt>
                <c:pt idx="27">
                  <c:v>8.0999999999999979</c:v>
                </c:pt>
                <c:pt idx="28">
                  <c:v>8.3999999999999986</c:v>
                </c:pt>
                <c:pt idx="29">
                  <c:v>8.6999999999999993</c:v>
                </c:pt>
                <c:pt idx="30">
                  <c:v>9</c:v>
                </c:pt>
                <c:pt idx="31">
                  <c:v>9.3000000000000007</c:v>
                </c:pt>
                <c:pt idx="32">
                  <c:v>9.6000000000000014</c:v>
                </c:pt>
                <c:pt idx="33">
                  <c:v>9.9000000000000021</c:v>
                </c:pt>
                <c:pt idx="34">
                  <c:v>10.200000000000003</c:v>
                </c:pt>
                <c:pt idx="35">
                  <c:v>10.500000000000004</c:v>
                </c:pt>
                <c:pt idx="36">
                  <c:v>10.800000000000004</c:v>
                </c:pt>
                <c:pt idx="37">
                  <c:v>11.100000000000005</c:v>
                </c:pt>
                <c:pt idx="38">
                  <c:v>11.400000000000006</c:v>
                </c:pt>
                <c:pt idx="39">
                  <c:v>11.700000000000006</c:v>
                </c:pt>
                <c:pt idx="40">
                  <c:v>12.000000000000007</c:v>
                </c:pt>
                <c:pt idx="41">
                  <c:v>12.300000000000008</c:v>
                </c:pt>
                <c:pt idx="42">
                  <c:v>12.600000000000009</c:v>
                </c:pt>
                <c:pt idx="43">
                  <c:v>12.900000000000009</c:v>
                </c:pt>
                <c:pt idx="44">
                  <c:v>13.20000000000001</c:v>
                </c:pt>
                <c:pt idx="45">
                  <c:v>13.500000000000011</c:v>
                </c:pt>
                <c:pt idx="46">
                  <c:v>13.800000000000011</c:v>
                </c:pt>
                <c:pt idx="47">
                  <c:v>14.100000000000012</c:v>
                </c:pt>
                <c:pt idx="48">
                  <c:v>14.400000000000013</c:v>
                </c:pt>
                <c:pt idx="49">
                  <c:v>14.700000000000014</c:v>
                </c:pt>
                <c:pt idx="50">
                  <c:v>15.000000000000014</c:v>
                </c:pt>
                <c:pt idx="51">
                  <c:v>15.300000000000015</c:v>
                </c:pt>
                <c:pt idx="52">
                  <c:v>15.600000000000016</c:v>
                </c:pt>
                <c:pt idx="53">
                  <c:v>15.900000000000016</c:v>
                </c:pt>
                <c:pt idx="54">
                  <c:v>16.200000000000017</c:v>
                </c:pt>
                <c:pt idx="55">
                  <c:v>16.500000000000018</c:v>
                </c:pt>
                <c:pt idx="56">
                  <c:v>16.800000000000018</c:v>
                </c:pt>
                <c:pt idx="57">
                  <c:v>17.100000000000019</c:v>
                </c:pt>
                <c:pt idx="58">
                  <c:v>17.40000000000002</c:v>
                </c:pt>
                <c:pt idx="59">
                  <c:v>17.700000000000021</c:v>
                </c:pt>
                <c:pt idx="60">
                  <c:v>18.000000000000021</c:v>
                </c:pt>
                <c:pt idx="61">
                  <c:v>18.300000000000022</c:v>
                </c:pt>
                <c:pt idx="62">
                  <c:v>18.600000000000023</c:v>
                </c:pt>
                <c:pt idx="63">
                  <c:v>18.900000000000023</c:v>
                </c:pt>
                <c:pt idx="64">
                  <c:v>19.200000000000024</c:v>
                </c:pt>
                <c:pt idx="65">
                  <c:v>19.500000000000025</c:v>
                </c:pt>
                <c:pt idx="66">
                  <c:v>19.800000000000026</c:v>
                </c:pt>
                <c:pt idx="67">
                  <c:v>20.100000000000026</c:v>
                </c:pt>
                <c:pt idx="68">
                  <c:v>20.400000000000027</c:v>
                </c:pt>
                <c:pt idx="69">
                  <c:v>20.700000000000028</c:v>
                </c:pt>
                <c:pt idx="70">
                  <c:v>21.000000000000028</c:v>
                </c:pt>
                <c:pt idx="71">
                  <c:v>21.300000000000029</c:v>
                </c:pt>
                <c:pt idx="72">
                  <c:v>21.60000000000003</c:v>
                </c:pt>
                <c:pt idx="73">
                  <c:v>21.900000000000031</c:v>
                </c:pt>
                <c:pt idx="74">
                  <c:v>22.200000000000031</c:v>
                </c:pt>
                <c:pt idx="75">
                  <c:v>22.500000000000032</c:v>
                </c:pt>
                <c:pt idx="76">
                  <c:v>22.800000000000033</c:v>
                </c:pt>
                <c:pt idx="77">
                  <c:v>23.100000000000033</c:v>
                </c:pt>
                <c:pt idx="78">
                  <c:v>23.400000000000034</c:v>
                </c:pt>
                <c:pt idx="79">
                  <c:v>23.700000000000035</c:v>
                </c:pt>
                <c:pt idx="80">
                  <c:v>24.000000000000036</c:v>
                </c:pt>
                <c:pt idx="81">
                  <c:v>24.300000000000036</c:v>
                </c:pt>
                <c:pt idx="82">
                  <c:v>24.600000000000037</c:v>
                </c:pt>
                <c:pt idx="83">
                  <c:v>24.900000000000038</c:v>
                </c:pt>
                <c:pt idx="84">
                  <c:v>25.200000000000038</c:v>
                </c:pt>
                <c:pt idx="85">
                  <c:v>25.500000000000039</c:v>
                </c:pt>
                <c:pt idx="86">
                  <c:v>25.80000000000004</c:v>
                </c:pt>
                <c:pt idx="87">
                  <c:v>26.100000000000041</c:v>
                </c:pt>
                <c:pt idx="88">
                  <c:v>26.400000000000041</c:v>
                </c:pt>
                <c:pt idx="89">
                  <c:v>26.700000000000042</c:v>
                </c:pt>
                <c:pt idx="90">
                  <c:v>27.000000000000043</c:v>
                </c:pt>
                <c:pt idx="91">
                  <c:v>27.300000000000043</c:v>
                </c:pt>
                <c:pt idx="92">
                  <c:v>27.600000000000044</c:v>
                </c:pt>
                <c:pt idx="93">
                  <c:v>27.900000000000045</c:v>
                </c:pt>
                <c:pt idx="94">
                  <c:v>28.200000000000045</c:v>
                </c:pt>
                <c:pt idx="95">
                  <c:v>28.500000000000046</c:v>
                </c:pt>
                <c:pt idx="96">
                  <c:v>28.800000000000047</c:v>
                </c:pt>
                <c:pt idx="97">
                  <c:v>29.100000000000048</c:v>
                </c:pt>
                <c:pt idx="98">
                  <c:v>29.400000000000048</c:v>
                </c:pt>
                <c:pt idx="99">
                  <c:v>29.700000000000049</c:v>
                </c:pt>
                <c:pt idx="100">
                  <c:v>30</c:v>
                </c:pt>
              </c:numCache>
            </c:numRef>
          </c:cat>
          <c:val>
            <c:numRef>
              <c:f>'Bullish Strategy Builder'!$AN$3:$AN$103</c:f>
              <c:numCache>
                <c:formatCode>_(* #,##0_);_(* \(#,##0\);_(* "-"??_);_(@_)</c:formatCod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35.200000000011187</c:v>
                </c:pt>
                <c:pt idx="78">
                  <c:v>131.20000000001141</c:v>
                </c:pt>
                <c:pt idx="79">
                  <c:v>227.20000000001164</c:v>
                </c:pt>
                <c:pt idx="80">
                  <c:v>323.20000000001187</c:v>
                </c:pt>
                <c:pt idx="81">
                  <c:v>419.2000000000121</c:v>
                </c:pt>
                <c:pt idx="82">
                  <c:v>515.20000000001232</c:v>
                </c:pt>
                <c:pt idx="83">
                  <c:v>611.20000000001255</c:v>
                </c:pt>
                <c:pt idx="84">
                  <c:v>707.20000000001278</c:v>
                </c:pt>
                <c:pt idx="85">
                  <c:v>803.20000000001301</c:v>
                </c:pt>
                <c:pt idx="86">
                  <c:v>899.20000000001323</c:v>
                </c:pt>
                <c:pt idx="87">
                  <c:v>995.20000000001346</c:v>
                </c:pt>
                <c:pt idx="88">
                  <c:v>1091.2000000000137</c:v>
                </c:pt>
                <c:pt idx="89">
                  <c:v>1187.2000000000139</c:v>
                </c:pt>
                <c:pt idx="90">
                  <c:v>1283.2000000000141</c:v>
                </c:pt>
                <c:pt idx="91">
                  <c:v>1379.2000000000144</c:v>
                </c:pt>
                <c:pt idx="92">
                  <c:v>1475.2000000000146</c:v>
                </c:pt>
                <c:pt idx="93">
                  <c:v>1571.2000000000148</c:v>
                </c:pt>
                <c:pt idx="94">
                  <c:v>1667.2000000000148</c:v>
                </c:pt>
                <c:pt idx="95">
                  <c:v>1763.2000000000153</c:v>
                </c:pt>
                <c:pt idx="96">
                  <c:v>1859.2000000000157</c:v>
                </c:pt>
                <c:pt idx="97">
                  <c:v>1955.2000000000157</c:v>
                </c:pt>
                <c:pt idx="98">
                  <c:v>2051.2000000000162</c:v>
                </c:pt>
                <c:pt idx="99">
                  <c:v>2147.2000000000162</c:v>
                </c:pt>
                <c:pt idx="100">
                  <c:v>2243.2000000000003</c:v>
                </c:pt>
              </c:numCache>
            </c:numRef>
          </c:val>
          <c:extLst>
            <c:ext xmlns:c16="http://schemas.microsoft.com/office/drawing/2014/chart" uri="{C3380CC4-5D6E-409C-BE32-E72D297353CC}">
              <c16:uniqueId val="{00000001-4BE8-4354-A08D-069329F2860C}"/>
            </c:ext>
          </c:extLst>
        </c:ser>
        <c:dLbls>
          <c:showLegendKey val="0"/>
          <c:showVal val="0"/>
          <c:showCatName val="0"/>
          <c:showSerName val="0"/>
          <c:showPercent val="0"/>
          <c:showBubbleSize val="0"/>
        </c:dLbls>
        <c:gapWidth val="0"/>
        <c:overlap val="100"/>
        <c:axId val="1059440136"/>
        <c:axId val="1059437512"/>
      </c:barChart>
      <c:lineChart>
        <c:grouping val="standard"/>
        <c:varyColors val="0"/>
        <c:ser>
          <c:idx val="4"/>
          <c:order val="4"/>
          <c:tx>
            <c:strRef>
              <c:f>'Bullish Strategy Builder'!$AT$2</c:f>
              <c:strCache>
                <c:ptCount val="1"/>
                <c:pt idx="0">
                  <c:v>Position Value</c:v>
                </c:pt>
              </c:strCache>
            </c:strRef>
          </c:tx>
          <c:spPr>
            <a:ln w="19050" cap="rnd">
              <a:solidFill>
                <a:schemeClr val="tx1"/>
              </a:solidFill>
              <a:round/>
            </a:ln>
            <a:effectLst/>
          </c:spPr>
          <c:marker>
            <c:symbol val="none"/>
          </c:marker>
          <c:cat>
            <c:numRef>
              <c:f>'Bullish Strategy Builder'!$N$3:$N$103</c:f>
              <c:numCache>
                <c:formatCode>_(* #,##0.00_);_(* \(#,##0.00\);_(* "-"??_);_(@_)</c:formatCode>
                <c:ptCount val="101"/>
                <c:pt idx="0">
                  <c:v>0</c:v>
                </c:pt>
                <c:pt idx="1">
                  <c:v>0.3</c:v>
                </c:pt>
                <c:pt idx="2">
                  <c:v>0.6</c:v>
                </c:pt>
                <c:pt idx="3">
                  <c:v>0.89999999999999991</c:v>
                </c:pt>
                <c:pt idx="4">
                  <c:v>1.2</c:v>
                </c:pt>
                <c:pt idx="5">
                  <c:v>1.5</c:v>
                </c:pt>
                <c:pt idx="6">
                  <c:v>1.8</c:v>
                </c:pt>
                <c:pt idx="7">
                  <c:v>2.1</c:v>
                </c:pt>
                <c:pt idx="8">
                  <c:v>2.4</c:v>
                </c:pt>
                <c:pt idx="9">
                  <c:v>2.6999999999999997</c:v>
                </c:pt>
                <c:pt idx="10">
                  <c:v>2.9999999999999996</c:v>
                </c:pt>
                <c:pt idx="11">
                  <c:v>3.2999999999999994</c:v>
                </c:pt>
                <c:pt idx="12">
                  <c:v>3.5999999999999992</c:v>
                </c:pt>
                <c:pt idx="13">
                  <c:v>3.899999999999999</c:v>
                </c:pt>
                <c:pt idx="14">
                  <c:v>4.1999999999999993</c:v>
                </c:pt>
                <c:pt idx="15">
                  <c:v>4.4999999999999991</c:v>
                </c:pt>
                <c:pt idx="16">
                  <c:v>4.7999999999999989</c:v>
                </c:pt>
                <c:pt idx="17">
                  <c:v>5.0999999999999988</c:v>
                </c:pt>
                <c:pt idx="18">
                  <c:v>5.3999999999999986</c:v>
                </c:pt>
                <c:pt idx="19">
                  <c:v>5.6999999999999984</c:v>
                </c:pt>
                <c:pt idx="20">
                  <c:v>5.9999999999999982</c:v>
                </c:pt>
                <c:pt idx="21">
                  <c:v>6.299999999999998</c:v>
                </c:pt>
                <c:pt idx="22">
                  <c:v>6.5999999999999979</c:v>
                </c:pt>
                <c:pt idx="23">
                  <c:v>6.8999999999999977</c:v>
                </c:pt>
                <c:pt idx="24">
                  <c:v>7.1999999999999975</c:v>
                </c:pt>
                <c:pt idx="25">
                  <c:v>7.4999999999999973</c:v>
                </c:pt>
                <c:pt idx="26">
                  <c:v>7.7999999999999972</c:v>
                </c:pt>
                <c:pt idx="27">
                  <c:v>8.0999999999999979</c:v>
                </c:pt>
                <c:pt idx="28">
                  <c:v>8.3999999999999986</c:v>
                </c:pt>
                <c:pt idx="29">
                  <c:v>8.6999999999999993</c:v>
                </c:pt>
                <c:pt idx="30">
                  <c:v>9</c:v>
                </c:pt>
                <c:pt idx="31">
                  <c:v>9.3000000000000007</c:v>
                </c:pt>
                <c:pt idx="32">
                  <c:v>9.6000000000000014</c:v>
                </c:pt>
                <c:pt idx="33">
                  <c:v>9.9000000000000021</c:v>
                </c:pt>
                <c:pt idx="34">
                  <c:v>10.200000000000003</c:v>
                </c:pt>
                <c:pt idx="35">
                  <c:v>10.500000000000004</c:v>
                </c:pt>
                <c:pt idx="36">
                  <c:v>10.800000000000004</c:v>
                </c:pt>
                <c:pt idx="37">
                  <c:v>11.100000000000005</c:v>
                </c:pt>
                <c:pt idx="38">
                  <c:v>11.400000000000006</c:v>
                </c:pt>
                <c:pt idx="39">
                  <c:v>11.700000000000006</c:v>
                </c:pt>
                <c:pt idx="40">
                  <c:v>12.000000000000007</c:v>
                </c:pt>
                <c:pt idx="41">
                  <c:v>12.300000000000008</c:v>
                </c:pt>
                <c:pt idx="42">
                  <c:v>12.600000000000009</c:v>
                </c:pt>
                <c:pt idx="43">
                  <c:v>12.900000000000009</c:v>
                </c:pt>
                <c:pt idx="44">
                  <c:v>13.20000000000001</c:v>
                </c:pt>
                <c:pt idx="45">
                  <c:v>13.500000000000011</c:v>
                </c:pt>
                <c:pt idx="46">
                  <c:v>13.800000000000011</c:v>
                </c:pt>
                <c:pt idx="47">
                  <c:v>14.100000000000012</c:v>
                </c:pt>
                <c:pt idx="48">
                  <c:v>14.400000000000013</c:v>
                </c:pt>
                <c:pt idx="49">
                  <c:v>14.700000000000014</c:v>
                </c:pt>
                <c:pt idx="50">
                  <c:v>15.000000000000014</c:v>
                </c:pt>
                <c:pt idx="51">
                  <c:v>15.300000000000015</c:v>
                </c:pt>
                <c:pt idx="52">
                  <c:v>15.600000000000016</c:v>
                </c:pt>
                <c:pt idx="53">
                  <c:v>15.900000000000016</c:v>
                </c:pt>
                <c:pt idx="54">
                  <c:v>16.200000000000017</c:v>
                </c:pt>
                <c:pt idx="55">
                  <c:v>16.500000000000018</c:v>
                </c:pt>
                <c:pt idx="56">
                  <c:v>16.800000000000018</c:v>
                </c:pt>
                <c:pt idx="57">
                  <c:v>17.100000000000019</c:v>
                </c:pt>
                <c:pt idx="58">
                  <c:v>17.40000000000002</c:v>
                </c:pt>
                <c:pt idx="59">
                  <c:v>17.700000000000021</c:v>
                </c:pt>
                <c:pt idx="60">
                  <c:v>18.000000000000021</c:v>
                </c:pt>
                <c:pt idx="61">
                  <c:v>18.300000000000022</c:v>
                </c:pt>
                <c:pt idx="62">
                  <c:v>18.600000000000023</c:v>
                </c:pt>
                <c:pt idx="63">
                  <c:v>18.900000000000023</c:v>
                </c:pt>
                <c:pt idx="64">
                  <c:v>19.200000000000024</c:v>
                </c:pt>
                <c:pt idx="65">
                  <c:v>19.500000000000025</c:v>
                </c:pt>
                <c:pt idx="66">
                  <c:v>19.800000000000026</c:v>
                </c:pt>
                <c:pt idx="67">
                  <c:v>20.100000000000026</c:v>
                </c:pt>
                <c:pt idx="68">
                  <c:v>20.400000000000027</c:v>
                </c:pt>
                <c:pt idx="69">
                  <c:v>20.700000000000028</c:v>
                </c:pt>
                <c:pt idx="70">
                  <c:v>21.000000000000028</c:v>
                </c:pt>
                <c:pt idx="71">
                  <c:v>21.300000000000029</c:v>
                </c:pt>
                <c:pt idx="72">
                  <c:v>21.60000000000003</c:v>
                </c:pt>
                <c:pt idx="73">
                  <c:v>21.900000000000031</c:v>
                </c:pt>
                <c:pt idx="74">
                  <c:v>22.200000000000031</c:v>
                </c:pt>
                <c:pt idx="75">
                  <c:v>22.500000000000032</c:v>
                </c:pt>
                <c:pt idx="76">
                  <c:v>22.800000000000033</c:v>
                </c:pt>
                <c:pt idx="77">
                  <c:v>23.100000000000033</c:v>
                </c:pt>
                <c:pt idx="78">
                  <c:v>23.400000000000034</c:v>
                </c:pt>
                <c:pt idx="79">
                  <c:v>23.700000000000035</c:v>
                </c:pt>
                <c:pt idx="80">
                  <c:v>24.000000000000036</c:v>
                </c:pt>
                <c:pt idx="81">
                  <c:v>24.300000000000036</c:v>
                </c:pt>
                <c:pt idx="82">
                  <c:v>24.600000000000037</c:v>
                </c:pt>
                <c:pt idx="83">
                  <c:v>24.900000000000038</c:v>
                </c:pt>
                <c:pt idx="84">
                  <c:v>25.200000000000038</c:v>
                </c:pt>
                <c:pt idx="85">
                  <c:v>25.500000000000039</c:v>
                </c:pt>
                <c:pt idx="86">
                  <c:v>25.80000000000004</c:v>
                </c:pt>
                <c:pt idx="87">
                  <c:v>26.100000000000041</c:v>
                </c:pt>
                <c:pt idx="88">
                  <c:v>26.400000000000041</c:v>
                </c:pt>
                <c:pt idx="89">
                  <c:v>26.700000000000042</c:v>
                </c:pt>
                <c:pt idx="90">
                  <c:v>27.000000000000043</c:v>
                </c:pt>
                <c:pt idx="91">
                  <c:v>27.300000000000043</c:v>
                </c:pt>
                <c:pt idx="92">
                  <c:v>27.600000000000044</c:v>
                </c:pt>
                <c:pt idx="93">
                  <c:v>27.900000000000045</c:v>
                </c:pt>
                <c:pt idx="94">
                  <c:v>28.200000000000045</c:v>
                </c:pt>
                <c:pt idx="95">
                  <c:v>28.500000000000046</c:v>
                </c:pt>
                <c:pt idx="96">
                  <c:v>28.800000000000047</c:v>
                </c:pt>
                <c:pt idx="97">
                  <c:v>29.100000000000048</c:v>
                </c:pt>
                <c:pt idx="98">
                  <c:v>29.400000000000048</c:v>
                </c:pt>
                <c:pt idx="99">
                  <c:v>29.700000000000049</c:v>
                </c:pt>
                <c:pt idx="100">
                  <c:v>30</c:v>
                </c:pt>
              </c:numCache>
            </c:numRef>
          </c:cat>
          <c:val>
            <c:numRef>
              <c:f>'Bullish Strategy Builder'!$AT$3:$AT$103</c:f>
              <c:numCache>
                <c:formatCode>_(* #,##0_);_(* \(#,##0\);_(* "-"??_);_(@_)</c:formatCode>
                <c:ptCount val="101"/>
                <c:pt idx="0">
                  <c:v>-4758.7999999999993</c:v>
                </c:pt>
                <c:pt idx="1">
                  <c:v>-4722.7999999999993</c:v>
                </c:pt>
                <c:pt idx="2">
                  <c:v>-4686.7999999999993</c:v>
                </c:pt>
                <c:pt idx="3">
                  <c:v>-4650.8</c:v>
                </c:pt>
                <c:pt idx="4">
                  <c:v>-4614.7999999999993</c:v>
                </c:pt>
                <c:pt idx="5">
                  <c:v>-4578.7999999999993</c:v>
                </c:pt>
                <c:pt idx="6">
                  <c:v>-4542.7999999999993</c:v>
                </c:pt>
                <c:pt idx="7">
                  <c:v>-4506.7999999999993</c:v>
                </c:pt>
                <c:pt idx="8">
                  <c:v>-4470.8</c:v>
                </c:pt>
                <c:pt idx="9">
                  <c:v>-4434.7999999999993</c:v>
                </c:pt>
                <c:pt idx="10">
                  <c:v>-4398.7999999999993</c:v>
                </c:pt>
                <c:pt idx="11">
                  <c:v>-4362.7999999999993</c:v>
                </c:pt>
                <c:pt idx="12">
                  <c:v>-4326.8</c:v>
                </c:pt>
                <c:pt idx="13">
                  <c:v>-4290.8</c:v>
                </c:pt>
                <c:pt idx="14">
                  <c:v>-4254.7999999999993</c:v>
                </c:pt>
                <c:pt idx="15">
                  <c:v>-4218.7999999999993</c:v>
                </c:pt>
                <c:pt idx="16">
                  <c:v>-4182.7999999999993</c:v>
                </c:pt>
                <c:pt idx="17">
                  <c:v>-4146.8</c:v>
                </c:pt>
                <c:pt idx="18">
                  <c:v>-4110.8</c:v>
                </c:pt>
                <c:pt idx="19">
                  <c:v>-4074.7999999999997</c:v>
                </c:pt>
                <c:pt idx="20">
                  <c:v>-4038.8</c:v>
                </c:pt>
                <c:pt idx="21">
                  <c:v>-4002.8</c:v>
                </c:pt>
                <c:pt idx="22">
                  <c:v>-3966.8</c:v>
                </c:pt>
                <c:pt idx="23">
                  <c:v>-3930.8</c:v>
                </c:pt>
                <c:pt idx="24">
                  <c:v>-3894.8</c:v>
                </c:pt>
                <c:pt idx="25">
                  <c:v>-3858.8</c:v>
                </c:pt>
                <c:pt idx="26">
                  <c:v>-3822.8</c:v>
                </c:pt>
                <c:pt idx="27">
                  <c:v>-3786.8</c:v>
                </c:pt>
                <c:pt idx="28">
                  <c:v>-3750.8</c:v>
                </c:pt>
                <c:pt idx="29">
                  <c:v>-3714.8</c:v>
                </c:pt>
                <c:pt idx="30">
                  <c:v>-3678.7999999999997</c:v>
                </c:pt>
                <c:pt idx="31">
                  <c:v>-3642.7999999999997</c:v>
                </c:pt>
                <c:pt idx="32">
                  <c:v>-3606.7999999999997</c:v>
                </c:pt>
                <c:pt idx="33">
                  <c:v>-3570.7999999999993</c:v>
                </c:pt>
                <c:pt idx="34">
                  <c:v>-3534.7999999999993</c:v>
                </c:pt>
                <c:pt idx="35">
                  <c:v>-3498.7999999999993</c:v>
                </c:pt>
                <c:pt idx="36">
                  <c:v>-3462.7999999999993</c:v>
                </c:pt>
                <c:pt idx="37">
                  <c:v>-3426.7999999999993</c:v>
                </c:pt>
                <c:pt idx="38">
                  <c:v>-3390.7999999999993</c:v>
                </c:pt>
                <c:pt idx="39">
                  <c:v>-3354.7999999999993</c:v>
                </c:pt>
                <c:pt idx="40">
                  <c:v>-3318.7999999999993</c:v>
                </c:pt>
                <c:pt idx="41">
                  <c:v>-3282.7999999999988</c:v>
                </c:pt>
                <c:pt idx="42">
                  <c:v>-3246.7999999999988</c:v>
                </c:pt>
                <c:pt idx="43">
                  <c:v>-3210.7999999999988</c:v>
                </c:pt>
                <c:pt idx="44">
                  <c:v>-3174.7999999999984</c:v>
                </c:pt>
                <c:pt idx="45">
                  <c:v>-3138.7999999999984</c:v>
                </c:pt>
                <c:pt idx="46">
                  <c:v>-3102.7999999999984</c:v>
                </c:pt>
                <c:pt idx="47">
                  <c:v>-3046.7999999999961</c:v>
                </c:pt>
                <c:pt idx="48">
                  <c:v>-2950.7999999999961</c:v>
                </c:pt>
                <c:pt idx="49">
                  <c:v>-2854.7999999999956</c:v>
                </c:pt>
                <c:pt idx="50">
                  <c:v>-2758.7999999999952</c:v>
                </c:pt>
                <c:pt idx="51">
                  <c:v>-2662.7999999999952</c:v>
                </c:pt>
                <c:pt idx="52">
                  <c:v>-2566.7999999999952</c:v>
                </c:pt>
                <c:pt idx="53">
                  <c:v>-2470.7999999999947</c:v>
                </c:pt>
                <c:pt idx="54">
                  <c:v>-2374.7999999999947</c:v>
                </c:pt>
                <c:pt idx="55">
                  <c:v>-2278.7999999999943</c:v>
                </c:pt>
                <c:pt idx="56">
                  <c:v>-2182.7999999999938</c:v>
                </c:pt>
                <c:pt idx="57">
                  <c:v>-2086.7999999999938</c:v>
                </c:pt>
                <c:pt idx="58">
                  <c:v>-1990.7999999999934</c:v>
                </c:pt>
                <c:pt idx="59">
                  <c:v>-1894.7999999999931</c:v>
                </c:pt>
                <c:pt idx="60">
                  <c:v>-1798.7999999999929</c:v>
                </c:pt>
                <c:pt idx="61">
                  <c:v>-1702.7999999999927</c:v>
                </c:pt>
                <c:pt idx="62">
                  <c:v>-1606.7999999999925</c:v>
                </c:pt>
                <c:pt idx="63">
                  <c:v>-1510.7999999999922</c:v>
                </c:pt>
                <c:pt idx="64">
                  <c:v>-1414.799999999992</c:v>
                </c:pt>
                <c:pt idx="65">
                  <c:v>-1318.7999999999918</c:v>
                </c:pt>
                <c:pt idx="66">
                  <c:v>-1222.7999999999915</c:v>
                </c:pt>
                <c:pt idx="67">
                  <c:v>-1126.7999999999913</c:v>
                </c:pt>
                <c:pt idx="68">
                  <c:v>-1030.7999999999911</c:v>
                </c:pt>
                <c:pt idx="69">
                  <c:v>-934.79999999999097</c:v>
                </c:pt>
                <c:pt idx="70">
                  <c:v>-838.79999999999075</c:v>
                </c:pt>
                <c:pt idx="71">
                  <c:v>-742.79999999999052</c:v>
                </c:pt>
                <c:pt idx="72">
                  <c:v>-646.79999999999029</c:v>
                </c:pt>
                <c:pt idx="73">
                  <c:v>-550.79999999999006</c:v>
                </c:pt>
                <c:pt idx="74">
                  <c:v>-454.79999999998984</c:v>
                </c:pt>
                <c:pt idx="75">
                  <c:v>-358.79999999998961</c:v>
                </c:pt>
                <c:pt idx="76">
                  <c:v>-262.79999999998938</c:v>
                </c:pt>
                <c:pt idx="77">
                  <c:v>-166.79999999998913</c:v>
                </c:pt>
                <c:pt idx="78">
                  <c:v>-70.799999999988898</c:v>
                </c:pt>
                <c:pt idx="79">
                  <c:v>25.200000000011329</c:v>
                </c:pt>
                <c:pt idx="80">
                  <c:v>121.20000000001156</c:v>
                </c:pt>
                <c:pt idx="81">
                  <c:v>217.20000000001178</c:v>
                </c:pt>
                <c:pt idx="82">
                  <c:v>313.20000000001198</c:v>
                </c:pt>
                <c:pt idx="83">
                  <c:v>409.20000000001221</c:v>
                </c:pt>
                <c:pt idx="84">
                  <c:v>505.20000000001244</c:v>
                </c:pt>
                <c:pt idx="85">
                  <c:v>601.20000000001266</c:v>
                </c:pt>
                <c:pt idx="86">
                  <c:v>697.20000000001289</c:v>
                </c:pt>
                <c:pt idx="87">
                  <c:v>793.20000000001312</c:v>
                </c:pt>
                <c:pt idx="88">
                  <c:v>889.20000000001335</c:v>
                </c:pt>
                <c:pt idx="89">
                  <c:v>985.20000000001357</c:v>
                </c:pt>
                <c:pt idx="90">
                  <c:v>1081.2000000000139</c:v>
                </c:pt>
                <c:pt idx="91">
                  <c:v>1177.2000000000141</c:v>
                </c:pt>
                <c:pt idx="92">
                  <c:v>1273.2000000000144</c:v>
                </c:pt>
                <c:pt idx="93">
                  <c:v>1369.2000000000146</c:v>
                </c:pt>
                <c:pt idx="94">
                  <c:v>1465.2000000000146</c:v>
                </c:pt>
                <c:pt idx="95">
                  <c:v>1561.2000000000151</c:v>
                </c:pt>
                <c:pt idx="96">
                  <c:v>1657.2000000000155</c:v>
                </c:pt>
                <c:pt idx="97">
                  <c:v>1753.2000000000155</c:v>
                </c:pt>
                <c:pt idx="98">
                  <c:v>1849.200000000016</c:v>
                </c:pt>
                <c:pt idx="99">
                  <c:v>1945.200000000016</c:v>
                </c:pt>
                <c:pt idx="100">
                  <c:v>2041.2</c:v>
                </c:pt>
              </c:numCache>
            </c:numRef>
          </c:val>
          <c:smooth val="0"/>
          <c:extLst>
            <c:ext xmlns:c16="http://schemas.microsoft.com/office/drawing/2014/chart" uri="{C3380CC4-5D6E-409C-BE32-E72D297353CC}">
              <c16:uniqueId val="{00000004-4BE8-4354-A08D-069329F2860C}"/>
            </c:ext>
          </c:extLst>
        </c:ser>
        <c:dLbls>
          <c:showLegendKey val="0"/>
          <c:showVal val="0"/>
          <c:showCatName val="0"/>
          <c:showSerName val="0"/>
          <c:showPercent val="0"/>
          <c:showBubbleSize val="0"/>
        </c:dLbls>
        <c:marker val="1"/>
        <c:smooth val="0"/>
        <c:axId val="1059440136"/>
        <c:axId val="1059437512"/>
      </c:lineChart>
      <c:scatterChart>
        <c:scatterStyle val="lineMarker"/>
        <c:varyColors val="0"/>
        <c:ser>
          <c:idx val="5"/>
          <c:order val="5"/>
          <c:tx>
            <c:v>Position Value at Present Price</c:v>
          </c:tx>
          <c:spPr>
            <a:ln w="25400" cap="rnd">
              <a:noFill/>
              <a:round/>
            </a:ln>
            <a:effectLst/>
          </c:spPr>
          <c:marker>
            <c:symbol val="circle"/>
            <c:size val="10"/>
            <c:spPr>
              <a:solidFill>
                <a:schemeClr val="bg1"/>
              </a:solidFill>
              <a:ln w="9525">
                <a:solidFill>
                  <a:schemeClr val="tx1"/>
                </a:solidFill>
              </a:ln>
              <a:effectLst/>
            </c:spPr>
          </c:marker>
          <c:dLbls>
            <c:dLbl>
              <c:idx val="100"/>
              <c:layout>
                <c:manualLayout>
                  <c:x val="0"/>
                  <c:y val="-2.63024785027819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A23-40F4-90AD-EA184F5D20FE}"/>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yVal>
            <c:numRef>
              <c:f>'Bullish Strategy Builder'!$AU$3:$AU$103</c:f>
              <c:numCache>
                <c:formatCode>_(* #,##0_);_(* \(#,##0\);_(* "-"??_);_(@_)</c:formatCode>
                <c:ptCount val="10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2041.2</c:v>
                </c:pt>
              </c:numCache>
            </c:numRef>
          </c:yVal>
          <c:smooth val="0"/>
          <c:extLst>
            <c:ext xmlns:c16="http://schemas.microsoft.com/office/drawing/2014/chart" uri="{C3380CC4-5D6E-409C-BE32-E72D297353CC}">
              <c16:uniqueId val="{00000000-CAD7-4A20-BED5-55EE16A28728}"/>
            </c:ext>
          </c:extLst>
        </c:ser>
        <c:dLbls>
          <c:showLegendKey val="0"/>
          <c:showVal val="0"/>
          <c:showCatName val="0"/>
          <c:showSerName val="0"/>
          <c:showPercent val="0"/>
          <c:showBubbleSize val="0"/>
        </c:dLbls>
        <c:axId val="1059440136"/>
        <c:axId val="1059437512"/>
      </c:scatterChart>
      <c:catAx>
        <c:axId val="1059440136"/>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Narrow" panose="020B0606020202030204" pitchFamily="34" charset="0"/>
                    <a:ea typeface="+mn-ea"/>
                    <a:cs typeface="+mn-cs"/>
                  </a:defRPr>
                </a:pPr>
                <a:r>
                  <a:rPr lang="en-US"/>
                  <a:t>Stock Price</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_(* #,##0.00_);_(* \(#,##0.00\);_(* &quot;-&quot;??_);_(@_)"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Narrow" panose="020B0606020202030204" pitchFamily="34" charset="0"/>
                <a:ea typeface="+mn-ea"/>
                <a:cs typeface="+mn-cs"/>
              </a:defRPr>
            </a:pPr>
            <a:endParaRPr lang="en-US"/>
          </a:p>
        </c:txPr>
        <c:crossAx val="1059437512"/>
        <c:crosses val="autoZero"/>
        <c:auto val="1"/>
        <c:lblAlgn val="ctr"/>
        <c:lblOffset val="100"/>
        <c:tickLblSkip val="1"/>
        <c:noMultiLvlLbl val="0"/>
      </c:catAx>
      <c:valAx>
        <c:axId val="1059437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Narrow" panose="020B0606020202030204" pitchFamily="34" charset="0"/>
                    <a:ea typeface="+mn-ea"/>
                    <a:cs typeface="+mn-cs"/>
                  </a:defRPr>
                </a:pPr>
                <a:r>
                  <a:rPr lang="en-US"/>
                  <a:t>Position Value</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Narrow" panose="020B0606020202030204" pitchFamily="34" charset="0"/>
                <a:ea typeface="+mn-ea"/>
                <a:cs typeface="+mn-cs"/>
              </a:defRPr>
            </a:pPr>
            <a:endParaRPr lang="en-US"/>
          </a:p>
        </c:txPr>
        <c:crossAx val="105944013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latin typeface="Arial Narrow" panose="020B060602020203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r>
              <a:rPr lang="en-US"/>
              <a:t>Unlevered P&amp;L vs Structure P&amp;L</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lineChart>
        <c:grouping val="standard"/>
        <c:varyColors val="0"/>
        <c:ser>
          <c:idx val="2"/>
          <c:order val="0"/>
          <c:tx>
            <c:strRef>
              <c:f>'Bullish Strategy Builder'!$R$2</c:f>
              <c:strCache>
                <c:ptCount val="1"/>
                <c:pt idx="0">
                  <c:v>Fully Unlevered Allocation</c:v>
                </c:pt>
              </c:strCache>
            </c:strRef>
          </c:tx>
          <c:spPr>
            <a:ln w="28575" cap="rnd">
              <a:solidFill>
                <a:srgbClr val="575A5D"/>
              </a:solidFill>
              <a:round/>
            </a:ln>
            <a:effectLst/>
          </c:spPr>
          <c:marker>
            <c:symbol val="none"/>
          </c:marker>
          <c:dLbls>
            <c:dLbl>
              <c:idx val="100"/>
              <c:layout>
                <c:manualLayout>
                  <c:x val="-5.570060861467367E-3"/>
                  <c:y val="-1.718799333879684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575A5D"/>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D58-4088-A198-29121244BD15}"/>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'Bullish Strategy Builder'!$N$3:$N$103</c:f>
              <c:numCache>
                <c:formatCode>_(* #,##0.00_);_(* \(#,##0.00\);_(* "-"??_);_(@_)</c:formatCode>
                <c:ptCount val="101"/>
                <c:pt idx="0">
                  <c:v>0</c:v>
                </c:pt>
                <c:pt idx="1">
                  <c:v>0.3</c:v>
                </c:pt>
                <c:pt idx="2">
                  <c:v>0.6</c:v>
                </c:pt>
                <c:pt idx="3">
                  <c:v>0.89999999999999991</c:v>
                </c:pt>
                <c:pt idx="4">
                  <c:v>1.2</c:v>
                </c:pt>
                <c:pt idx="5">
                  <c:v>1.5</c:v>
                </c:pt>
                <c:pt idx="6">
                  <c:v>1.8</c:v>
                </c:pt>
                <c:pt idx="7">
                  <c:v>2.1</c:v>
                </c:pt>
                <c:pt idx="8">
                  <c:v>2.4</c:v>
                </c:pt>
                <c:pt idx="9">
                  <c:v>2.6999999999999997</c:v>
                </c:pt>
                <c:pt idx="10">
                  <c:v>2.9999999999999996</c:v>
                </c:pt>
                <c:pt idx="11">
                  <c:v>3.2999999999999994</c:v>
                </c:pt>
                <c:pt idx="12">
                  <c:v>3.5999999999999992</c:v>
                </c:pt>
                <c:pt idx="13">
                  <c:v>3.899999999999999</c:v>
                </c:pt>
                <c:pt idx="14">
                  <c:v>4.1999999999999993</c:v>
                </c:pt>
                <c:pt idx="15">
                  <c:v>4.4999999999999991</c:v>
                </c:pt>
                <c:pt idx="16">
                  <c:v>4.7999999999999989</c:v>
                </c:pt>
                <c:pt idx="17">
                  <c:v>5.0999999999999988</c:v>
                </c:pt>
                <c:pt idx="18">
                  <c:v>5.3999999999999986</c:v>
                </c:pt>
                <c:pt idx="19">
                  <c:v>5.6999999999999984</c:v>
                </c:pt>
                <c:pt idx="20">
                  <c:v>5.9999999999999982</c:v>
                </c:pt>
                <c:pt idx="21">
                  <c:v>6.299999999999998</c:v>
                </c:pt>
                <c:pt idx="22">
                  <c:v>6.5999999999999979</c:v>
                </c:pt>
                <c:pt idx="23">
                  <c:v>6.8999999999999977</c:v>
                </c:pt>
                <c:pt idx="24">
                  <c:v>7.1999999999999975</c:v>
                </c:pt>
                <c:pt idx="25">
                  <c:v>7.4999999999999973</c:v>
                </c:pt>
                <c:pt idx="26">
                  <c:v>7.7999999999999972</c:v>
                </c:pt>
                <c:pt idx="27">
                  <c:v>8.0999999999999979</c:v>
                </c:pt>
                <c:pt idx="28">
                  <c:v>8.3999999999999986</c:v>
                </c:pt>
                <c:pt idx="29">
                  <c:v>8.6999999999999993</c:v>
                </c:pt>
                <c:pt idx="30">
                  <c:v>9</c:v>
                </c:pt>
                <c:pt idx="31">
                  <c:v>9.3000000000000007</c:v>
                </c:pt>
                <c:pt idx="32">
                  <c:v>9.6000000000000014</c:v>
                </c:pt>
                <c:pt idx="33">
                  <c:v>9.9000000000000021</c:v>
                </c:pt>
                <c:pt idx="34">
                  <c:v>10.200000000000003</c:v>
                </c:pt>
                <c:pt idx="35">
                  <c:v>10.500000000000004</c:v>
                </c:pt>
                <c:pt idx="36">
                  <c:v>10.800000000000004</c:v>
                </c:pt>
                <c:pt idx="37">
                  <c:v>11.100000000000005</c:v>
                </c:pt>
                <c:pt idx="38">
                  <c:v>11.400000000000006</c:v>
                </c:pt>
                <c:pt idx="39">
                  <c:v>11.700000000000006</c:v>
                </c:pt>
                <c:pt idx="40">
                  <c:v>12.000000000000007</c:v>
                </c:pt>
                <c:pt idx="41">
                  <c:v>12.300000000000008</c:v>
                </c:pt>
                <c:pt idx="42">
                  <c:v>12.600000000000009</c:v>
                </c:pt>
                <c:pt idx="43">
                  <c:v>12.900000000000009</c:v>
                </c:pt>
                <c:pt idx="44">
                  <c:v>13.20000000000001</c:v>
                </c:pt>
                <c:pt idx="45">
                  <c:v>13.500000000000011</c:v>
                </c:pt>
                <c:pt idx="46">
                  <c:v>13.800000000000011</c:v>
                </c:pt>
                <c:pt idx="47">
                  <c:v>14.100000000000012</c:v>
                </c:pt>
                <c:pt idx="48">
                  <c:v>14.400000000000013</c:v>
                </c:pt>
                <c:pt idx="49">
                  <c:v>14.700000000000014</c:v>
                </c:pt>
                <c:pt idx="50">
                  <c:v>15.000000000000014</c:v>
                </c:pt>
                <c:pt idx="51">
                  <c:v>15.300000000000015</c:v>
                </c:pt>
                <c:pt idx="52">
                  <c:v>15.600000000000016</c:v>
                </c:pt>
                <c:pt idx="53">
                  <c:v>15.900000000000016</c:v>
                </c:pt>
                <c:pt idx="54">
                  <c:v>16.200000000000017</c:v>
                </c:pt>
                <c:pt idx="55">
                  <c:v>16.500000000000018</c:v>
                </c:pt>
                <c:pt idx="56">
                  <c:v>16.800000000000018</c:v>
                </c:pt>
                <c:pt idx="57">
                  <c:v>17.100000000000019</c:v>
                </c:pt>
                <c:pt idx="58">
                  <c:v>17.40000000000002</c:v>
                </c:pt>
                <c:pt idx="59">
                  <c:v>17.700000000000021</c:v>
                </c:pt>
                <c:pt idx="60">
                  <c:v>18.000000000000021</c:v>
                </c:pt>
                <c:pt idx="61">
                  <c:v>18.300000000000022</c:v>
                </c:pt>
                <c:pt idx="62">
                  <c:v>18.600000000000023</c:v>
                </c:pt>
                <c:pt idx="63">
                  <c:v>18.900000000000023</c:v>
                </c:pt>
                <c:pt idx="64">
                  <c:v>19.200000000000024</c:v>
                </c:pt>
                <c:pt idx="65">
                  <c:v>19.500000000000025</c:v>
                </c:pt>
                <c:pt idx="66">
                  <c:v>19.800000000000026</c:v>
                </c:pt>
                <c:pt idx="67">
                  <c:v>20.100000000000026</c:v>
                </c:pt>
                <c:pt idx="68">
                  <c:v>20.400000000000027</c:v>
                </c:pt>
                <c:pt idx="69">
                  <c:v>20.700000000000028</c:v>
                </c:pt>
                <c:pt idx="70">
                  <c:v>21.000000000000028</c:v>
                </c:pt>
                <c:pt idx="71">
                  <c:v>21.300000000000029</c:v>
                </c:pt>
                <c:pt idx="72">
                  <c:v>21.60000000000003</c:v>
                </c:pt>
                <c:pt idx="73">
                  <c:v>21.900000000000031</c:v>
                </c:pt>
                <c:pt idx="74">
                  <c:v>22.200000000000031</c:v>
                </c:pt>
                <c:pt idx="75">
                  <c:v>22.500000000000032</c:v>
                </c:pt>
                <c:pt idx="76">
                  <c:v>22.800000000000033</c:v>
                </c:pt>
                <c:pt idx="77">
                  <c:v>23.100000000000033</c:v>
                </c:pt>
                <c:pt idx="78">
                  <c:v>23.400000000000034</c:v>
                </c:pt>
                <c:pt idx="79">
                  <c:v>23.700000000000035</c:v>
                </c:pt>
                <c:pt idx="80">
                  <c:v>24.000000000000036</c:v>
                </c:pt>
                <c:pt idx="81">
                  <c:v>24.300000000000036</c:v>
                </c:pt>
                <c:pt idx="82">
                  <c:v>24.600000000000037</c:v>
                </c:pt>
                <c:pt idx="83">
                  <c:v>24.900000000000038</c:v>
                </c:pt>
                <c:pt idx="84">
                  <c:v>25.200000000000038</c:v>
                </c:pt>
                <c:pt idx="85">
                  <c:v>25.500000000000039</c:v>
                </c:pt>
                <c:pt idx="86">
                  <c:v>25.80000000000004</c:v>
                </c:pt>
                <c:pt idx="87">
                  <c:v>26.100000000000041</c:v>
                </c:pt>
                <c:pt idx="88">
                  <c:v>26.400000000000041</c:v>
                </c:pt>
                <c:pt idx="89">
                  <c:v>26.700000000000042</c:v>
                </c:pt>
                <c:pt idx="90">
                  <c:v>27.000000000000043</c:v>
                </c:pt>
                <c:pt idx="91">
                  <c:v>27.300000000000043</c:v>
                </c:pt>
                <c:pt idx="92">
                  <c:v>27.600000000000044</c:v>
                </c:pt>
                <c:pt idx="93">
                  <c:v>27.900000000000045</c:v>
                </c:pt>
                <c:pt idx="94">
                  <c:v>28.200000000000045</c:v>
                </c:pt>
                <c:pt idx="95">
                  <c:v>28.500000000000046</c:v>
                </c:pt>
                <c:pt idx="96">
                  <c:v>28.800000000000047</c:v>
                </c:pt>
                <c:pt idx="97">
                  <c:v>29.100000000000048</c:v>
                </c:pt>
                <c:pt idx="98">
                  <c:v>29.400000000000048</c:v>
                </c:pt>
                <c:pt idx="99">
                  <c:v>29.700000000000049</c:v>
                </c:pt>
                <c:pt idx="100">
                  <c:v>30</c:v>
                </c:pt>
              </c:numCache>
            </c:numRef>
          </c:cat>
          <c:val>
            <c:numRef>
              <c:f>'Bullish Strategy Builder'!$R$3:$R$103</c:f>
              <c:numCache>
                <c:formatCode>_(* #,##0_);_(* \(#,##0\);_(* "-"??_);_(@_)</c:formatCode>
                <c:ptCount val="101"/>
                <c:pt idx="0">
                  <c:v>-4988.83</c:v>
                </c:pt>
                <c:pt idx="1">
                  <c:v>-4923.7299999999996</c:v>
                </c:pt>
                <c:pt idx="2">
                  <c:v>-4858.6299999999992</c:v>
                </c:pt>
                <c:pt idx="3">
                  <c:v>-4793.53</c:v>
                </c:pt>
                <c:pt idx="4">
                  <c:v>-4728.4299999999994</c:v>
                </c:pt>
                <c:pt idx="5">
                  <c:v>-4663.33</c:v>
                </c:pt>
                <c:pt idx="6">
                  <c:v>-4598.2299999999996</c:v>
                </c:pt>
                <c:pt idx="7">
                  <c:v>-4533.1299999999992</c:v>
                </c:pt>
                <c:pt idx="8">
                  <c:v>-4468.03</c:v>
                </c:pt>
                <c:pt idx="9">
                  <c:v>-4402.9299999999994</c:v>
                </c:pt>
                <c:pt idx="10">
                  <c:v>-4337.83</c:v>
                </c:pt>
                <c:pt idx="11">
                  <c:v>-4272.7299999999996</c:v>
                </c:pt>
                <c:pt idx="12">
                  <c:v>-4207.63</c:v>
                </c:pt>
                <c:pt idx="13">
                  <c:v>-4142.53</c:v>
                </c:pt>
                <c:pt idx="14">
                  <c:v>-4077.43</c:v>
                </c:pt>
                <c:pt idx="15">
                  <c:v>-4012.3299999999995</c:v>
                </c:pt>
                <c:pt idx="16">
                  <c:v>-3947.2299999999996</c:v>
                </c:pt>
                <c:pt idx="17">
                  <c:v>-3882.13</c:v>
                </c:pt>
                <c:pt idx="18">
                  <c:v>-3817.0299999999997</c:v>
                </c:pt>
                <c:pt idx="19">
                  <c:v>-3751.93</c:v>
                </c:pt>
                <c:pt idx="20">
                  <c:v>-3686.8300000000004</c:v>
                </c:pt>
                <c:pt idx="21">
                  <c:v>-3621.7300000000005</c:v>
                </c:pt>
                <c:pt idx="22">
                  <c:v>-3556.63</c:v>
                </c:pt>
                <c:pt idx="23">
                  <c:v>-3491.5299999999997</c:v>
                </c:pt>
                <c:pt idx="24">
                  <c:v>-3426.4300000000003</c:v>
                </c:pt>
                <c:pt idx="25">
                  <c:v>-3361.3300000000004</c:v>
                </c:pt>
                <c:pt idx="26">
                  <c:v>-3296.2300000000005</c:v>
                </c:pt>
                <c:pt idx="27">
                  <c:v>-3231.13</c:v>
                </c:pt>
                <c:pt idx="28">
                  <c:v>-3166.0299999999997</c:v>
                </c:pt>
                <c:pt idx="29">
                  <c:v>-3100.93</c:v>
                </c:pt>
                <c:pt idx="30">
                  <c:v>-3035.8299999999995</c:v>
                </c:pt>
                <c:pt idx="31">
                  <c:v>-2970.7299999999996</c:v>
                </c:pt>
                <c:pt idx="32">
                  <c:v>-2905.6299999999992</c:v>
                </c:pt>
                <c:pt idx="33">
                  <c:v>-2840.5299999999993</c:v>
                </c:pt>
                <c:pt idx="34">
                  <c:v>-2775.4299999999989</c:v>
                </c:pt>
                <c:pt idx="35">
                  <c:v>-2710.329999999999</c:v>
                </c:pt>
                <c:pt idx="36">
                  <c:v>-2645.2299999999987</c:v>
                </c:pt>
                <c:pt idx="37">
                  <c:v>-2580.1299999999987</c:v>
                </c:pt>
                <c:pt idx="38">
                  <c:v>-2515.0299999999984</c:v>
                </c:pt>
                <c:pt idx="39">
                  <c:v>-2449.9299999999985</c:v>
                </c:pt>
                <c:pt idx="40">
                  <c:v>-2384.8299999999981</c:v>
                </c:pt>
                <c:pt idx="41">
                  <c:v>-2319.7299999999977</c:v>
                </c:pt>
                <c:pt idx="42">
                  <c:v>-2254.6299999999978</c:v>
                </c:pt>
                <c:pt idx="43">
                  <c:v>-2189.5299999999975</c:v>
                </c:pt>
                <c:pt idx="44">
                  <c:v>-2124.4299999999976</c:v>
                </c:pt>
                <c:pt idx="45">
                  <c:v>-2059.3299999999972</c:v>
                </c:pt>
                <c:pt idx="46">
                  <c:v>-1994.2299999999973</c:v>
                </c:pt>
                <c:pt idx="47">
                  <c:v>-1929.1299999999969</c:v>
                </c:pt>
                <c:pt idx="48">
                  <c:v>-1864.0299999999968</c:v>
                </c:pt>
                <c:pt idx="49">
                  <c:v>-1798.9299999999967</c:v>
                </c:pt>
                <c:pt idx="50">
                  <c:v>-1733.8299999999965</c:v>
                </c:pt>
                <c:pt idx="51">
                  <c:v>-1668.7299999999964</c:v>
                </c:pt>
                <c:pt idx="52">
                  <c:v>-1603.6299999999962</c:v>
                </c:pt>
                <c:pt idx="53">
                  <c:v>-1538.5299999999961</c:v>
                </c:pt>
                <c:pt idx="54">
                  <c:v>-1473.429999999996</c:v>
                </c:pt>
                <c:pt idx="55">
                  <c:v>-1408.3299999999958</c:v>
                </c:pt>
                <c:pt idx="56">
                  <c:v>-1343.2299999999957</c:v>
                </c:pt>
                <c:pt idx="57">
                  <c:v>-1278.1299999999956</c:v>
                </c:pt>
                <c:pt idx="58">
                  <c:v>-1213.0299999999954</c:v>
                </c:pt>
                <c:pt idx="59">
                  <c:v>-1147.9299999999953</c:v>
                </c:pt>
                <c:pt idx="60">
                  <c:v>-1082.8299999999949</c:v>
                </c:pt>
                <c:pt idx="61">
                  <c:v>-1017.7299999999949</c:v>
                </c:pt>
                <c:pt idx="62">
                  <c:v>-952.62999999999477</c:v>
                </c:pt>
                <c:pt idx="63">
                  <c:v>-887.52999999999452</c:v>
                </c:pt>
                <c:pt idx="64">
                  <c:v>-822.42999999999438</c:v>
                </c:pt>
                <c:pt idx="65">
                  <c:v>-757.32999999999424</c:v>
                </c:pt>
                <c:pt idx="66">
                  <c:v>-692.22999999999411</c:v>
                </c:pt>
                <c:pt idx="67">
                  <c:v>-627.12999999999397</c:v>
                </c:pt>
                <c:pt idx="68">
                  <c:v>-562.02999999999383</c:v>
                </c:pt>
                <c:pt idx="69">
                  <c:v>-496.92999999999364</c:v>
                </c:pt>
                <c:pt idx="70">
                  <c:v>-431.8299999999935</c:v>
                </c:pt>
                <c:pt idx="71">
                  <c:v>-366.72999999999331</c:v>
                </c:pt>
                <c:pt idx="72">
                  <c:v>-301.62999999999317</c:v>
                </c:pt>
                <c:pt idx="73">
                  <c:v>-236.52999999999304</c:v>
                </c:pt>
                <c:pt idx="74">
                  <c:v>-171.42999999999287</c:v>
                </c:pt>
                <c:pt idx="75">
                  <c:v>-106.32999999999272</c:v>
                </c:pt>
                <c:pt idx="76">
                  <c:v>-41.229999999992572</c:v>
                </c:pt>
                <c:pt idx="77">
                  <c:v>23.870000000007586</c:v>
                </c:pt>
                <c:pt idx="78">
                  <c:v>88.970000000007744</c:v>
                </c:pt>
                <c:pt idx="79">
                  <c:v>154.07000000000789</c:v>
                </c:pt>
                <c:pt idx="80">
                  <c:v>219.17000000000806</c:v>
                </c:pt>
                <c:pt idx="81">
                  <c:v>284.27000000000822</c:v>
                </c:pt>
                <c:pt idx="82">
                  <c:v>349.37000000000836</c:v>
                </c:pt>
                <c:pt idx="83">
                  <c:v>414.4700000000085</c:v>
                </c:pt>
                <c:pt idx="84">
                  <c:v>479.57000000000869</c:v>
                </c:pt>
                <c:pt idx="85">
                  <c:v>544.67000000000883</c:v>
                </c:pt>
                <c:pt idx="86">
                  <c:v>609.77000000000896</c:v>
                </c:pt>
                <c:pt idx="87">
                  <c:v>674.8700000000091</c:v>
                </c:pt>
                <c:pt idx="88">
                  <c:v>739.97000000000924</c:v>
                </c:pt>
                <c:pt idx="89">
                  <c:v>805.07000000000949</c:v>
                </c:pt>
                <c:pt idx="90">
                  <c:v>870.17000000000962</c:v>
                </c:pt>
                <c:pt idx="91">
                  <c:v>935.27000000000976</c:v>
                </c:pt>
                <c:pt idx="92">
                  <c:v>1000.3700000000099</c:v>
                </c:pt>
                <c:pt idx="93">
                  <c:v>1065.47000000001</c:v>
                </c:pt>
                <c:pt idx="94">
                  <c:v>1130.5700000000102</c:v>
                </c:pt>
                <c:pt idx="95">
                  <c:v>1195.6700000000103</c:v>
                </c:pt>
                <c:pt idx="96">
                  <c:v>1260.7700000000104</c:v>
                </c:pt>
                <c:pt idx="97">
                  <c:v>1325.8700000000106</c:v>
                </c:pt>
                <c:pt idx="98">
                  <c:v>1390.9700000000107</c:v>
                </c:pt>
                <c:pt idx="99">
                  <c:v>1456.0700000000111</c:v>
                </c:pt>
                <c:pt idx="100">
                  <c:v>1521.1700000000003</c:v>
                </c:pt>
              </c:numCache>
            </c:numRef>
          </c:val>
          <c:smooth val="0"/>
          <c:extLst>
            <c:ext xmlns:c16="http://schemas.microsoft.com/office/drawing/2014/chart" uri="{C3380CC4-5D6E-409C-BE32-E72D297353CC}">
              <c16:uniqueId val="{00000000-7EB7-4F2C-94CE-AC37613BEF36}"/>
            </c:ext>
          </c:extLst>
        </c:ser>
        <c:ser>
          <c:idx val="0"/>
          <c:order val="1"/>
          <c:tx>
            <c:v>Structure Value</c:v>
          </c:tx>
          <c:spPr>
            <a:ln w="28575" cap="rnd">
              <a:solidFill>
                <a:srgbClr val="0046AD"/>
              </a:solidFill>
              <a:round/>
            </a:ln>
            <a:effectLst/>
          </c:spPr>
          <c:marker>
            <c:symbol val="none"/>
          </c:marker>
          <c:dLbls>
            <c:dLbl>
              <c:idx val="100"/>
              <c:layout>
                <c:manualLayout>
                  <c:x val="-1.4482158239815319E-2"/>
                  <c:y val="-7.077409021857491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D58-4088-A198-29121244BD15}"/>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46AD"/>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'Bullish Strategy Builder'!$N$3:$N$103</c:f>
              <c:numCache>
                <c:formatCode>_(* #,##0.00_);_(* \(#,##0.00\);_(* "-"??_);_(@_)</c:formatCode>
                <c:ptCount val="101"/>
                <c:pt idx="0">
                  <c:v>0</c:v>
                </c:pt>
                <c:pt idx="1">
                  <c:v>0.3</c:v>
                </c:pt>
                <c:pt idx="2">
                  <c:v>0.6</c:v>
                </c:pt>
                <c:pt idx="3">
                  <c:v>0.89999999999999991</c:v>
                </c:pt>
                <c:pt idx="4">
                  <c:v>1.2</c:v>
                </c:pt>
                <c:pt idx="5">
                  <c:v>1.5</c:v>
                </c:pt>
                <c:pt idx="6">
                  <c:v>1.8</c:v>
                </c:pt>
                <c:pt idx="7">
                  <c:v>2.1</c:v>
                </c:pt>
                <c:pt idx="8">
                  <c:v>2.4</c:v>
                </c:pt>
                <c:pt idx="9">
                  <c:v>2.6999999999999997</c:v>
                </c:pt>
                <c:pt idx="10">
                  <c:v>2.9999999999999996</c:v>
                </c:pt>
                <c:pt idx="11">
                  <c:v>3.2999999999999994</c:v>
                </c:pt>
                <c:pt idx="12">
                  <c:v>3.5999999999999992</c:v>
                </c:pt>
                <c:pt idx="13">
                  <c:v>3.899999999999999</c:v>
                </c:pt>
                <c:pt idx="14">
                  <c:v>4.1999999999999993</c:v>
                </c:pt>
                <c:pt idx="15">
                  <c:v>4.4999999999999991</c:v>
                </c:pt>
                <c:pt idx="16">
                  <c:v>4.7999999999999989</c:v>
                </c:pt>
                <c:pt idx="17">
                  <c:v>5.0999999999999988</c:v>
                </c:pt>
                <c:pt idx="18">
                  <c:v>5.3999999999999986</c:v>
                </c:pt>
                <c:pt idx="19">
                  <c:v>5.6999999999999984</c:v>
                </c:pt>
                <c:pt idx="20">
                  <c:v>5.9999999999999982</c:v>
                </c:pt>
                <c:pt idx="21">
                  <c:v>6.299999999999998</c:v>
                </c:pt>
                <c:pt idx="22">
                  <c:v>6.5999999999999979</c:v>
                </c:pt>
                <c:pt idx="23">
                  <c:v>6.8999999999999977</c:v>
                </c:pt>
                <c:pt idx="24">
                  <c:v>7.1999999999999975</c:v>
                </c:pt>
                <c:pt idx="25">
                  <c:v>7.4999999999999973</c:v>
                </c:pt>
                <c:pt idx="26">
                  <c:v>7.7999999999999972</c:v>
                </c:pt>
                <c:pt idx="27">
                  <c:v>8.0999999999999979</c:v>
                </c:pt>
                <c:pt idx="28">
                  <c:v>8.3999999999999986</c:v>
                </c:pt>
                <c:pt idx="29">
                  <c:v>8.6999999999999993</c:v>
                </c:pt>
                <c:pt idx="30">
                  <c:v>9</c:v>
                </c:pt>
                <c:pt idx="31">
                  <c:v>9.3000000000000007</c:v>
                </c:pt>
                <c:pt idx="32">
                  <c:v>9.6000000000000014</c:v>
                </c:pt>
                <c:pt idx="33">
                  <c:v>9.9000000000000021</c:v>
                </c:pt>
                <c:pt idx="34">
                  <c:v>10.200000000000003</c:v>
                </c:pt>
                <c:pt idx="35">
                  <c:v>10.500000000000004</c:v>
                </c:pt>
                <c:pt idx="36">
                  <c:v>10.800000000000004</c:v>
                </c:pt>
                <c:pt idx="37">
                  <c:v>11.100000000000005</c:v>
                </c:pt>
                <c:pt idx="38">
                  <c:v>11.400000000000006</c:v>
                </c:pt>
                <c:pt idx="39">
                  <c:v>11.700000000000006</c:v>
                </c:pt>
                <c:pt idx="40">
                  <c:v>12.000000000000007</c:v>
                </c:pt>
                <c:pt idx="41">
                  <c:v>12.300000000000008</c:v>
                </c:pt>
                <c:pt idx="42">
                  <c:v>12.600000000000009</c:v>
                </c:pt>
                <c:pt idx="43">
                  <c:v>12.900000000000009</c:v>
                </c:pt>
                <c:pt idx="44">
                  <c:v>13.20000000000001</c:v>
                </c:pt>
                <c:pt idx="45">
                  <c:v>13.500000000000011</c:v>
                </c:pt>
                <c:pt idx="46">
                  <c:v>13.800000000000011</c:v>
                </c:pt>
                <c:pt idx="47">
                  <c:v>14.100000000000012</c:v>
                </c:pt>
                <c:pt idx="48">
                  <c:v>14.400000000000013</c:v>
                </c:pt>
                <c:pt idx="49">
                  <c:v>14.700000000000014</c:v>
                </c:pt>
                <c:pt idx="50">
                  <c:v>15.000000000000014</c:v>
                </c:pt>
                <c:pt idx="51">
                  <c:v>15.300000000000015</c:v>
                </c:pt>
                <c:pt idx="52">
                  <c:v>15.600000000000016</c:v>
                </c:pt>
                <c:pt idx="53">
                  <c:v>15.900000000000016</c:v>
                </c:pt>
                <c:pt idx="54">
                  <c:v>16.200000000000017</c:v>
                </c:pt>
                <c:pt idx="55">
                  <c:v>16.500000000000018</c:v>
                </c:pt>
                <c:pt idx="56">
                  <c:v>16.800000000000018</c:v>
                </c:pt>
                <c:pt idx="57">
                  <c:v>17.100000000000019</c:v>
                </c:pt>
                <c:pt idx="58">
                  <c:v>17.40000000000002</c:v>
                </c:pt>
                <c:pt idx="59">
                  <c:v>17.700000000000021</c:v>
                </c:pt>
                <c:pt idx="60">
                  <c:v>18.000000000000021</c:v>
                </c:pt>
                <c:pt idx="61">
                  <c:v>18.300000000000022</c:v>
                </c:pt>
                <c:pt idx="62">
                  <c:v>18.600000000000023</c:v>
                </c:pt>
                <c:pt idx="63">
                  <c:v>18.900000000000023</c:v>
                </c:pt>
                <c:pt idx="64">
                  <c:v>19.200000000000024</c:v>
                </c:pt>
                <c:pt idx="65">
                  <c:v>19.500000000000025</c:v>
                </c:pt>
                <c:pt idx="66">
                  <c:v>19.800000000000026</c:v>
                </c:pt>
                <c:pt idx="67">
                  <c:v>20.100000000000026</c:v>
                </c:pt>
                <c:pt idx="68">
                  <c:v>20.400000000000027</c:v>
                </c:pt>
                <c:pt idx="69">
                  <c:v>20.700000000000028</c:v>
                </c:pt>
                <c:pt idx="70">
                  <c:v>21.000000000000028</c:v>
                </c:pt>
                <c:pt idx="71">
                  <c:v>21.300000000000029</c:v>
                </c:pt>
                <c:pt idx="72">
                  <c:v>21.60000000000003</c:v>
                </c:pt>
                <c:pt idx="73">
                  <c:v>21.900000000000031</c:v>
                </c:pt>
                <c:pt idx="74">
                  <c:v>22.200000000000031</c:v>
                </c:pt>
                <c:pt idx="75">
                  <c:v>22.500000000000032</c:v>
                </c:pt>
                <c:pt idx="76">
                  <c:v>22.800000000000033</c:v>
                </c:pt>
                <c:pt idx="77">
                  <c:v>23.100000000000033</c:v>
                </c:pt>
                <c:pt idx="78">
                  <c:v>23.400000000000034</c:v>
                </c:pt>
                <c:pt idx="79">
                  <c:v>23.700000000000035</c:v>
                </c:pt>
                <c:pt idx="80">
                  <c:v>24.000000000000036</c:v>
                </c:pt>
                <c:pt idx="81">
                  <c:v>24.300000000000036</c:v>
                </c:pt>
                <c:pt idx="82">
                  <c:v>24.600000000000037</c:v>
                </c:pt>
                <c:pt idx="83">
                  <c:v>24.900000000000038</c:v>
                </c:pt>
                <c:pt idx="84">
                  <c:v>25.200000000000038</c:v>
                </c:pt>
                <c:pt idx="85">
                  <c:v>25.500000000000039</c:v>
                </c:pt>
                <c:pt idx="86">
                  <c:v>25.80000000000004</c:v>
                </c:pt>
                <c:pt idx="87">
                  <c:v>26.100000000000041</c:v>
                </c:pt>
                <c:pt idx="88">
                  <c:v>26.400000000000041</c:v>
                </c:pt>
                <c:pt idx="89">
                  <c:v>26.700000000000042</c:v>
                </c:pt>
                <c:pt idx="90">
                  <c:v>27.000000000000043</c:v>
                </c:pt>
                <c:pt idx="91">
                  <c:v>27.300000000000043</c:v>
                </c:pt>
                <c:pt idx="92">
                  <c:v>27.600000000000044</c:v>
                </c:pt>
                <c:pt idx="93">
                  <c:v>27.900000000000045</c:v>
                </c:pt>
                <c:pt idx="94">
                  <c:v>28.200000000000045</c:v>
                </c:pt>
                <c:pt idx="95">
                  <c:v>28.500000000000046</c:v>
                </c:pt>
                <c:pt idx="96">
                  <c:v>28.800000000000047</c:v>
                </c:pt>
                <c:pt idx="97">
                  <c:v>29.100000000000048</c:v>
                </c:pt>
                <c:pt idx="98">
                  <c:v>29.400000000000048</c:v>
                </c:pt>
                <c:pt idx="99">
                  <c:v>29.700000000000049</c:v>
                </c:pt>
                <c:pt idx="100">
                  <c:v>30</c:v>
                </c:pt>
              </c:numCache>
            </c:numRef>
          </c:cat>
          <c:val>
            <c:numRef>
              <c:f>'Bullish Strategy Builder'!$AT$3:$AT$103</c:f>
              <c:numCache>
                <c:formatCode>_(* #,##0_);_(* \(#,##0\);_(* "-"??_);_(@_)</c:formatCode>
                <c:ptCount val="101"/>
                <c:pt idx="0">
                  <c:v>-4758.7999999999993</c:v>
                </c:pt>
                <c:pt idx="1">
                  <c:v>-4722.7999999999993</c:v>
                </c:pt>
                <c:pt idx="2">
                  <c:v>-4686.7999999999993</c:v>
                </c:pt>
                <c:pt idx="3">
                  <c:v>-4650.8</c:v>
                </c:pt>
                <c:pt idx="4">
                  <c:v>-4614.7999999999993</c:v>
                </c:pt>
                <c:pt idx="5">
                  <c:v>-4578.7999999999993</c:v>
                </c:pt>
                <c:pt idx="6">
                  <c:v>-4542.7999999999993</c:v>
                </c:pt>
                <c:pt idx="7">
                  <c:v>-4506.7999999999993</c:v>
                </c:pt>
                <c:pt idx="8">
                  <c:v>-4470.8</c:v>
                </c:pt>
                <c:pt idx="9">
                  <c:v>-4434.7999999999993</c:v>
                </c:pt>
                <c:pt idx="10">
                  <c:v>-4398.7999999999993</c:v>
                </c:pt>
                <c:pt idx="11">
                  <c:v>-4362.7999999999993</c:v>
                </c:pt>
                <c:pt idx="12">
                  <c:v>-4326.8</c:v>
                </c:pt>
                <c:pt idx="13">
                  <c:v>-4290.8</c:v>
                </c:pt>
                <c:pt idx="14">
                  <c:v>-4254.7999999999993</c:v>
                </c:pt>
                <c:pt idx="15">
                  <c:v>-4218.7999999999993</c:v>
                </c:pt>
                <c:pt idx="16">
                  <c:v>-4182.7999999999993</c:v>
                </c:pt>
                <c:pt idx="17">
                  <c:v>-4146.8</c:v>
                </c:pt>
                <c:pt idx="18">
                  <c:v>-4110.8</c:v>
                </c:pt>
                <c:pt idx="19">
                  <c:v>-4074.7999999999997</c:v>
                </c:pt>
                <c:pt idx="20">
                  <c:v>-4038.8</c:v>
                </c:pt>
                <c:pt idx="21">
                  <c:v>-4002.8</c:v>
                </c:pt>
                <c:pt idx="22">
                  <c:v>-3966.8</c:v>
                </c:pt>
                <c:pt idx="23">
                  <c:v>-3930.8</c:v>
                </c:pt>
                <c:pt idx="24">
                  <c:v>-3894.8</c:v>
                </c:pt>
                <c:pt idx="25">
                  <c:v>-3858.8</c:v>
                </c:pt>
                <c:pt idx="26">
                  <c:v>-3822.8</c:v>
                </c:pt>
                <c:pt idx="27">
                  <c:v>-3786.8</c:v>
                </c:pt>
                <c:pt idx="28">
                  <c:v>-3750.8</c:v>
                </c:pt>
                <c:pt idx="29">
                  <c:v>-3714.8</c:v>
                </c:pt>
                <c:pt idx="30">
                  <c:v>-3678.7999999999997</c:v>
                </c:pt>
                <c:pt idx="31">
                  <c:v>-3642.7999999999997</c:v>
                </c:pt>
                <c:pt idx="32">
                  <c:v>-3606.7999999999997</c:v>
                </c:pt>
                <c:pt idx="33">
                  <c:v>-3570.7999999999993</c:v>
                </c:pt>
                <c:pt idx="34">
                  <c:v>-3534.7999999999993</c:v>
                </c:pt>
                <c:pt idx="35">
                  <c:v>-3498.7999999999993</c:v>
                </c:pt>
                <c:pt idx="36">
                  <c:v>-3462.7999999999993</c:v>
                </c:pt>
                <c:pt idx="37">
                  <c:v>-3426.7999999999993</c:v>
                </c:pt>
                <c:pt idx="38">
                  <c:v>-3390.7999999999993</c:v>
                </c:pt>
                <c:pt idx="39">
                  <c:v>-3354.7999999999993</c:v>
                </c:pt>
                <c:pt idx="40">
                  <c:v>-3318.7999999999993</c:v>
                </c:pt>
                <c:pt idx="41">
                  <c:v>-3282.7999999999988</c:v>
                </c:pt>
                <c:pt idx="42">
                  <c:v>-3246.7999999999988</c:v>
                </c:pt>
                <c:pt idx="43">
                  <c:v>-3210.7999999999988</c:v>
                </c:pt>
                <c:pt idx="44">
                  <c:v>-3174.7999999999984</c:v>
                </c:pt>
                <c:pt idx="45">
                  <c:v>-3138.7999999999984</c:v>
                </c:pt>
                <c:pt idx="46">
                  <c:v>-3102.7999999999984</c:v>
                </c:pt>
                <c:pt idx="47">
                  <c:v>-3046.7999999999961</c:v>
                </c:pt>
                <c:pt idx="48">
                  <c:v>-2950.7999999999961</c:v>
                </c:pt>
                <c:pt idx="49">
                  <c:v>-2854.7999999999956</c:v>
                </c:pt>
                <c:pt idx="50">
                  <c:v>-2758.7999999999952</c:v>
                </c:pt>
                <c:pt idx="51">
                  <c:v>-2662.7999999999952</c:v>
                </c:pt>
                <c:pt idx="52">
                  <c:v>-2566.7999999999952</c:v>
                </c:pt>
                <c:pt idx="53">
                  <c:v>-2470.7999999999947</c:v>
                </c:pt>
                <c:pt idx="54">
                  <c:v>-2374.7999999999947</c:v>
                </c:pt>
                <c:pt idx="55">
                  <c:v>-2278.7999999999943</c:v>
                </c:pt>
                <c:pt idx="56">
                  <c:v>-2182.7999999999938</c:v>
                </c:pt>
                <c:pt idx="57">
                  <c:v>-2086.7999999999938</c:v>
                </c:pt>
                <c:pt idx="58">
                  <c:v>-1990.7999999999934</c:v>
                </c:pt>
                <c:pt idx="59">
                  <c:v>-1894.7999999999931</c:v>
                </c:pt>
                <c:pt idx="60">
                  <c:v>-1798.7999999999929</c:v>
                </c:pt>
                <c:pt idx="61">
                  <c:v>-1702.7999999999927</c:v>
                </c:pt>
                <c:pt idx="62">
                  <c:v>-1606.7999999999925</c:v>
                </c:pt>
                <c:pt idx="63">
                  <c:v>-1510.7999999999922</c:v>
                </c:pt>
                <c:pt idx="64">
                  <c:v>-1414.799999999992</c:v>
                </c:pt>
                <c:pt idx="65">
                  <c:v>-1318.7999999999918</c:v>
                </c:pt>
                <c:pt idx="66">
                  <c:v>-1222.7999999999915</c:v>
                </c:pt>
                <c:pt idx="67">
                  <c:v>-1126.7999999999913</c:v>
                </c:pt>
                <c:pt idx="68">
                  <c:v>-1030.7999999999911</c:v>
                </c:pt>
                <c:pt idx="69">
                  <c:v>-934.79999999999097</c:v>
                </c:pt>
                <c:pt idx="70">
                  <c:v>-838.79999999999075</c:v>
                </c:pt>
                <c:pt idx="71">
                  <c:v>-742.79999999999052</c:v>
                </c:pt>
                <c:pt idx="72">
                  <c:v>-646.79999999999029</c:v>
                </c:pt>
                <c:pt idx="73">
                  <c:v>-550.79999999999006</c:v>
                </c:pt>
                <c:pt idx="74">
                  <c:v>-454.79999999998984</c:v>
                </c:pt>
                <c:pt idx="75">
                  <c:v>-358.79999999998961</c:v>
                </c:pt>
                <c:pt idx="76">
                  <c:v>-262.79999999998938</c:v>
                </c:pt>
                <c:pt idx="77">
                  <c:v>-166.79999999998913</c:v>
                </c:pt>
                <c:pt idx="78">
                  <c:v>-70.799999999988898</c:v>
                </c:pt>
                <c:pt idx="79">
                  <c:v>25.200000000011329</c:v>
                </c:pt>
                <c:pt idx="80">
                  <c:v>121.20000000001156</c:v>
                </c:pt>
                <c:pt idx="81">
                  <c:v>217.20000000001178</c:v>
                </c:pt>
                <c:pt idx="82">
                  <c:v>313.20000000001198</c:v>
                </c:pt>
                <c:pt idx="83">
                  <c:v>409.20000000001221</c:v>
                </c:pt>
                <c:pt idx="84">
                  <c:v>505.20000000001244</c:v>
                </c:pt>
                <c:pt idx="85">
                  <c:v>601.20000000001266</c:v>
                </c:pt>
                <c:pt idx="86">
                  <c:v>697.20000000001289</c:v>
                </c:pt>
                <c:pt idx="87">
                  <c:v>793.20000000001312</c:v>
                </c:pt>
                <c:pt idx="88">
                  <c:v>889.20000000001335</c:v>
                </c:pt>
                <c:pt idx="89">
                  <c:v>985.20000000001357</c:v>
                </c:pt>
                <c:pt idx="90">
                  <c:v>1081.2000000000139</c:v>
                </c:pt>
                <c:pt idx="91">
                  <c:v>1177.2000000000141</c:v>
                </c:pt>
                <c:pt idx="92">
                  <c:v>1273.2000000000144</c:v>
                </c:pt>
                <c:pt idx="93">
                  <c:v>1369.2000000000146</c:v>
                </c:pt>
                <c:pt idx="94">
                  <c:v>1465.2000000000146</c:v>
                </c:pt>
                <c:pt idx="95">
                  <c:v>1561.2000000000151</c:v>
                </c:pt>
                <c:pt idx="96">
                  <c:v>1657.2000000000155</c:v>
                </c:pt>
                <c:pt idx="97">
                  <c:v>1753.2000000000155</c:v>
                </c:pt>
                <c:pt idx="98">
                  <c:v>1849.200000000016</c:v>
                </c:pt>
                <c:pt idx="99">
                  <c:v>1945.200000000016</c:v>
                </c:pt>
                <c:pt idx="100">
                  <c:v>2041.2</c:v>
                </c:pt>
              </c:numCache>
            </c:numRef>
          </c:val>
          <c:smooth val="0"/>
          <c:extLst>
            <c:ext xmlns:c16="http://schemas.microsoft.com/office/drawing/2014/chart" uri="{C3380CC4-5D6E-409C-BE32-E72D297353CC}">
              <c16:uniqueId val="{00000001-7EB7-4F2C-94CE-AC37613BEF36}"/>
            </c:ext>
          </c:extLst>
        </c:ser>
        <c:dLbls>
          <c:showLegendKey val="0"/>
          <c:showVal val="0"/>
          <c:showCatName val="0"/>
          <c:showSerName val="0"/>
          <c:showPercent val="0"/>
          <c:showBubbleSize val="0"/>
        </c:dLbls>
        <c:smooth val="0"/>
        <c:axId val="358888280"/>
        <c:axId val="358889920"/>
      </c:lineChart>
      <c:catAx>
        <c:axId val="358888280"/>
        <c:scaling>
          <c:orientation val="minMax"/>
        </c:scaling>
        <c:delete val="0"/>
        <c:axPos val="b"/>
        <c:numFmt formatCode="_(* #,##0.00_);_(* \(#,##0.00\);_(* &quot;-&quot;??_);_(@_)"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358889920"/>
        <c:crosses val="autoZero"/>
        <c:auto val="1"/>
        <c:lblAlgn val="ctr"/>
        <c:lblOffset val="100"/>
        <c:tickLblSkip val="1"/>
        <c:noMultiLvlLbl val="0"/>
      </c:catAx>
      <c:valAx>
        <c:axId val="3588899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crossAx val="3588882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Narrow" panose="020B060602020203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Arial Narrow" panose="020B0606020202030204" pitchFamily="34" charset="0"/>
                <a:ea typeface="+mn-ea"/>
                <a:cs typeface="+mn-cs"/>
              </a:defRPr>
            </a:pPr>
            <a:r>
              <a:rPr lang="en-US" sz="1600"/>
              <a:t>Difference Between Levered and Unlevered Strategies</a:t>
            </a:r>
          </a:p>
        </c:rich>
      </c:tx>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lineChart>
        <c:grouping val="standard"/>
        <c:varyColors val="0"/>
        <c:ser>
          <c:idx val="0"/>
          <c:order val="0"/>
          <c:tx>
            <c:strRef>
              <c:f>'Bullish Strategy Builder'!$AY$2</c:f>
              <c:strCache>
                <c:ptCount val="1"/>
                <c:pt idx="0">
                  <c:v>Levered v Unlevered Difference</c:v>
                </c:pt>
              </c:strCache>
            </c:strRef>
          </c:tx>
          <c:spPr>
            <a:ln w="28575" cap="rnd">
              <a:solidFill>
                <a:srgbClr val="0046AD"/>
              </a:solidFill>
              <a:round/>
            </a:ln>
            <a:effectLst/>
          </c:spPr>
          <c:marker>
            <c:symbol val="none"/>
          </c:marker>
          <c:cat>
            <c:numRef>
              <c:f>'Bullish Strategy Builder'!$N$3:$N$103</c:f>
              <c:numCache>
                <c:formatCode>_(* #,##0.00_);_(* \(#,##0.00\);_(* "-"??_);_(@_)</c:formatCode>
                <c:ptCount val="101"/>
                <c:pt idx="0">
                  <c:v>0</c:v>
                </c:pt>
                <c:pt idx="1">
                  <c:v>0.3</c:v>
                </c:pt>
                <c:pt idx="2">
                  <c:v>0.6</c:v>
                </c:pt>
                <c:pt idx="3">
                  <c:v>0.89999999999999991</c:v>
                </c:pt>
                <c:pt idx="4">
                  <c:v>1.2</c:v>
                </c:pt>
                <c:pt idx="5">
                  <c:v>1.5</c:v>
                </c:pt>
                <c:pt idx="6">
                  <c:v>1.8</c:v>
                </c:pt>
                <c:pt idx="7">
                  <c:v>2.1</c:v>
                </c:pt>
                <c:pt idx="8">
                  <c:v>2.4</c:v>
                </c:pt>
                <c:pt idx="9">
                  <c:v>2.6999999999999997</c:v>
                </c:pt>
                <c:pt idx="10">
                  <c:v>2.9999999999999996</c:v>
                </c:pt>
                <c:pt idx="11">
                  <c:v>3.2999999999999994</c:v>
                </c:pt>
                <c:pt idx="12">
                  <c:v>3.5999999999999992</c:v>
                </c:pt>
                <c:pt idx="13">
                  <c:v>3.899999999999999</c:v>
                </c:pt>
                <c:pt idx="14">
                  <c:v>4.1999999999999993</c:v>
                </c:pt>
                <c:pt idx="15">
                  <c:v>4.4999999999999991</c:v>
                </c:pt>
                <c:pt idx="16">
                  <c:v>4.7999999999999989</c:v>
                </c:pt>
                <c:pt idx="17">
                  <c:v>5.0999999999999988</c:v>
                </c:pt>
                <c:pt idx="18">
                  <c:v>5.3999999999999986</c:v>
                </c:pt>
                <c:pt idx="19">
                  <c:v>5.6999999999999984</c:v>
                </c:pt>
                <c:pt idx="20">
                  <c:v>5.9999999999999982</c:v>
                </c:pt>
                <c:pt idx="21">
                  <c:v>6.299999999999998</c:v>
                </c:pt>
                <c:pt idx="22">
                  <c:v>6.5999999999999979</c:v>
                </c:pt>
                <c:pt idx="23">
                  <c:v>6.8999999999999977</c:v>
                </c:pt>
                <c:pt idx="24">
                  <c:v>7.1999999999999975</c:v>
                </c:pt>
                <c:pt idx="25">
                  <c:v>7.4999999999999973</c:v>
                </c:pt>
                <c:pt idx="26">
                  <c:v>7.7999999999999972</c:v>
                </c:pt>
                <c:pt idx="27">
                  <c:v>8.0999999999999979</c:v>
                </c:pt>
                <c:pt idx="28">
                  <c:v>8.3999999999999986</c:v>
                </c:pt>
                <c:pt idx="29">
                  <c:v>8.6999999999999993</c:v>
                </c:pt>
                <c:pt idx="30">
                  <c:v>9</c:v>
                </c:pt>
                <c:pt idx="31">
                  <c:v>9.3000000000000007</c:v>
                </c:pt>
                <c:pt idx="32">
                  <c:v>9.6000000000000014</c:v>
                </c:pt>
                <c:pt idx="33">
                  <c:v>9.9000000000000021</c:v>
                </c:pt>
                <c:pt idx="34">
                  <c:v>10.200000000000003</c:v>
                </c:pt>
                <c:pt idx="35">
                  <c:v>10.500000000000004</c:v>
                </c:pt>
                <c:pt idx="36">
                  <c:v>10.800000000000004</c:v>
                </c:pt>
                <c:pt idx="37">
                  <c:v>11.100000000000005</c:v>
                </c:pt>
                <c:pt idx="38">
                  <c:v>11.400000000000006</c:v>
                </c:pt>
                <c:pt idx="39">
                  <c:v>11.700000000000006</c:v>
                </c:pt>
                <c:pt idx="40">
                  <c:v>12.000000000000007</c:v>
                </c:pt>
                <c:pt idx="41">
                  <c:v>12.300000000000008</c:v>
                </c:pt>
                <c:pt idx="42">
                  <c:v>12.600000000000009</c:v>
                </c:pt>
                <c:pt idx="43">
                  <c:v>12.900000000000009</c:v>
                </c:pt>
                <c:pt idx="44">
                  <c:v>13.20000000000001</c:v>
                </c:pt>
                <c:pt idx="45">
                  <c:v>13.500000000000011</c:v>
                </c:pt>
                <c:pt idx="46">
                  <c:v>13.800000000000011</c:v>
                </c:pt>
                <c:pt idx="47">
                  <c:v>14.100000000000012</c:v>
                </c:pt>
                <c:pt idx="48">
                  <c:v>14.400000000000013</c:v>
                </c:pt>
                <c:pt idx="49">
                  <c:v>14.700000000000014</c:v>
                </c:pt>
                <c:pt idx="50">
                  <c:v>15.000000000000014</c:v>
                </c:pt>
                <c:pt idx="51">
                  <c:v>15.300000000000015</c:v>
                </c:pt>
                <c:pt idx="52">
                  <c:v>15.600000000000016</c:v>
                </c:pt>
                <c:pt idx="53">
                  <c:v>15.900000000000016</c:v>
                </c:pt>
                <c:pt idx="54">
                  <c:v>16.200000000000017</c:v>
                </c:pt>
                <c:pt idx="55">
                  <c:v>16.500000000000018</c:v>
                </c:pt>
                <c:pt idx="56">
                  <c:v>16.800000000000018</c:v>
                </c:pt>
                <c:pt idx="57">
                  <c:v>17.100000000000019</c:v>
                </c:pt>
                <c:pt idx="58">
                  <c:v>17.40000000000002</c:v>
                </c:pt>
                <c:pt idx="59">
                  <c:v>17.700000000000021</c:v>
                </c:pt>
                <c:pt idx="60">
                  <c:v>18.000000000000021</c:v>
                </c:pt>
                <c:pt idx="61">
                  <c:v>18.300000000000022</c:v>
                </c:pt>
                <c:pt idx="62">
                  <c:v>18.600000000000023</c:v>
                </c:pt>
                <c:pt idx="63">
                  <c:v>18.900000000000023</c:v>
                </c:pt>
                <c:pt idx="64">
                  <c:v>19.200000000000024</c:v>
                </c:pt>
                <c:pt idx="65">
                  <c:v>19.500000000000025</c:v>
                </c:pt>
                <c:pt idx="66">
                  <c:v>19.800000000000026</c:v>
                </c:pt>
                <c:pt idx="67">
                  <c:v>20.100000000000026</c:v>
                </c:pt>
                <c:pt idx="68">
                  <c:v>20.400000000000027</c:v>
                </c:pt>
                <c:pt idx="69">
                  <c:v>20.700000000000028</c:v>
                </c:pt>
                <c:pt idx="70">
                  <c:v>21.000000000000028</c:v>
                </c:pt>
                <c:pt idx="71">
                  <c:v>21.300000000000029</c:v>
                </c:pt>
                <c:pt idx="72">
                  <c:v>21.60000000000003</c:v>
                </c:pt>
                <c:pt idx="73">
                  <c:v>21.900000000000031</c:v>
                </c:pt>
                <c:pt idx="74">
                  <c:v>22.200000000000031</c:v>
                </c:pt>
                <c:pt idx="75">
                  <c:v>22.500000000000032</c:v>
                </c:pt>
                <c:pt idx="76">
                  <c:v>22.800000000000033</c:v>
                </c:pt>
                <c:pt idx="77">
                  <c:v>23.100000000000033</c:v>
                </c:pt>
                <c:pt idx="78">
                  <c:v>23.400000000000034</c:v>
                </c:pt>
                <c:pt idx="79">
                  <c:v>23.700000000000035</c:v>
                </c:pt>
                <c:pt idx="80">
                  <c:v>24.000000000000036</c:v>
                </c:pt>
                <c:pt idx="81">
                  <c:v>24.300000000000036</c:v>
                </c:pt>
                <c:pt idx="82">
                  <c:v>24.600000000000037</c:v>
                </c:pt>
                <c:pt idx="83">
                  <c:v>24.900000000000038</c:v>
                </c:pt>
                <c:pt idx="84">
                  <c:v>25.200000000000038</c:v>
                </c:pt>
                <c:pt idx="85">
                  <c:v>25.500000000000039</c:v>
                </c:pt>
                <c:pt idx="86">
                  <c:v>25.80000000000004</c:v>
                </c:pt>
                <c:pt idx="87">
                  <c:v>26.100000000000041</c:v>
                </c:pt>
                <c:pt idx="88">
                  <c:v>26.400000000000041</c:v>
                </c:pt>
                <c:pt idx="89">
                  <c:v>26.700000000000042</c:v>
                </c:pt>
                <c:pt idx="90">
                  <c:v>27.000000000000043</c:v>
                </c:pt>
                <c:pt idx="91">
                  <c:v>27.300000000000043</c:v>
                </c:pt>
                <c:pt idx="92">
                  <c:v>27.600000000000044</c:v>
                </c:pt>
                <c:pt idx="93">
                  <c:v>27.900000000000045</c:v>
                </c:pt>
                <c:pt idx="94">
                  <c:v>28.200000000000045</c:v>
                </c:pt>
                <c:pt idx="95">
                  <c:v>28.500000000000046</c:v>
                </c:pt>
                <c:pt idx="96">
                  <c:v>28.800000000000047</c:v>
                </c:pt>
                <c:pt idx="97">
                  <c:v>29.100000000000048</c:v>
                </c:pt>
                <c:pt idx="98">
                  <c:v>29.400000000000048</c:v>
                </c:pt>
                <c:pt idx="99">
                  <c:v>29.700000000000049</c:v>
                </c:pt>
                <c:pt idx="100">
                  <c:v>30</c:v>
                </c:pt>
              </c:numCache>
            </c:numRef>
          </c:cat>
          <c:val>
            <c:numRef>
              <c:f>'Bullish Strategy Builder'!$AY$3:$AY$103</c:f>
              <c:numCache>
                <c:formatCode>_(* #,##0_);_(* \(#,##0\);_(* "-"??_);_(@_)</c:formatCode>
                <c:ptCount val="101"/>
                <c:pt idx="0">
                  <c:v>230.03000000000065</c:v>
                </c:pt>
                <c:pt idx="1">
                  <c:v>200.93000000000029</c:v>
                </c:pt>
                <c:pt idx="2">
                  <c:v>171.82999999999993</c:v>
                </c:pt>
                <c:pt idx="3">
                  <c:v>142.72999999999956</c:v>
                </c:pt>
                <c:pt idx="4">
                  <c:v>113.63000000000011</c:v>
                </c:pt>
                <c:pt idx="5">
                  <c:v>84.530000000000655</c:v>
                </c:pt>
                <c:pt idx="6">
                  <c:v>55.430000000000291</c:v>
                </c:pt>
                <c:pt idx="7">
                  <c:v>26.329999999999927</c:v>
                </c:pt>
                <c:pt idx="8">
                  <c:v>-2.7700000000004366</c:v>
                </c:pt>
                <c:pt idx="9">
                  <c:v>-31.869999999999891</c:v>
                </c:pt>
                <c:pt idx="10">
                  <c:v>-60.969999999999345</c:v>
                </c:pt>
                <c:pt idx="11">
                  <c:v>-90.069999999999709</c:v>
                </c:pt>
                <c:pt idx="12">
                  <c:v>-119.17000000000007</c:v>
                </c:pt>
                <c:pt idx="13">
                  <c:v>-148.27000000000044</c:v>
                </c:pt>
                <c:pt idx="14">
                  <c:v>-177.36999999999944</c:v>
                </c:pt>
                <c:pt idx="15">
                  <c:v>-206.4699999999998</c:v>
                </c:pt>
                <c:pt idx="16">
                  <c:v>-235.56999999999971</c:v>
                </c:pt>
                <c:pt idx="17">
                  <c:v>-264.67000000000007</c:v>
                </c:pt>
                <c:pt idx="18">
                  <c:v>-293.77000000000044</c:v>
                </c:pt>
                <c:pt idx="19">
                  <c:v>-322.86999999999989</c:v>
                </c:pt>
                <c:pt idx="20">
                  <c:v>-351.9699999999998</c:v>
                </c:pt>
                <c:pt idx="21">
                  <c:v>-381.06999999999971</c:v>
                </c:pt>
                <c:pt idx="22">
                  <c:v>-410.17000000000007</c:v>
                </c:pt>
                <c:pt idx="23">
                  <c:v>-439.27000000000044</c:v>
                </c:pt>
                <c:pt idx="24">
                  <c:v>-468.36999999999989</c:v>
                </c:pt>
                <c:pt idx="25">
                  <c:v>-497.4699999999998</c:v>
                </c:pt>
                <c:pt idx="26">
                  <c:v>-526.56999999999971</c:v>
                </c:pt>
                <c:pt idx="27">
                  <c:v>-555.67000000000007</c:v>
                </c:pt>
                <c:pt idx="28">
                  <c:v>-584.77000000000044</c:v>
                </c:pt>
                <c:pt idx="29">
                  <c:v>-613.87000000000035</c:v>
                </c:pt>
                <c:pt idx="30">
                  <c:v>-642.97000000000025</c:v>
                </c:pt>
                <c:pt idx="31">
                  <c:v>-672.07000000000016</c:v>
                </c:pt>
                <c:pt idx="32">
                  <c:v>-701.17000000000053</c:v>
                </c:pt>
                <c:pt idx="33">
                  <c:v>-730.27</c:v>
                </c:pt>
                <c:pt idx="34">
                  <c:v>-759.37000000000035</c:v>
                </c:pt>
                <c:pt idx="35">
                  <c:v>-788.47000000000025</c:v>
                </c:pt>
                <c:pt idx="36">
                  <c:v>-817.57000000000062</c:v>
                </c:pt>
                <c:pt idx="37">
                  <c:v>-846.67000000000053</c:v>
                </c:pt>
                <c:pt idx="38">
                  <c:v>-875.77000000000089</c:v>
                </c:pt>
                <c:pt idx="39">
                  <c:v>-904.8700000000008</c:v>
                </c:pt>
                <c:pt idx="40">
                  <c:v>-933.97000000000116</c:v>
                </c:pt>
                <c:pt idx="41">
                  <c:v>-963.07000000000107</c:v>
                </c:pt>
                <c:pt idx="42">
                  <c:v>-992.17000000000098</c:v>
                </c:pt>
                <c:pt idx="43">
                  <c:v>-1021.2700000000013</c:v>
                </c:pt>
                <c:pt idx="44">
                  <c:v>-1050.3700000000008</c:v>
                </c:pt>
                <c:pt idx="45">
                  <c:v>-1079.4700000000012</c:v>
                </c:pt>
                <c:pt idx="46">
                  <c:v>-1108.5700000000011</c:v>
                </c:pt>
                <c:pt idx="47">
                  <c:v>-1117.6699999999992</c:v>
                </c:pt>
                <c:pt idx="48">
                  <c:v>-1086.7699999999993</c:v>
                </c:pt>
                <c:pt idx="49">
                  <c:v>-1055.869999999999</c:v>
                </c:pt>
                <c:pt idx="50">
                  <c:v>-1024.9699999999987</c:v>
                </c:pt>
                <c:pt idx="51">
                  <c:v>-994.0699999999988</c:v>
                </c:pt>
                <c:pt idx="52">
                  <c:v>-963.16999999999894</c:v>
                </c:pt>
                <c:pt idx="53">
                  <c:v>-932.26999999999862</c:v>
                </c:pt>
                <c:pt idx="54">
                  <c:v>-901.36999999999875</c:v>
                </c:pt>
                <c:pt idx="55">
                  <c:v>-870.46999999999844</c:v>
                </c:pt>
                <c:pt idx="56">
                  <c:v>-839.56999999999812</c:v>
                </c:pt>
                <c:pt idx="57">
                  <c:v>-808.66999999999825</c:v>
                </c:pt>
                <c:pt idx="58">
                  <c:v>-777.76999999999794</c:v>
                </c:pt>
                <c:pt idx="59">
                  <c:v>-746.86999999999784</c:v>
                </c:pt>
                <c:pt idx="60">
                  <c:v>-715.96999999999798</c:v>
                </c:pt>
                <c:pt idx="61">
                  <c:v>-685.06999999999778</c:v>
                </c:pt>
                <c:pt idx="62">
                  <c:v>-654.16999999999769</c:v>
                </c:pt>
                <c:pt idx="63">
                  <c:v>-623.26999999999771</c:v>
                </c:pt>
                <c:pt idx="64">
                  <c:v>-592.36999999999762</c:v>
                </c:pt>
                <c:pt idx="65">
                  <c:v>-561.46999999999753</c:v>
                </c:pt>
                <c:pt idx="66">
                  <c:v>-530.56999999999744</c:v>
                </c:pt>
                <c:pt idx="67">
                  <c:v>-499.66999999999734</c:v>
                </c:pt>
                <c:pt idx="68">
                  <c:v>-468.76999999999725</c:v>
                </c:pt>
                <c:pt idx="69">
                  <c:v>-437.86999999999733</c:v>
                </c:pt>
                <c:pt idx="70">
                  <c:v>-406.96999999999724</c:v>
                </c:pt>
                <c:pt idx="71">
                  <c:v>-376.06999999999721</c:v>
                </c:pt>
                <c:pt idx="72">
                  <c:v>-345.16999999999712</c:v>
                </c:pt>
                <c:pt idx="73">
                  <c:v>-314.26999999999703</c:v>
                </c:pt>
                <c:pt idx="74">
                  <c:v>-283.36999999999694</c:v>
                </c:pt>
                <c:pt idx="75">
                  <c:v>-252.4699999999969</c:v>
                </c:pt>
                <c:pt idx="76">
                  <c:v>-221.56999999999681</c:v>
                </c:pt>
                <c:pt idx="77">
                  <c:v>-190.66999999999672</c:v>
                </c:pt>
                <c:pt idx="78">
                  <c:v>-159.76999999999663</c:v>
                </c:pt>
                <c:pt idx="79">
                  <c:v>-128.86999999999657</c:v>
                </c:pt>
                <c:pt idx="80">
                  <c:v>-97.969999999996503</c:v>
                </c:pt>
                <c:pt idx="81">
                  <c:v>-67.06999999999644</c:v>
                </c:pt>
                <c:pt idx="82">
                  <c:v>-36.169999999996378</c:v>
                </c:pt>
                <c:pt idx="83">
                  <c:v>-5.269999999996287</c:v>
                </c:pt>
                <c:pt idx="84">
                  <c:v>25.630000000003747</c:v>
                </c:pt>
                <c:pt idx="85">
                  <c:v>56.530000000003838</c:v>
                </c:pt>
                <c:pt idx="86">
                  <c:v>87.430000000003929</c:v>
                </c:pt>
                <c:pt idx="87">
                  <c:v>118.33000000000402</c:v>
                </c:pt>
                <c:pt idx="88">
                  <c:v>149.23000000000411</c:v>
                </c:pt>
                <c:pt idx="89">
                  <c:v>180.13000000000409</c:v>
                </c:pt>
                <c:pt idx="90">
                  <c:v>211.03000000000429</c:v>
                </c:pt>
                <c:pt idx="91">
                  <c:v>241.93000000000438</c:v>
                </c:pt>
                <c:pt idx="92">
                  <c:v>272.83000000000447</c:v>
                </c:pt>
                <c:pt idx="93">
                  <c:v>303.73000000000457</c:v>
                </c:pt>
                <c:pt idx="94">
                  <c:v>334.63000000000443</c:v>
                </c:pt>
                <c:pt idx="95">
                  <c:v>365.53000000000475</c:v>
                </c:pt>
                <c:pt idx="96">
                  <c:v>396.43000000000507</c:v>
                </c:pt>
                <c:pt idx="97">
                  <c:v>427.33000000000493</c:v>
                </c:pt>
                <c:pt idx="98">
                  <c:v>458.23000000000525</c:v>
                </c:pt>
                <c:pt idx="99">
                  <c:v>489.13000000000488</c:v>
                </c:pt>
                <c:pt idx="100">
                  <c:v>520.02999999999975</c:v>
                </c:pt>
              </c:numCache>
            </c:numRef>
          </c:val>
          <c:smooth val="0"/>
          <c:extLst>
            <c:ext xmlns:c16="http://schemas.microsoft.com/office/drawing/2014/chart" uri="{C3380CC4-5D6E-409C-BE32-E72D297353CC}">
              <c16:uniqueId val="{00000001-27F0-4E57-B679-C44F2E1FE136}"/>
            </c:ext>
          </c:extLst>
        </c:ser>
        <c:dLbls>
          <c:showLegendKey val="0"/>
          <c:showVal val="0"/>
          <c:showCatName val="0"/>
          <c:showSerName val="0"/>
          <c:showPercent val="0"/>
          <c:showBubbleSize val="0"/>
        </c:dLbls>
        <c:smooth val="0"/>
        <c:axId val="358888280"/>
        <c:axId val="358889920"/>
      </c:lineChart>
      <c:catAx>
        <c:axId val="358888280"/>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Narrow" panose="020B0606020202030204" pitchFamily="34" charset="0"/>
                    <a:ea typeface="+mn-ea"/>
                    <a:cs typeface="+mn-cs"/>
                  </a:defRPr>
                </a:pPr>
                <a:r>
                  <a:rPr lang="en-US"/>
                  <a:t>Stock Price</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_(* #,##0.00_);_(* \(#,##0.00\);_(* &quot;-&quot;??_);_(@_)"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Narrow" panose="020B0606020202030204" pitchFamily="34" charset="0"/>
                <a:ea typeface="+mn-ea"/>
                <a:cs typeface="+mn-cs"/>
              </a:defRPr>
            </a:pPr>
            <a:endParaRPr lang="en-US"/>
          </a:p>
        </c:txPr>
        <c:crossAx val="358889920"/>
        <c:crosses val="autoZero"/>
        <c:auto val="1"/>
        <c:lblAlgn val="ctr"/>
        <c:lblOffset val="100"/>
        <c:tickLblSkip val="1"/>
        <c:noMultiLvlLbl val="0"/>
      </c:catAx>
      <c:valAx>
        <c:axId val="358889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Narrow" panose="020B0606020202030204" pitchFamily="34" charset="0"/>
                    <a:ea typeface="+mn-ea"/>
                    <a:cs typeface="+mn-cs"/>
                  </a:defRPr>
                </a:pPr>
                <a:r>
                  <a:rPr lang="en-US"/>
                  <a:t>Position Value</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Narrow" panose="020B0606020202030204" pitchFamily="34" charset="0"/>
                <a:ea typeface="+mn-ea"/>
                <a:cs typeface="+mn-cs"/>
              </a:defRPr>
            </a:pPr>
            <a:endParaRPr lang="en-US"/>
          </a:p>
        </c:txPr>
        <c:crossAx val="3588882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latin typeface="Arial Narrow" panose="020B0606020202030204"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ADD3FB1-DD6B-4903-86A2-73BC0120F8D8}">
  <sheetPr/>
  <sheetViews>
    <sheetView workbookViewId="0"/>
  </sheetViews>
  <pageMargins left="0.7" right="0.7" top="0.75" bottom="0.75" header="0.3" footer="0.3"/>
  <pageSetup paperSize="5" orientation="landscape" horizontalDpi="0" verticalDpi="0"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15E092B-BA6C-4534-B3D4-15507E95C883}">
  <sheetPr/>
  <sheetViews>
    <sheetView zoomScale="110" workbookViewId="0"/>
  </sheetViews>
  <pageMargins left="0.7" right="0.7" top="0.75" bottom="0.75" header="0.3" footer="0.3"/>
  <pageSetup paperSize="5" orientation="landscape" horizontalDpi="0" verticalDpi="0"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6C6BF31-3419-4D5B-8285-2528646ACA96}">
  <sheetPr/>
  <sheetViews>
    <sheetView workbookViewId="0"/>
  </sheetViews>
  <pageMargins left="0.7" right="0.7" top="0.75" bottom="0.75" header="0.3" footer="0.3"/>
  <pageSetup paperSize="5" orientation="landscape" horizontalDpi="0" verticalDpi="0" r:id="rId1"/>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119062</xdr:colOff>
      <xdr:row>26</xdr:row>
      <xdr:rowOff>57150</xdr:rowOff>
    </xdr:from>
    <xdr:to>
      <xdr:col>9</xdr:col>
      <xdr:colOff>1590675</xdr:colOff>
      <xdr:row>39</xdr:row>
      <xdr:rowOff>57150</xdr:rowOff>
    </xdr:to>
    <xdr:sp macro="" textlink="">
      <xdr:nvSpPr>
        <xdr:cNvPr id="2" name="Rectangle 1">
          <a:extLst>
            <a:ext uri="{FF2B5EF4-FFF2-40B4-BE49-F238E27FC236}">
              <a16:creationId xmlns:a16="http://schemas.microsoft.com/office/drawing/2014/main" id="{CF4A0A4F-CBAC-4CCB-A08E-46256E55A0F7}"/>
            </a:ext>
          </a:extLst>
        </xdr:cNvPr>
        <xdr:cNvSpPr/>
      </xdr:nvSpPr>
      <xdr:spPr>
        <a:xfrm>
          <a:off x="1719262" y="5076825"/>
          <a:ext cx="8529638" cy="2476500"/>
        </a:xfrm>
        <a:prstGeom prst="rect">
          <a:avLst/>
        </a:prstGeom>
        <a:solidFill>
          <a:srgbClr val="0046AD"/>
        </a:solidFill>
        <a:ln>
          <a:solidFill>
            <a:srgbClr val="0046A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chemeClr val="bg1"/>
              </a:solidFill>
            </a:rPr>
            <a:t>Instructions:</a:t>
          </a:r>
        </a:p>
        <a:p>
          <a:pPr algn="l"/>
          <a:endParaRPr lang="en-US" sz="1100" b="1">
            <a:solidFill>
              <a:schemeClr val="bg1"/>
            </a:solidFill>
          </a:endParaRPr>
        </a:p>
        <a:p>
          <a:pPr algn="l"/>
          <a:r>
            <a:rPr lang="en-US" sz="1100" b="1">
              <a:solidFill>
                <a:schemeClr val="bg1"/>
              </a:solidFill>
            </a:rPr>
            <a:t>1. Only change data in light blue highlighted cells.</a:t>
          </a:r>
        </a:p>
        <a:p>
          <a:pPr algn="l"/>
          <a:r>
            <a:rPr lang="en-US" sz="1100" b="1">
              <a:solidFill>
                <a:schemeClr val="bg1"/>
              </a:solidFill>
            </a:rPr>
            <a:t>2. Other cells are unprotected</a:t>
          </a:r>
          <a:r>
            <a:rPr lang="en-US" sz="1100" b="1" baseline="0">
              <a:solidFill>
                <a:schemeClr val="bg1"/>
              </a:solidFill>
            </a:rPr>
            <a:t> so </a:t>
          </a:r>
          <a:r>
            <a:rPr lang="en-US" sz="1100" b="1">
              <a:solidFill>
                <a:schemeClr val="bg1"/>
              </a:solidFill>
            </a:rPr>
            <a:t>you can see the formulas and edit,</a:t>
          </a:r>
          <a:r>
            <a:rPr lang="en-US" sz="1100" b="1" baseline="0">
              <a:solidFill>
                <a:schemeClr val="bg1"/>
              </a:solidFill>
            </a:rPr>
            <a:t> but doing so will alter the sheet's calculations.</a:t>
          </a:r>
        </a:p>
        <a:p>
          <a:pPr algn="l"/>
          <a:r>
            <a:rPr lang="en-US" sz="1100" b="1" baseline="0">
              <a:solidFill>
                <a:schemeClr val="bg1"/>
              </a:solidFill>
            </a:rPr>
            <a:t>3. P&amp;L Calculations begin in column N. These should also not be altered.</a:t>
          </a:r>
        </a:p>
        <a:p>
          <a:pPr algn="l"/>
          <a:r>
            <a:rPr lang="en-US" sz="1100" b="1" baseline="0">
              <a:solidFill>
                <a:schemeClr val="bg1"/>
              </a:solidFill>
            </a:rPr>
            <a:t>4. The "Present Stock Price" field (cell B3) is included so you can see where your position is in terms of P&amp;L as an investment is already underway. The "Purchase Price" field (cell B7) should be filled out with the actual price at which you bought shares.</a:t>
          </a:r>
        </a:p>
        <a:p>
          <a:pPr algn="l"/>
          <a:r>
            <a:rPr lang="en-US" sz="1100" b="1" baseline="0">
              <a:solidFill>
                <a:schemeClr val="bg1"/>
              </a:solidFill>
            </a:rPr>
            <a:t>5. Portfolio value calculations assume no more time value is left on the options. If options within your structure are of different tenors, the calculations will not be accurate. If the stock moves to FV before all option expirations, the actual portfolio value will be higher. If the stock does not exceed the strike price of one of the options by its expiration date, all money spent on that option's time value will be an Immediate Realized Loss.</a:t>
          </a:r>
        </a:p>
        <a:p>
          <a:pPr algn="l"/>
          <a:endParaRPr lang="en-US" sz="1100" b="1" baseline="0">
            <a:solidFill>
              <a:schemeClr val="bg1"/>
            </a:solidFill>
          </a:endParaRPr>
        </a:p>
        <a:p>
          <a:pPr algn="l"/>
          <a:r>
            <a:rPr lang="en-US" sz="1100" b="1" baseline="0">
              <a:solidFill>
                <a:schemeClr val="bg1"/>
              </a:solidFill>
            </a:rPr>
            <a:t>For more information, please see Chapter 8 of "The Intelligent Option Investor".</a:t>
          </a:r>
          <a:endParaRPr lang="en-US" sz="1100" b="1">
            <a:solidFill>
              <a:schemeClr val="bg1"/>
            </a:solidFill>
          </a:endParaRPr>
        </a:p>
        <a:p>
          <a:pPr algn="l"/>
          <a:endParaRPr lang="en-US" sz="11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11410950" cy="6296025"/>
    <xdr:graphicFrame macro="">
      <xdr:nvGraphicFramePr>
        <xdr:cNvPr id="2" name="Chart 1">
          <a:extLst>
            <a:ext uri="{FF2B5EF4-FFF2-40B4-BE49-F238E27FC236}">
              <a16:creationId xmlns:a16="http://schemas.microsoft.com/office/drawing/2014/main" id="{CB6703CA-01C1-4C24-A024-FF1DB9B9F5C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11400692" cy="6286500"/>
    <xdr:graphicFrame macro="">
      <xdr:nvGraphicFramePr>
        <xdr:cNvPr id="2" name="Chart 1">
          <a:extLst>
            <a:ext uri="{FF2B5EF4-FFF2-40B4-BE49-F238E27FC236}">
              <a16:creationId xmlns:a16="http://schemas.microsoft.com/office/drawing/2014/main" id="{52B55BA3-C08A-43E9-BC4F-E85F2887617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1400692" cy="6286500"/>
    <xdr:graphicFrame macro="">
      <xdr:nvGraphicFramePr>
        <xdr:cNvPr id="2" name="Chart 1">
          <a:extLst>
            <a:ext uri="{FF2B5EF4-FFF2-40B4-BE49-F238E27FC236}">
              <a16:creationId xmlns:a16="http://schemas.microsoft.com/office/drawing/2014/main" id="{D136EBC4-DD56-4393-9806-BDE6684C52F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1115675" cy="13181557"/>
    <xdr:sp macro="" textlink="">
      <xdr:nvSpPr>
        <xdr:cNvPr id="2" name="TextBox 1">
          <a:extLst>
            <a:ext uri="{FF2B5EF4-FFF2-40B4-BE49-F238E27FC236}">
              <a16:creationId xmlns:a16="http://schemas.microsoft.com/office/drawing/2014/main" id="{ABADDB88-F275-44F3-812A-C107B884BFA1}"/>
            </a:ext>
          </a:extLst>
        </xdr:cNvPr>
        <xdr:cNvSpPr txBox="1"/>
      </xdr:nvSpPr>
      <xdr:spPr>
        <a:xfrm>
          <a:off x="0" y="0"/>
          <a:ext cx="11115675" cy="13181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solidFill>
                <a:schemeClr val="tx1"/>
              </a:solidFill>
              <a:effectLst/>
              <a:latin typeface="+mn-lt"/>
              <a:ea typeface="+mn-ea"/>
              <a:cs typeface="+mn-cs"/>
            </a:rPr>
            <a:t>Legal Disclaimer</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IOI Investor Services, LLC TERMS AND CONDITIONS</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IOI INVESTOR SERVICES, LLC d/b/a Framework Investing is not a registered investment advisor or a broker-dealer. IOI INVESTOR SERVICES, LLC does not make recommendations as to particular securities or derivative instruments, and does not advocate the purchase or sale of any security or investment by you or any other individual. </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IOI INVESTOR SERVICES, LLC does not guarantee the accuracy, completeness or timeliness of the Information. By using the Services provided for IOI Boot Camp participants, including any applications or content available through us, you agree that use of the Services is entirely at your own risk. You understand and acknowledge that there is a very high degree of risk involved in trading options and securities. Past results are not indicative of future returns that may be realized by you. We assume no responsibility or liability for your trading and investment results. </a:t>
          </a:r>
        </a:p>
        <a:p>
          <a:r>
            <a:rPr lang="en-US" sz="1100">
              <a:solidFill>
                <a:schemeClr val="tx1"/>
              </a:solidFill>
              <a:effectLst/>
              <a:latin typeface="+mn-lt"/>
              <a:ea typeface="+mn-ea"/>
              <a:cs typeface="+mn-cs"/>
            </a:rPr>
            <a:t>The information and features provided to Framework Investing training program participants (collectively, the "Information" or "Service" or "Services") are provided for informational purposes only and should not be construed as investment advice. You should not rely solely on the Information in making any investment. Rather, you should use the Information only as a starting point for doing additional independent research in order to allow you to form your own opinion regarding investments and trading strategies. </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The Information does not constitute a solicitation for the purchase or sale of securities.  By using the Information on the www.FrameworkInvesting.com site or provided through the Framework Investing courses, you assume full responsibility for any and all gains and losses, financial, emotional or otherwise, experienced, suffered or incurred by you. The Information is not intended to provide tax, legal or investment advice, which you should obtain from your professional advisor prior to making any investment of the type discussed in the Information.</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THE SERVICE IS PROVIDED "AS IS," WITHOUT WARRANTY OF ANY KIND, EITHER EXPRESS OR IMPLIED, INCLUDING WITHOUT LIMITATION, ANY WARRANTY FOR INFORMATION, DATA, SERVICES, UNINTERRUPTED ACCESS, OR PRODUCTS PROVIDED THROUGH OR IN CONNECTION WITH THE SERVICE. IOI INVESTOR SERVICES, LLC SPECIFICALLY DISCLAIMS ANY AND ALL WARRANTIES, INCLUDING, BUT NOT LIMITED TO: (i) ANY WARRANTIES CONCERNING THE AVAILABILITY, ACCURACY, USEFULNESS, OR CONTENT OF INFORMATION, PRODUCTS OR SERVICES; AND (ii) ANY WARRANTIES OF TITLE, WARRANTY OF NON-INFRINGEMENT, AND WARRANTIES OF MERCHANTABILITY OR FITNESS FOR A PARTICULAR PURPOSE. THIS DISCLAIMER OF LIABILITY APPLIES TO ANY DAMAGES OR INJURY CAUSED BY ANY FAILURE OF PERFORMANCE, ERROR, OMISSION, INTERRUPTION, DELETION, DEFECT, DELAY IN OPERATION OR TRANSMISSION, COMPUTER VIRUS, COMMUNICATION LINE FAILURE, THEFT OR DESTRUCTION OR UNAUTHORIZED ACCESS TO, ALTERATION OF, OR USE OF ANY INFORMATION OR SERVICES ON THIS SITE, WHETHER FOR BREACH OF CONTRACT, TORT, NEGLIGENCE, OR UNDER ANY OTHER CAUSE OF ACTION.</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NEITHER IOI INVESTOR SERVICES, LLC AND / OR FrameworkInvesting.com NOR ANY OF ITS EMPLOYEES, AGENTS, SUCCESSORS, ASSIGNS, AFFILIATES, OR CONTENT OR SERVICE PROVIDERS SHALL BE LIABLE TO YOU OR OTHER THIRD PARTY FOR ANY DIRECT, INDIRECT, INCIDENTAL, SPECIAL OR CONSEQUENTIAL DAMAGES ARISING OUT OF USE OF THE SERVICES OR INABILITY TO GAIN ACCESS TO OR USE THE SERVICES OR OUT OF ANY BREACH OF ANY WARRANTY. BECAUSE SOME STATES DO NOT ALLOW THE EXCLUSION OR LIMITATION OF LIABILITY FOR CONSEQUENTIAL OR INCIDENTAL DAMAGES, THE ABOVE LIMITATION MAY NOT APPLY TO YOU. IN SUCH STATES, THE RESPECTIVE LIABILITY OF IOI INVESTOR SERVICES, LLC, ITS EMPLOYEES, AGENTS, SUCCESSORS, ASSIGNS, AFFILIATES, AND CONTENT OR SERVICE PROVIDERS RESPECTIVE LIABILITY IS LIMITED TO THE GREATEST EXTENT PERMITTED BY SUCH STATE.</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IOI INVESTOR SERVICES, LLC, is the owner and/or authorized user of any trademark, registered trademark and/or service mark appearing on FrameworkInvesting.com, and is the copyright owner or licensee of the content and/or information on the Website, unless otherwise indicated. IOI INVESTOR SERVICES, LLC does not grant to you a license to any content, features or materials you may access on the FrameworkInvesting.co</a:t>
          </a:r>
          <a:r>
            <a:rPr lang="en-US" sz="1100" baseline="0">
              <a:solidFill>
                <a:schemeClr val="tx1"/>
              </a:solidFill>
              <a:effectLst/>
              <a:latin typeface="+mn-lt"/>
              <a:ea typeface="+mn-ea"/>
              <a:cs typeface="+mn-cs"/>
            </a:rPr>
            <a:t>m </a:t>
          </a:r>
          <a:r>
            <a:rPr lang="en-US" sz="1100">
              <a:solidFill>
                <a:schemeClr val="tx1"/>
              </a:solidFill>
              <a:effectLst/>
              <a:latin typeface="+mn-lt"/>
              <a:ea typeface="+mn-ea"/>
              <a:cs typeface="+mn-cs"/>
            </a:rPr>
            <a:t>website. You may not download or save a copy of any of the content or screens except as otherwise provided in these Terms and Conditions, for any purpose. You may, however, print a copy of the information FrameworkInvesting.co</a:t>
          </a:r>
          <a:r>
            <a:rPr lang="en-US" sz="1100" baseline="0">
              <a:solidFill>
                <a:schemeClr val="tx1"/>
              </a:solidFill>
              <a:effectLst/>
              <a:latin typeface="+mn-lt"/>
              <a:ea typeface="+mn-ea"/>
              <a:cs typeface="+mn-cs"/>
            </a:rPr>
            <a:t>m </a:t>
          </a:r>
          <a:r>
            <a:rPr lang="en-US" sz="1100">
              <a:solidFill>
                <a:schemeClr val="tx1"/>
              </a:solidFill>
              <a:effectLst/>
              <a:latin typeface="+mn-lt"/>
              <a:ea typeface="+mn-ea"/>
              <a:cs typeface="+mn-cs"/>
            </a:rPr>
            <a:t>solely for your private personal use in any location on our Website where a "print" or "download" option is specifically made available by Us. </a:t>
          </a:r>
        </a:p>
        <a:p>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Confidentiality, Nondisclosure</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As used in this Agreement, the term "Confidential Information" refers to any and all programs, concepts, information, data or communication, whether written or oral, furnished or made available by IOI INVESTOR SERVICES, LLC to you regarding IOI INVESTOR SERVICES, LLC or its software and data (including, without limitation any or all designs and concepts, preliminary or otherwise, relating thereto) (collectively, "Confidential Information"). By using the Services, you acknowledge and agree that the information disclosed by IOI INVESTOR SERVICES, LLC is a valuable trade secret of IOI INVESTOR SERVICES, LLC, and is being disclosed pursuant to this agreement for your exclusive use. You further agree that: You will hold in strict confidence all Confidential Information and agree not to publish, disclose or otherwise disseminate such confidential Information to anyone other than a member or employee of IOI INVESTOR SERVICES, LLC, and that you will not cause the transmission, removal, or transport of any Confidential Information.</a:t>
          </a:r>
        </a:p>
        <a:p>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User Conduct For IOI INVESTOR SERVICES, LLC:</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While using the Service, you may not:</a:t>
          </a:r>
        </a:p>
        <a:p>
          <a:r>
            <a:rPr lang="en-US" sz="1100">
              <a:solidFill>
                <a:schemeClr val="tx1"/>
              </a:solidFill>
              <a:effectLst/>
              <a:latin typeface="+mn-lt"/>
              <a:ea typeface="+mn-ea"/>
              <a:cs typeface="+mn-cs"/>
            </a:rPr>
            <a:t>1.) publish, transmit, reproduce, or distribute in any way, information, software or other material that appears on the Web Site which is protected by copyright, or other proprietary or intellectual property right, or derivative works with respect thereto, without obtaining permission of the copyright owner or licenser; or</a:t>
          </a:r>
        </a:p>
        <a:p>
          <a:r>
            <a:rPr lang="en-US" sz="1100">
              <a:solidFill>
                <a:schemeClr val="tx1"/>
              </a:solidFill>
              <a:effectLst/>
              <a:latin typeface="+mn-lt"/>
              <a:ea typeface="+mn-ea"/>
              <a:cs typeface="+mn-cs"/>
            </a:rPr>
            <a:t>2.) publish, reproduce, transmit or distribute in any way any component of the Service itself or derivative works with respect thereto, as the Service is copyrighted as a collective work under US copyright laws; or</a:t>
          </a:r>
        </a:p>
        <a:p>
          <a:r>
            <a:rPr lang="en-US" sz="1100">
              <a:solidFill>
                <a:schemeClr val="tx1"/>
              </a:solidFill>
              <a:effectLst/>
              <a:latin typeface="+mn-lt"/>
              <a:ea typeface="+mn-ea"/>
              <a:cs typeface="+mn-cs"/>
            </a:rPr>
            <a:t>3.) publish, transmit, reproduce, distribute or in any way exploit any information, software or other material obtained through the Service for commercial purposes, or any purpose other than private, personal use (or as expressly permitted by the provider of such information, software or other material); or</a:t>
          </a:r>
        </a:p>
        <a:p>
          <a:r>
            <a:rPr lang="en-US" sz="1100">
              <a:solidFill>
                <a:schemeClr val="tx1"/>
              </a:solidFill>
              <a:effectLst/>
              <a:latin typeface="+mn-lt"/>
              <a:ea typeface="+mn-ea"/>
              <a:cs typeface="+mn-cs"/>
            </a:rPr>
            <a:t>4.) knowingly violate any laws, including without limitation the Securities Act of 1933 and Securities Exchange Act, or any rule of any securities exchange, including, without limitation, the New York Stock Exchange or the NASDAQ/AMEX; or</a:t>
          </a:r>
        </a:p>
        <a:p>
          <a:r>
            <a:rPr lang="en-US" sz="1100">
              <a:solidFill>
                <a:schemeClr val="tx1"/>
              </a:solidFill>
              <a:effectLst/>
              <a:latin typeface="+mn-lt"/>
              <a:ea typeface="+mn-ea"/>
              <a:cs typeface="+mn-cs"/>
            </a:rPr>
            <a:t>5.) impersonate any other person or entity, or misrepresent your affiliation with any other person or entity (including without limitation, IOI INVESTOR SERVICES, LLC).</a:t>
          </a:r>
        </a:p>
        <a:p>
          <a:r>
            <a:rPr lang="en-US" sz="1100">
              <a:solidFill>
                <a:schemeClr val="tx1"/>
              </a:solidFill>
              <a:effectLst/>
              <a:latin typeface="+mn-lt"/>
              <a:ea typeface="+mn-ea"/>
              <a:cs typeface="+mn-cs"/>
            </a:rPr>
            <a:t>We have no obligation to monitor the Service. You acknowledge and agree, however, that we do retain the right to monitor the Service and, subject to the limitations of the IOI INVESTOR SERVICES, LLC privacy policy, to disclose any information as necessary or appropriate to satisfy any law, regulation or other governmental request, to operate the Service properly, or to protect FrameworkInvesting.com.</a:t>
          </a:r>
        </a:p>
        <a:p>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Data:</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In addition to the limitations above, subscribers acknowledge that data is subject to errors and omissions, which may or may not have been caused by our Service, and that the data is provided "as is", without warranty for merchantability or fitness for any purpose.</a:t>
          </a:r>
        </a:p>
        <a:p>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Miscellaneous:</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The Terms and Conditions and the relationship between you and IOI INVESTOR SERVICES, LLC shall be governed by the laws of the State of Illinois, without regard to its conflict of law provisions. You and IOI INVESTOR SERVICES, LLC agree that this Agreement is made, and all performance under this Agreement will take place, at IOI INVESTOR SERVICES, LLC offices in Arlington Heights, IL. You and IOI INVESTOR SERVICES, LLC each agree to submit to the personal and exclusive jurisdiction of the courts located within the state of Illinois.</a:t>
          </a:r>
        </a:p>
        <a:p>
          <a:r>
            <a:rPr lang="en-US" sz="1100">
              <a:solidFill>
                <a:schemeClr val="tx1"/>
              </a:solidFill>
              <a:effectLst/>
              <a:latin typeface="+mn-lt"/>
              <a:ea typeface="+mn-ea"/>
              <a:cs typeface="+mn-cs"/>
            </a:rPr>
            <a:t>The failure of IOI INVESTOR SERVICES, LLC to exercise or enforce any right or provision of the Terms and Conditions shall not constitute a waiver of such right or provision. If any provision of the Terms and Conditions is found by a court of competent jurisdiction to be invalid, the parties nevertheless agree that the court should endeavor to give effect to the parties' intentions as reflected in the provision, and the other provisions of the Terms and Conditions remain in full force and effect.</a:t>
          </a:r>
        </a:p>
        <a:p>
          <a:r>
            <a:rPr lang="en-US" sz="1100">
              <a:solidFill>
                <a:schemeClr val="tx1"/>
              </a:solidFill>
              <a:effectLst/>
              <a:latin typeface="+mn-lt"/>
              <a:ea typeface="+mn-ea"/>
              <a:cs typeface="+mn-cs"/>
            </a:rPr>
            <a:t>You agree that regardless of any statute or law to the contrary, any claim or cause of action arising out of or related to use of the Service or the Terms and Conditions must be filed within one (1) year after such claim or cause of action arose or be forever barred.</a:t>
          </a:r>
        </a:p>
        <a:p>
          <a:r>
            <a:rPr lang="en-US" sz="1100">
              <a:solidFill>
                <a:schemeClr val="tx1"/>
              </a:solidFill>
              <a:effectLst/>
              <a:latin typeface="+mn-lt"/>
              <a:ea typeface="+mn-ea"/>
              <a:cs typeface="+mn-cs"/>
            </a:rPr>
            <a:t> </a:t>
          </a:r>
        </a:p>
        <a:p>
          <a:endParaRPr lang="en-US" sz="1100"/>
        </a:p>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ramework%20Investing%20BSM%20Cone%20Workbook%20-%20with%20Likely%20Valu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rik/AppData/Roaming/Microsoft/Excel/Integrated%20Model%202012.10%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Valuation Range"/>
      <sheetName val="Cone Only"/>
      <sheetName val="Cone with Value Range"/>
      <sheetName val="Stock Price Data"/>
      <sheetName val="Calculations"/>
      <sheetName val="Disclaimer"/>
    </sheetNames>
    <sheetDataSet>
      <sheetData sheetId="0">
        <row r="3">
          <cell r="C3">
            <v>0.35</v>
          </cell>
        </row>
        <row r="4">
          <cell r="C4">
            <v>0.35</v>
          </cell>
        </row>
        <row r="8">
          <cell r="C8">
            <v>3.0000000000000027E-3</v>
          </cell>
        </row>
      </sheetData>
      <sheetData sheetId="1" refreshError="1"/>
      <sheetData sheetId="2" refreshError="1"/>
      <sheetData sheetId="3" refreshError="1"/>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Valuation Model"/>
      <sheetName val="Calculations"/>
      <sheetName val="Full Chart"/>
    </sheetNames>
    <sheetDataSet>
      <sheetData sheetId="0">
        <row r="3">
          <cell r="C3">
            <v>0.17699999999999999</v>
          </cell>
        </row>
      </sheetData>
      <sheetData sheetId="1">
        <row r="22">
          <cell r="M22">
            <v>0.03</v>
          </cell>
        </row>
      </sheetData>
      <sheetData sheetId="2"/>
      <sheetData sheetId="3" refreshError="1"/>
    </sheetDataSet>
  </externalBook>
</externalLink>
</file>

<file path=xl/persons/person.xml><?xml version="1.0" encoding="utf-8"?>
<personList xmlns="http://schemas.microsoft.com/office/spreadsheetml/2018/threadedcomments" xmlns:x="http://schemas.openxmlformats.org/spreadsheetml/2006/main">
  <person displayName="Erik Kobayashi-Solomon" id="{617FE7A3-774D-4867-BD43-7CAF2419FC43}" userId="31dfedd50d51e5ce"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3" dT="2019-01-07T16:21:02.92" personId="{617FE7A3-774D-4867-BD43-7CAF2419FC43}" id="{54250CCC-9291-4516-9EAE-A0E78A38DE31}">
    <text>This field only controls the graphical display of position value at different prices; it is not used for calculations. The field used for calculations is "Purchase Price" below, which must be filled out for the sheet to work properly.</text>
  </threadedComment>
  <threadedComment ref="A7" dT="2019-01-07T16:19:41.14" personId="{617FE7A3-774D-4867-BD43-7CAF2419FC43}" id="{C230159F-807B-4A5A-95F3-D8AF76CC5B51}">
    <text>You must fill out this purchase price even if you are not purchasing the stock, but only options. Option calculations related to moneyness are connected to this value, so if you do not fill a value in here, the sheet will not work. Use the current price of the stock when you analyzed / bought your call options.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D1DB-B9E6-4AAC-A021-9EDF5934CE13}">
  <dimension ref="A1:AY145"/>
  <sheetViews>
    <sheetView showGridLines="0" tabSelected="1" zoomScaleNormal="100" workbookViewId="0">
      <pane ySplit="2" topLeftCell="A3" activePane="bottomLeft" state="frozen"/>
      <selection pane="bottomLeft" activeCell="B3" sqref="B3"/>
    </sheetView>
  </sheetViews>
  <sheetFormatPr defaultRowHeight="15" x14ac:dyDescent="0.25"/>
  <cols>
    <col min="1" max="1" width="24" customWidth="1"/>
    <col min="2" max="2" width="13.5703125" customWidth="1"/>
    <col min="3" max="3" width="4.5703125" customWidth="1"/>
    <col min="4" max="4" width="25.7109375" customWidth="1"/>
    <col min="5" max="5" width="13.5703125" customWidth="1"/>
    <col min="6" max="6" width="4.5703125" customWidth="1"/>
    <col min="7" max="7" width="25.7109375" customWidth="1"/>
    <col min="8" max="8" width="13.5703125" customWidth="1"/>
    <col min="9" max="9" width="4.5703125" customWidth="1"/>
    <col min="10" max="10" width="25.7109375" customWidth="1"/>
    <col min="11" max="11" width="13.5703125" customWidth="1"/>
    <col min="12" max="12" width="14.85546875" bestFit="1" customWidth="1"/>
    <col min="14" max="14" width="9.28515625" bestFit="1" customWidth="1"/>
    <col min="15" max="17" width="9.28515625" customWidth="1"/>
    <col min="18" max="18" width="21.5703125" bestFit="1" customWidth="1"/>
    <col min="19" max="21" width="22" bestFit="1" customWidth="1"/>
    <col min="22" max="22" width="11.7109375" bestFit="1" customWidth="1"/>
    <col min="23" max="23" width="25" bestFit="1" customWidth="1"/>
    <col min="24" max="24" width="27.28515625" bestFit="1" customWidth="1"/>
    <col min="25" max="25" width="26.42578125" bestFit="1" customWidth="1"/>
    <col min="26" max="26" width="28.42578125" bestFit="1" customWidth="1"/>
    <col min="27" max="27" width="28.7109375" bestFit="1" customWidth="1"/>
    <col min="28" max="28" width="25" bestFit="1" customWidth="1"/>
    <col min="29" max="29" width="27.42578125" bestFit="1" customWidth="1"/>
    <col min="30" max="30" width="26.42578125" bestFit="1" customWidth="1"/>
    <col min="31" max="31" width="28.42578125" bestFit="1" customWidth="1"/>
    <col min="32" max="32" width="28.7109375" bestFit="1" customWidth="1"/>
    <col min="33" max="33" width="25" bestFit="1" customWidth="1"/>
    <col min="34" max="34" width="27.42578125" bestFit="1" customWidth="1"/>
    <col min="35" max="35" width="26.42578125" bestFit="1" customWidth="1"/>
    <col min="36" max="36" width="28.42578125" bestFit="1" customWidth="1"/>
    <col min="37" max="37" width="28.7109375" bestFit="1" customWidth="1"/>
    <col min="38" max="38" width="18" bestFit="1" customWidth="1"/>
    <col min="39" max="39" width="26.140625" bestFit="1" customWidth="1"/>
    <col min="40" max="40" width="20.140625" bestFit="1" customWidth="1"/>
    <col min="41" max="41" width="11" bestFit="1" customWidth="1"/>
    <col min="42" max="42" width="18.85546875" bestFit="1" customWidth="1"/>
    <col min="43" max="43" width="17.7109375" bestFit="1" customWidth="1"/>
    <col min="44" max="44" width="13" bestFit="1" customWidth="1"/>
    <col min="45" max="45" width="7" bestFit="1" customWidth="1"/>
    <col min="46" max="46" width="12" bestFit="1" customWidth="1"/>
    <col min="47" max="47" width="11" bestFit="1" customWidth="1"/>
    <col min="48" max="50" width="7.85546875" bestFit="1" customWidth="1"/>
    <col min="51" max="51" width="25.5703125" bestFit="1" customWidth="1"/>
  </cols>
  <sheetData>
    <row r="1" spans="1:51" x14ac:dyDescent="0.25">
      <c r="A1" s="30" t="s">
        <v>73</v>
      </c>
      <c r="B1" s="30" t="s">
        <v>6</v>
      </c>
      <c r="N1" s="59" t="s">
        <v>77</v>
      </c>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row>
    <row r="2" spans="1:51" x14ac:dyDescent="0.25">
      <c r="A2" s="27" t="s">
        <v>96</v>
      </c>
      <c r="B2" s="27" t="s">
        <v>95</v>
      </c>
      <c r="C2" s="11"/>
      <c r="D2" s="11"/>
      <c r="N2" s="33" t="s">
        <v>25</v>
      </c>
      <c r="O2" s="33" t="s">
        <v>91</v>
      </c>
      <c r="P2" s="33" t="s">
        <v>92</v>
      </c>
      <c r="Q2" s="33" t="s">
        <v>93</v>
      </c>
      <c r="R2" s="33" t="s">
        <v>4</v>
      </c>
      <c r="S2" s="33" t="s">
        <v>26</v>
      </c>
      <c r="T2" s="33" t="s">
        <v>27</v>
      </c>
      <c r="U2" s="33" t="s">
        <v>28</v>
      </c>
      <c r="V2" s="33" t="s">
        <v>8</v>
      </c>
      <c r="W2" s="33" t="s">
        <v>38</v>
      </c>
      <c r="X2" s="33" t="s">
        <v>52</v>
      </c>
      <c r="Y2" s="33" t="s">
        <v>53</v>
      </c>
      <c r="Z2" s="33" t="s">
        <v>40</v>
      </c>
      <c r="AA2" s="33" t="s">
        <v>41</v>
      </c>
      <c r="AB2" s="33" t="s">
        <v>44</v>
      </c>
      <c r="AC2" s="33" t="s">
        <v>45</v>
      </c>
      <c r="AD2" s="33" t="s">
        <v>56</v>
      </c>
      <c r="AE2" s="33" t="s">
        <v>46</v>
      </c>
      <c r="AF2" s="33" t="s">
        <v>47</v>
      </c>
      <c r="AG2" s="33" t="s">
        <v>48</v>
      </c>
      <c r="AH2" s="33" t="s">
        <v>49</v>
      </c>
      <c r="AI2" s="33" t="s">
        <v>57</v>
      </c>
      <c r="AJ2" s="33" t="s">
        <v>50</v>
      </c>
      <c r="AK2" s="33" t="s">
        <v>51</v>
      </c>
      <c r="AL2" s="33" t="s">
        <v>18</v>
      </c>
      <c r="AM2" s="33" t="s">
        <v>54</v>
      </c>
      <c r="AN2" s="33" t="s">
        <v>55</v>
      </c>
      <c r="AO2" s="33" t="s">
        <v>14</v>
      </c>
      <c r="AP2" s="33" t="s">
        <v>42</v>
      </c>
      <c r="AQ2" s="33" t="s">
        <v>43</v>
      </c>
      <c r="AR2" s="33" t="s">
        <v>15</v>
      </c>
      <c r="AS2" s="33" t="s">
        <v>16</v>
      </c>
      <c r="AT2" s="33" t="s">
        <v>20</v>
      </c>
      <c r="AU2" s="33" t="s">
        <v>30</v>
      </c>
      <c r="AV2" s="33" t="s">
        <v>31</v>
      </c>
      <c r="AW2" s="33" t="s">
        <v>32</v>
      </c>
      <c r="AX2" s="33" t="s">
        <v>33</v>
      </c>
      <c r="AY2" s="33" t="s">
        <v>34</v>
      </c>
    </row>
    <row r="3" spans="1:51" x14ac:dyDescent="0.25">
      <c r="A3" s="57" t="s">
        <v>94</v>
      </c>
      <c r="B3" s="9">
        <v>30</v>
      </c>
      <c r="D3" s="28"/>
      <c r="E3" s="29"/>
      <c r="F3" s="29"/>
      <c r="G3" s="29"/>
      <c r="H3" s="29"/>
      <c r="I3" s="29"/>
      <c r="J3" s="29"/>
      <c r="N3" s="10">
        <v>0</v>
      </c>
      <c r="O3" s="10">
        <f t="shared" ref="O3:O34" si="0">IF(N3&gt;=strike1,1,0)</f>
        <v>0</v>
      </c>
      <c r="P3" s="10">
        <f t="shared" ref="P3:P34" si="1">IF(N3&gt;=strike2,1,0)</f>
        <v>0</v>
      </c>
      <c r="Q3" s="10">
        <f t="shared" ref="Q3:Q34" si="2">IF(N3&gt;=strike3,1,0)</f>
        <v>0</v>
      </c>
      <c r="R3" s="1">
        <f t="shared" ref="R3:R34" si="3">fullStockAllocation*(N3-stockPx)</f>
        <v>-4988.83</v>
      </c>
      <c r="S3" s="1">
        <f t="shared" ref="S3:S34" si="4">IF($N3&lt;strike1,-fullOption1*option1Px*contract1Size,($N3-strike1-option1Px)*fullOption1*contract1Size)</f>
        <v>-5000</v>
      </c>
      <c r="T3" s="1">
        <f t="shared" ref="T3:T34" si="5">IF($N3&lt;strike2,-fullOption2*option2Px*100,($N3-strike2-option2Px)*fullOption2*contract2Size)</f>
        <v>-4800</v>
      </c>
      <c r="U3" s="1">
        <f t="shared" ref="U3:U34" si="6">IF($N3&lt;strike3,-fullOption3*option3Px*100,($N3-strike3-option3Px)*fullOption3*contract3Size)</f>
        <v>-1280</v>
      </c>
      <c r="V3" s="2">
        <f>sharesOwned*N3</f>
        <v>0</v>
      </c>
      <c r="W3" s="3">
        <f>-(option1Px-E17)</f>
        <v>-1.0100000000000016</v>
      </c>
      <c r="X3" s="3">
        <f t="shared" ref="X3:X34" si="7">IF(N3&lt;strike1,0,$N3-strike1)</f>
        <v>0</v>
      </c>
      <c r="Y3" s="3">
        <f t="shared" ref="Y3:Y34" si="8">IF($N3&lt;strike1,W3+(X3-$E$17),W3)</f>
        <v>-10</v>
      </c>
      <c r="Z3" s="3">
        <f t="shared" ref="Z3" si="9">IF(X3&lt;&gt;0,IF(X3&lt;=$E$17,X3-$E$17,0),0)</f>
        <v>0</v>
      </c>
      <c r="AA3" s="3">
        <f>IF(X3&gt;$E$17,X3-$E$17,0)</f>
        <v>0</v>
      </c>
      <c r="AB3" s="3">
        <f>-(option2Px-$H$17)</f>
        <v>-3</v>
      </c>
      <c r="AC3" s="3">
        <f t="shared" ref="AC3:AC34" si="10">IF($N3&lt;strike2,0,($N3-strike2))</f>
        <v>0</v>
      </c>
      <c r="AD3" s="3">
        <f t="shared" ref="AD3:AD34" si="11">IF($N3&lt;strike2,AB3+(AC3-$H$17),AB3)</f>
        <v>-3</v>
      </c>
      <c r="AE3" s="3">
        <f>IF(AC3&lt;&gt;0,IF(AC3&lt;=$H$17,AC3-$H$17,0),0)</f>
        <v>0</v>
      </c>
      <c r="AF3" s="3">
        <f>IF(AC3&gt;$H$17,AC3-$H$17,0)</f>
        <v>0</v>
      </c>
      <c r="AG3" s="3">
        <f>-(option3Px-$K$17)</f>
        <v>-0.8</v>
      </c>
      <c r="AH3" s="3">
        <f t="shared" ref="AH3:AH34" si="12">IF($N3&lt;strike3,0,($N3-strike3))</f>
        <v>0</v>
      </c>
      <c r="AI3" s="3">
        <f t="shared" ref="AI3:AI34" si="13">IF($N3&lt;strike3,AG3+(AH3-$K$17),AG3)</f>
        <v>-0.8</v>
      </c>
      <c r="AJ3" s="3">
        <f>IF(Q4=1,IF(AH3&lt;=$K$17,AH3-$K$17,0),0)</f>
        <v>0</v>
      </c>
      <c r="AK3" s="3">
        <f>IF(AH3&gt;$K$17,AH3-$K$17,0)</f>
        <v>0</v>
      </c>
      <c r="AL3" s="2">
        <f>V3</f>
        <v>0</v>
      </c>
      <c r="AM3" s="2">
        <f t="shared" ref="AM3:AM34" si="14">AA3*contract1Size*option1Position+AF3*contract2Size*option2Position+AK3*contract3Size*option3Position</f>
        <v>0</v>
      </c>
      <c r="AN3" s="2">
        <f>AL3+AM3</f>
        <v>0</v>
      </c>
      <c r="AO3" s="2">
        <f>Y3*contract1Size*option1Position+AD3*contract2Size*option2Position+AI3*contract3Size*option3Position+(sharesOwned*(N3-stockPx))</f>
        <v>-4758.7999999999993</v>
      </c>
      <c r="AP3" s="2">
        <f t="shared" ref="AP3:AP34" si="15">Z3*contract1Size*option1Position+AE3*contract2Size*option2Position+AJ3*contract3Size*option3Position</f>
        <v>0</v>
      </c>
      <c r="AQ3" s="2">
        <v>0</v>
      </c>
      <c r="AR3" s="2">
        <v>0</v>
      </c>
      <c r="AS3" s="2">
        <f>B17</f>
        <v>241.20000000000073</v>
      </c>
      <c r="AT3" s="2">
        <f>AO3+AN3+AR3</f>
        <v>-4758.7999999999993</v>
      </c>
      <c r="AU3" s="1" t="e">
        <f t="shared" ref="AU3:AU31" si="16">IF(AX3=MIN(AX$3:AX$103),AT3,NA())</f>
        <v>#N/A</v>
      </c>
      <c r="AV3" s="2">
        <f t="shared" ref="AV3:AV34" si="17">presentPrice</f>
        <v>30</v>
      </c>
      <c r="AW3" s="3">
        <f t="shared" ref="AW3:AW34" si="18">N3+N$3</f>
        <v>0</v>
      </c>
      <c r="AX3" s="3">
        <f>ABS(AV3-AW3)</f>
        <v>30</v>
      </c>
      <c r="AY3" s="2">
        <f t="shared" ref="AY3:AY34" si="19">AT3-R3</f>
        <v>230.03000000000065</v>
      </c>
    </row>
    <row r="4" spans="1:51" x14ac:dyDescent="0.25">
      <c r="N4" s="10">
        <f>N103/100</f>
        <v>0.3</v>
      </c>
      <c r="O4" s="10">
        <f t="shared" si="0"/>
        <v>0</v>
      </c>
      <c r="P4" s="10">
        <f t="shared" si="1"/>
        <v>0</v>
      </c>
      <c r="Q4" s="10">
        <f t="shared" si="2"/>
        <v>0</v>
      </c>
      <c r="R4" s="1">
        <f t="shared" si="3"/>
        <v>-4923.7299999999996</v>
      </c>
      <c r="S4" s="1">
        <f t="shared" si="4"/>
        <v>-5000</v>
      </c>
      <c r="T4" s="1">
        <f t="shared" si="5"/>
        <v>-4800</v>
      </c>
      <c r="U4" s="1">
        <f t="shared" si="6"/>
        <v>-1280</v>
      </c>
      <c r="V4" s="2">
        <f t="shared" ref="V4:V35" si="20">sharesOwned*(N4-stockPx)</f>
        <v>-2722.7999999999997</v>
      </c>
      <c r="W4" s="3">
        <f>W3</f>
        <v>-1.0100000000000016</v>
      </c>
      <c r="X4" s="3">
        <f t="shared" si="7"/>
        <v>0</v>
      </c>
      <c r="Y4" s="3">
        <f t="shared" si="8"/>
        <v>-10</v>
      </c>
      <c r="Z4" s="3">
        <f>IF(O4=1,IF(X4&lt;$E$17,X4-$E$17,0),0)</f>
        <v>0</v>
      </c>
      <c r="AA4" s="3">
        <f t="shared" ref="AA4:AA67" si="21">IF(X4&gt;$E$17,X4-$E$17,0)</f>
        <v>0</v>
      </c>
      <c r="AB4" s="3">
        <f>AB3</f>
        <v>-3</v>
      </c>
      <c r="AC4" s="3">
        <f t="shared" si="10"/>
        <v>0</v>
      </c>
      <c r="AD4" s="3">
        <f t="shared" si="11"/>
        <v>-3</v>
      </c>
      <c r="AE4" s="3">
        <f>IF(P4=1,IF(AC4&lt;=$H$17,AC4-$H$17,0),0)</f>
        <v>0</v>
      </c>
      <c r="AF4" s="3">
        <f t="shared" ref="AF4:AF67" si="22">IF(AC4&gt;$H$17,AC4-$H$17,0)</f>
        <v>0</v>
      </c>
      <c r="AG4" s="3">
        <f>AG3</f>
        <v>-0.8</v>
      </c>
      <c r="AH4" s="3">
        <f t="shared" si="12"/>
        <v>0</v>
      </c>
      <c r="AI4" s="3">
        <f t="shared" si="13"/>
        <v>-0.8</v>
      </c>
      <c r="AJ4" s="3">
        <f t="shared" ref="AJ4:AJ67" si="23">IF(Q5=1,IF(AH4&lt;=$K$17,AH4-$K$17,0),0)</f>
        <v>0</v>
      </c>
      <c r="AK4" s="3">
        <f t="shared" ref="AK4:AK67" si="24">IF(AH4&gt;$K$17,AH4-$K$17,0)</f>
        <v>0</v>
      </c>
      <c r="AL4" s="2">
        <f t="shared" ref="AL4:AL35" si="25">IF(V4&lt;0,0,V4)</f>
        <v>0</v>
      </c>
      <c r="AM4" s="2">
        <f t="shared" si="14"/>
        <v>0</v>
      </c>
      <c r="AN4" s="2">
        <f t="shared" ref="AN4" si="26">AL4+AM4</f>
        <v>0</v>
      </c>
      <c r="AO4" s="2">
        <f t="shared" ref="AO4:AO35" si="27">Y4*contract1Size*option1Position+AD4*contract2Size*option2Position+AI4*contract3Size*option3Position</f>
        <v>-2000</v>
      </c>
      <c r="AP4" s="2">
        <f t="shared" si="15"/>
        <v>0</v>
      </c>
      <c r="AQ4" s="2">
        <f t="shared" ref="AQ4:AQ35" si="28">IF(N4&lt;stockPx,($N4-stockPx)*sharesOwned,0)</f>
        <v>-2722.7999999999997</v>
      </c>
      <c r="AR4" s="2">
        <f>AP4+AQ4</f>
        <v>-2722.7999999999997</v>
      </c>
      <c r="AS4" s="2">
        <f>AS3</f>
        <v>241.20000000000073</v>
      </c>
      <c r="AT4" s="2">
        <f t="shared" ref="AT4:AT67" si="29">AO4+AN4+AR4</f>
        <v>-4722.7999999999993</v>
      </c>
      <c r="AU4" s="1" t="e">
        <f t="shared" si="16"/>
        <v>#N/A</v>
      </c>
      <c r="AV4" s="2">
        <f t="shared" si="17"/>
        <v>30</v>
      </c>
      <c r="AW4" s="3">
        <f t="shared" si="18"/>
        <v>0.3</v>
      </c>
      <c r="AX4" s="3">
        <f t="shared" ref="AX4:AX67" si="30">ABS(AV4-AW4)</f>
        <v>29.7</v>
      </c>
      <c r="AY4" s="2">
        <f t="shared" si="19"/>
        <v>200.93000000000029</v>
      </c>
    </row>
    <row r="5" spans="1:51" x14ac:dyDescent="0.25">
      <c r="A5" s="60" t="s">
        <v>60</v>
      </c>
      <c r="B5" s="60"/>
      <c r="C5" s="60"/>
      <c r="D5" s="60"/>
      <c r="E5" s="60"/>
      <c r="F5" s="60"/>
      <c r="G5" s="60"/>
      <c r="H5" s="60"/>
      <c r="I5" s="60"/>
      <c r="J5" s="60"/>
      <c r="K5" s="60"/>
      <c r="N5" s="10">
        <f t="shared" ref="N5:N36" si="31">N4+N$4</f>
        <v>0.6</v>
      </c>
      <c r="O5" s="10">
        <f t="shared" si="0"/>
        <v>0</v>
      </c>
      <c r="P5" s="10">
        <f t="shared" si="1"/>
        <v>0</v>
      </c>
      <c r="Q5" s="10">
        <f t="shared" si="2"/>
        <v>0</v>
      </c>
      <c r="R5" s="1">
        <f t="shared" si="3"/>
        <v>-4858.6299999999992</v>
      </c>
      <c r="S5" s="1">
        <f t="shared" si="4"/>
        <v>-5000</v>
      </c>
      <c r="T5" s="1">
        <f t="shared" si="5"/>
        <v>-4800</v>
      </c>
      <c r="U5" s="1">
        <f t="shared" si="6"/>
        <v>-1280</v>
      </c>
      <c r="V5" s="2">
        <f t="shared" si="20"/>
        <v>-2686.7999999999997</v>
      </c>
      <c r="W5" s="3">
        <f t="shared" ref="W5:W68" si="32">W4</f>
        <v>-1.0100000000000016</v>
      </c>
      <c r="X5" s="3">
        <f t="shared" si="7"/>
        <v>0</v>
      </c>
      <c r="Y5" s="3">
        <f t="shared" si="8"/>
        <v>-10</v>
      </c>
      <c r="Z5" s="3">
        <f t="shared" ref="Z5:Z56" si="33">IF(O5=1,IF(X5&lt;$E$17,X5-$E$17,0),0)</f>
        <v>0</v>
      </c>
      <c r="AA5" s="3">
        <f t="shared" si="21"/>
        <v>0</v>
      </c>
      <c r="AB5" s="3">
        <f t="shared" ref="AB5:AB68" si="34">AB4</f>
        <v>-3</v>
      </c>
      <c r="AC5" s="3">
        <f t="shared" si="10"/>
        <v>0</v>
      </c>
      <c r="AD5" s="3">
        <f t="shared" si="11"/>
        <v>-3</v>
      </c>
      <c r="AE5" s="3">
        <f t="shared" ref="AE5:AE68" si="35">IF(P5=1,IF(AC5&lt;=$H$17,AC5-$H$17,0),0)</f>
        <v>0</v>
      </c>
      <c r="AF5" s="3">
        <f t="shared" si="22"/>
        <v>0</v>
      </c>
      <c r="AG5" s="3">
        <f t="shared" ref="AG5:AG68" si="36">AG4</f>
        <v>-0.8</v>
      </c>
      <c r="AH5" s="3">
        <f t="shared" si="12"/>
        <v>0</v>
      </c>
      <c r="AI5" s="3">
        <f t="shared" si="13"/>
        <v>-0.8</v>
      </c>
      <c r="AJ5" s="3">
        <f t="shared" si="23"/>
        <v>0</v>
      </c>
      <c r="AK5" s="3">
        <f t="shared" si="24"/>
        <v>0</v>
      </c>
      <c r="AL5" s="2">
        <f t="shared" si="25"/>
        <v>0</v>
      </c>
      <c r="AM5" s="2">
        <f t="shared" si="14"/>
        <v>0</v>
      </c>
      <c r="AN5" s="2">
        <f t="shared" ref="AN5:AN68" si="37">AL5+AM5</f>
        <v>0</v>
      </c>
      <c r="AO5" s="2">
        <f t="shared" si="27"/>
        <v>-2000</v>
      </c>
      <c r="AP5" s="2">
        <f t="shared" si="15"/>
        <v>0</v>
      </c>
      <c r="AQ5" s="2">
        <f t="shared" si="28"/>
        <v>-2686.7999999999997</v>
      </c>
      <c r="AR5" s="2">
        <f t="shared" ref="AR5:AR68" si="38">AP5+AQ5</f>
        <v>-2686.7999999999997</v>
      </c>
      <c r="AS5" s="2">
        <f t="shared" ref="AS5:AS68" si="39">AS4</f>
        <v>241.20000000000073</v>
      </c>
      <c r="AT5" s="2">
        <f t="shared" si="29"/>
        <v>-4686.7999999999993</v>
      </c>
      <c r="AU5" s="1" t="e">
        <f t="shared" si="16"/>
        <v>#N/A</v>
      </c>
      <c r="AV5" s="2">
        <f t="shared" si="17"/>
        <v>30</v>
      </c>
      <c r="AW5" s="3">
        <f t="shared" si="18"/>
        <v>0.6</v>
      </c>
      <c r="AX5" s="3">
        <f t="shared" si="30"/>
        <v>29.4</v>
      </c>
      <c r="AY5" s="2">
        <f t="shared" si="19"/>
        <v>171.82999999999993</v>
      </c>
    </row>
    <row r="6" spans="1:51" x14ac:dyDescent="0.25">
      <c r="A6" s="62" t="s">
        <v>21</v>
      </c>
      <c r="B6" s="62"/>
      <c r="D6" s="62" t="s">
        <v>22</v>
      </c>
      <c r="E6" s="62"/>
      <c r="G6" s="62" t="s">
        <v>23</v>
      </c>
      <c r="H6" s="62"/>
      <c r="J6" s="62" t="s">
        <v>29</v>
      </c>
      <c r="K6" s="62"/>
      <c r="N6" s="10">
        <f t="shared" si="31"/>
        <v>0.89999999999999991</v>
      </c>
      <c r="O6" s="10">
        <f t="shared" si="0"/>
        <v>0</v>
      </c>
      <c r="P6" s="10">
        <f t="shared" si="1"/>
        <v>0</v>
      </c>
      <c r="Q6" s="10">
        <f t="shared" si="2"/>
        <v>0</v>
      </c>
      <c r="R6" s="1">
        <f t="shared" si="3"/>
        <v>-4793.53</v>
      </c>
      <c r="S6" s="1">
        <f t="shared" si="4"/>
        <v>-5000</v>
      </c>
      <c r="T6" s="1">
        <f t="shared" si="5"/>
        <v>-4800</v>
      </c>
      <c r="U6" s="1">
        <f t="shared" si="6"/>
        <v>-1280</v>
      </c>
      <c r="V6" s="2">
        <f t="shared" si="20"/>
        <v>-2650.8</v>
      </c>
      <c r="W6" s="3">
        <f t="shared" si="32"/>
        <v>-1.0100000000000016</v>
      </c>
      <c r="X6" s="3">
        <f t="shared" si="7"/>
        <v>0</v>
      </c>
      <c r="Y6" s="3">
        <f t="shared" si="8"/>
        <v>-10</v>
      </c>
      <c r="Z6" s="3">
        <f t="shared" si="33"/>
        <v>0</v>
      </c>
      <c r="AA6" s="3">
        <f t="shared" si="21"/>
        <v>0</v>
      </c>
      <c r="AB6" s="3">
        <f t="shared" si="34"/>
        <v>-3</v>
      </c>
      <c r="AC6" s="3">
        <f t="shared" si="10"/>
        <v>0</v>
      </c>
      <c r="AD6" s="3">
        <f t="shared" si="11"/>
        <v>-3</v>
      </c>
      <c r="AE6" s="3">
        <f t="shared" si="35"/>
        <v>0</v>
      </c>
      <c r="AF6" s="3">
        <f t="shared" si="22"/>
        <v>0</v>
      </c>
      <c r="AG6" s="3">
        <f t="shared" si="36"/>
        <v>-0.8</v>
      </c>
      <c r="AH6" s="3">
        <f t="shared" si="12"/>
        <v>0</v>
      </c>
      <c r="AI6" s="3">
        <f t="shared" si="13"/>
        <v>-0.8</v>
      </c>
      <c r="AJ6" s="3">
        <f t="shared" si="23"/>
        <v>0</v>
      </c>
      <c r="AK6" s="3">
        <f t="shared" si="24"/>
        <v>0</v>
      </c>
      <c r="AL6" s="2">
        <f t="shared" si="25"/>
        <v>0</v>
      </c>
      <c r="AM6" s="2">
        <f t="shared" si="14"/>
        <v>0</v>
      </c>
      <c r="AN6" s="2">
        <f t="shared" si="37"/>
        <v>0</v>
      </c>
      <c r="AO6" s="2">
        <f t="shared" si="27"/>
        <v>-2000</v>
      </c>
      <c r="AP6" s="2">
        <f t="shared" si="15"/>
        <v>0</v>
      </c>
      <c r="AQ6" s="2">
        <f t="shared" si="28"/>
        <v>-2650.8</v>
      </c>
      <c r="AR6" s="2">
        <f t="shared" si="38"/>
        <v>-2650.8</v>
      </c>
      <c r="AS6" s="2">
        <f t="shared" si="39"/>
        <v>241.20000000000073</v>
      </c>
      <c r="AT6" s="2">
        <f t="shared" si="29"/>
        <v>-4650.8</v>
      </c>
      <c r="AU6" s="1" t="e">
        <f t="shared" si="16"/>
        <v>#N/A</v>
      </c>
      <c r="AV6" s="2">
        <f t="shared" si="17"/>
        <v>30</v>
      </c>
      <c r="AW6" s="3">
        <f t="shared" si="18"/>
        <v>0.89999999999999991</v>
      </c>
      <c r="AX6" s="3">
        <f t="shared" si="30"/>
        <v>29.1</v>
      </c>
      <c r="AY6" s="2">
        <f t="shared" si="19"/>
        <v>142.72999999999956</v>
      </c>
    </row>
    <row r="7" spans="1:51" x14ac:dyDescent="0.25">
      <c r="A7" s="57" t="s">
        <v>1</v>
      </c>
      <c r="B7" s="9">
        <v>22.99</v>
      </c>
      <c r="D7" t="s">
        <v>10</v>
      </c>
      <c r="E7" s="4">
        <v>2</v>
      </c>
      <c r="G7" t="s">
        <v>10</v>
      </c>
      <c r="H7" s="4"/>
      <c r="J7" t="s">
        <v>10</v>
      </c>
      <c r="K7" s="4"/>
      <c r="N7" s="10">
        <f t="shared" si="31"/>
        <v>1.2</v>
      </c>
      <c r="O7" s="10">
        <f t="shared" si="0"/>
        <v>0</v>
      </c>
      <c r="P7" s="10">
        <f t="shared" si="1"/>
        <v>0</v>
      </c>
      <c r="Q7" s="10">
        <f t="shared" si="2"/>
        <v>0</v>
      </c>
      <c r="R7" s="1">
        <f t="shared" si="3"/>
        <v>-4728.4299999999994</v>
      </c>
      <c r="S7" s="1">
        <f t="shared" si="4"/>
        <v>-5000</v>
      </c>
      <c r="T7" s="1">
        <f t="shared" si="5"/>
        <v>-4800</v>
      </c>
      <c r="U7" s="1">
        <f t="shared" si="6"/>
        <v>-1280</v>
      </c>
      <c r="V7" s="2">
        <f t="shared" si="20"/>
        <v>-2614.7999999999997</v>
      </c>
      <c r="W7" s="3">
        <f t="shared" si="32"/>
        <v>-1.0100000000000016</v>
      </c>
      <c r="X7" s="3">
        <f t="shared" si="7"/>
        <v>0</v>
      </c>
      <c r="Y7" s="3">
        <f t="shared" si="8"/>
        <v>-10</v>
      </c>
      <c r="Z7" s="3">
        <f t="shared" si="33"/>
        <v>0</v>
      </c>
      <c r="AA7" s="3">
        <f t="shared" si="21"/>
        <v>0</v>
      </c>
      <c r="AB7" s="3">
        <f t="shared" si="34"/>
        <v>-3</v>
      </c>
      <c r="AC7" s="3">
        <f t="shared" si="10"/>
        <v>0</v>
      </c>
      <c r="AD7" s="3">
        <f t="shared" si="11"/>
        <v>-3</v>
      </c>
      <c r="AE7" s="3">
        <f t="shared" si="35"/>
        <v>0</v>
      </c>
      <c r="AF7" s="3">
        <f t="shared" si="22"/>
        <v>0</v>
      </c>
      <c r="AG7" s="3">
        <f t="shared" si="36"/>
        <v>-0.8</v>
      </c>
      <c r="AH7" s="3">
        <f t="shared" si="12"/>
        <v>0</v>
      </c>
      <c r="AI7" s="3">
        <f t="shared" si="13"/>
        <v>-0.8</v>
      </c>
      <c r="AJ7" s="3">
        <f t="shared" si="23"/>
        <v>0</v>
      </c>
      <c r="AK7" s="3">
        <f t="shared" si="24"/>
        <v>0</v>
      </c>
      <c r="AL7" s="2">
        <f t="shared" si="25"/>
        <v>0</v>
      </c>
      <c r="AM7" s="2">
        <f t="shared" si="14"/>
        <v>0</v>
      </c>
      <c r="AN7" s="2">
        <f t="shared" si="37"/>
        <v>0</v>
      </c>
      <c r="AO7" s="2">
        <f t="shared" si="27"/>
        <v>-2000</v>
      </c>
      <c r="AP7" s="2">
        <f t="shared" si="15"/>
        <v>0</v>
      </c>
      <c r="AQ7" s="2">
        <f t="shared" si="28"/>
        <v>-2614.7999999999997</v>
      </c>
      <c r="AR7" s="2">
        <f t="shared" si="38"/>
        <v>-2614.7999999999997</v>
      </c>
      <c r="AS7" s="2">
        <f t="shared" si="39"/>
        <v>241.20000000000073</v>
      </c>
      <c r="AT7" s="2">
        <f t="shared" si="29"/>
        <v>-4614.7999999999993</v>
      </c>
      <c r="AU7" s="1" t="e">
        <f t="shared" si="16"/>
        <v>#N/A</v>
      </c>
      <c r="AV7" s="2">
        <f t="shared" si="17"/>
        <v>30</v>
      </c>
      <c r="AW7" s="3">
        <f t="shared" si="18"/>
        <v>1.2</v>
      </c>
      <c r="AX7" s="3">
        <f t="shared" si="30"/>
        <v>28.8</v>
      </c>
      <c r="AY7" s="2">
        <f t="shared" si="19"/>
        <v>113.63000000000011</v>
      </c>
    </row>
    <row r="8" spans="1:51" x14ac:dyDescent="0.25">
      <c r="A8" t="s">
        <v>0</v>
      </c>
      <c r="B8" s="9">
        <v>30</v>
      </c>
      <c r="D8" t="s">
        <v>11</v>
      </c>
      <c r="E8" s="9">
        <v>14</v>
      </c>
      <c r="G8" t="s">
        <v>11</v>
      </c>
      <c r="H8" s="4">
        <v>25</v>
      </c>
      <c r="J8" t="s">
        <v>11</v>
      </c>
      <c r="K8" s="4">
        <v>27</v>
      </c>
      <c r="N8" s="10">
        <f t="shared" si="31"/>
        <v>1.5</v>
      </c>
      <c r="O8" s="10">
        <f t="shared" si="0"/>
        <v>0</v>
      </c>
      <c r="P8" s="10">
        <f t="shared" si="1"/>
        <v>0</v>
      </c>
      <c r="Q8" s="10">
        <f t="shared" si="2"/>
        <v>0</v>
      </c>
      <c r="R8" s="1">
        <f t="shared" si="3"/>
        <v>-4663.33</v>
      </c>
      <c r="S8" s="1">
        <f t="shared" si="4"/>
        <v>-5000</v>
      </c>
      <c r="T8" s="1">
        <f t="shared" si="5"/>
        <v>-4800</v>
      </c>
      <c r="U8" s="1">
        <f t="shared" si="6"/>
        <v>-1280</v>
      </c>
      <c r="V8" s="2">
        <f t="shared" si="20"/>
        <v>-2578.7999999999997</v>
      </c>
      <c r="W8" s="3">
        <f t="shared" si="32"/>
        <v>-1.0100000000000016</v>
      </c>
      <c r="X8" s="3">
        <f t="shared" si="7"/>
        <v>0</v>
      </c>
      <c r="Y8" s="3">
        <f t="shared" si="8"/>
        <v>-10</v>
      </c>
      <c r="Z8" s="3">
        <f t="shared" si="33"/>
        <v>0</v>
      </c>
      <c r="AA8" s="3">
        <f t="shared" si="21"/>
        <v>0</v>
      </c>
      <c r="AB8" s="3">
        <f t="shared" si="34"/>
        <v>-3</v>
      </c>
      <c r="AC8" s="3">
        <f t="shared" si="10"/>
        <v>0</v>
      </c>
      <c r="AD8" s="3">
        <f t="shared" si="11"/>
        <v>-3</v>
      </c>
      <c r="AE8" s="3">
        <f t="shared" si="35"/>
        <v>0</v>
      </c>
      <c r="AF8" s="3">
        <f t="shared" si="22"/>
        <v>0</v>
      </c>
      <c r="AG8" s="3">
        <f t="shared" si="36"/>
        <v>-0.8</v>
      </c>
      <c r="AH8" s="3">
        <f t="shared" si="12"/>
        <v>0</v>
      </c>
      <c r="AI8" s="3">
        <f t="shared" si="13"/>
        <v>-0.8</v>
      </c>
      <c r="AJ8" s="3">
        <f t="shared" si="23"/>
        <v>0</v>
      </c>
      <c r="AK8" s="3">
        <f t="shared" si="24"/>
        <v>0</v>
      </c>
      <c r="AL8" s="2">
        <f t="shared" si="25"/>
        <v>0</v>
      </c>
      <c r="AM8" s="2">
        <f t="shared" si="14"/>
        <v>0</v>
      </c>
      <c r="AN8" s="2">
        <f t="shared" si="37"/>
        <v>0</v>
      </c>
      <c r="AO8" s="2">
        <f t="shared" si="27"/>
        <v>-2000</v>
      </c>
      <c r="AP8" s="2">
        <f t="shared" si="15"/>
        <v>0</v>
      </c>
      <c r="AQ8" s="2">
        <f t="shared" si="28"/>
        <v>-2578.7999999999997</v>
      </c>
      <c r="AR8" s="2">
        <f t="shared" si="38"/>
        <v>-2578.7999999999997</v>
      </c>
      <c r="AS8" s="2">
        <f t="shared" si="39"/>
        <v>241.20000000000073</v>
      </c>
      <c r="AT8" s="2">
        <f t="shared" si="29"/>
        <v>-4578.7999999999993</v>
      </c>
      <c r="AU8" s="1" t="e">
        <f t="shared" si="16"/>
        <v>#N/A</v>
      </c>
      <c r="AV8" s="2">
        <f t="shared" si="17"/>
        <v>30</v>
      </c>
      <c r="AW8" s="3">
        <f t="shared" si="18"/>
        <v>1.5</v>
      </c>
      <c r="AX8" s="3">
        <f t="shared" si="30"/>
        <v>28.5</v>
      </c>
      <c r="AY8" s="2">
        <f t="shared" si="19"/>
        <v>84.530000000000655</v>
      </c>
    </row>
    <row r="9" spans="1:51" x14ac:dyDescent="0.25">
      <c r="A9" t="s">
        <v>3</v>
      </c>
      <c r="B9" s="4">
        <v>100000</v>
      </c>
      <c r="D9" t="s">
        <v>12</v>
      </c>
      <c r="E9" s="6">
        <v>10</v>
      </c>
      <c r="G9" t="s">
        <v>12</v>
      </c>
      <c r="H9" s="6">
        <v>3</v>
      </c>
      <c r="J9" t="s">
        <v>12</v>
      </c>
      <c r="K9" s="6">
        <v>0.8</v>
      </c>
      <c r="N9" s="10">
        <f t="shared" si="31"/>
        <v>1.8</v>
      </c>
      <c r="O9" s="10">
        <f t="shared" si="0"/>
        <v>0</v>
      </c>
      <c r="P9" s="10">
        <f t="shared" si="1"/>
        <v>0</v>
      </c>
      <c r="Q9" s="10">
        <f t="shared" si="2"/>
        <v>0</v>
      </c>
      <c r="R9" s="1">
        <f t="shared" si="3"/>
        <v>-4598.2299999999996</v>
      </c>
      <c r="S9" s="1">
        <f t="shared" si="4"/>
        <v>-5000</v>
      </c>
      <c r="T9" s="1">
        <f t="shared" si="5"/>
        <v>-4800</v>
      </c>
      <c r="U9" s="1">
        <f t="shared" si="6"/>
        <v>-1280</v>
      </c>
      <c r="V9" s="2">
        <f t="shared" si="20"/>
        <v>-2542.7999999999997</v>
      </c>
      <c r="W9" s="3">
        <f t="shared" si="32"/>
        <v>-1.0100000000000016</v>
      </c>
      <c r="X9" s="3">
        <f t="shared" si="7"/>
        <v>0</v>
      </c>
      <c r="Y9" s="3">
        <f t="shared" si="8"/>
        <v>-10</v>
      </c>
      <c r="Z9" s="3">
        <f t="shared" si="33"/>
        <v>0</v>
      </c>
      <c r="AA9" s="3">
        <f t="shared" si="21"/>
        <v>0</v>
      </c>
      <c r="AB9" s="3">
        <f t="shared" si="34"/>
        <v>-3</v>
      </c>
      <c r="AC9" s="3">
        <f t="shared" si="10"/>
        <v>0</v>
      </c>
      <c r="AD9" s="3">
        <f t="shared" si="11"/>
        <v>-3</v>
      </c>
      <c r="AE9" s="3">
        <f t="shared" si="35"/>
        <v>0</v>
      </c>
      <c r="AF9" s="3">
        <f t="shared" si="22"/>
        <v>0</v>
      </c>
      <c r="AG9" s="3">
        <f t="shared" si="36"/>
        <v>-0.8</v>
      </c>
      <c r="AH9" s="3">
        <f t="shared" si="12"/>
        <v>0</v>
      </c>
      <c r="AI9" s="3">
        <f t="shared" si="13"/>
        <v>-0.8</v>
      </c>
      <c r="AJ9" s="3">
        <f t="shared" si="23"/>
        <v>0</v>
      </c>
      <c r="AK9" s="3">
        <f t="shared" si="24"/>
        <v>0</v>
      </c>
      <c r="AL9" s="2">
        <f t="shared" si="25"/>
        <v>0</v>
      </c>
      <c r="AM9" s="2">
        <f t="shared" si="14"/>
        <v>0</v>
      </c>
      <c r="AN9" s="2">
        <f t="shared" si="37"/>
        <v>0</v>
      </c>
      <c r="AO9" s="2">
        <f t="shared" si="27"/>
        <v>-2000</v>
      </c>
      <c r="AP9" s="2">
        <f t="shared" si="15"/>
        <v>0</v>
      </c>
      <c r="AQ9" s="2">
        <f t="shared" si="28"/>
        <v>-2542.7999999999997</v>
      </c>
      <c r="AR9" s="2">
        <f t="shared" si="38"/>
        <v>-2542.7999999999997</v>
      </c>
      <c r="AS9" s="2">
        <f t="shared" si="39"/>
        <v>241.20000000000073</v>
      </c>
      <c r="AT9" s="2">
        <f t="shared" si="29"/>
        <v>-4542.7999999999993</v>
      </c>
      <c r="AU9" s="1" t="e">
        <f t="shared" si="16"/>
        <v>#N/A</v>
      </c>
      <c r="AV9" s="2">
        <f t="shared" si="17"/>
        <v>30</v>
      </c>
      <c r="AW9" s="3">
        <f t="shared" si="18"/>
        <v>1.8</v>
      </c>
      <c r="AX9" s="3">
        <f t="shared" si="30"/>
        <v>28.2</v>
      </c>
      <c r="AY9" s="2">
        <f t="shared" si="19"/>
        <v>55.430000000000291</v>
      </c>
    </row>
    <row r="10" spans="1:51" ht="15.75" thickBot="1" x14ac:dyDescent="0.3">
      <c r="A10" t="s">
        <v>7</v>
      </c>
      <c r="B10" s="5">
        <v>0.05</v>
      </c>
      <c r="D10" t="s">
        <v>24</v>
      </c>
      <c r="E10" s="4">
        <v>100</v>
      </c>
      <c r="G10" t="s">
        <v>24</v>
      </c>
      <c r="H10" s="4">
        <v>100</v>
      </c>
      <c r="J10" t="s">
        <v>24</v>
      </c>
      <c r="K10" s="4">
        <v>100</v>
      </c>
      <c r="N10" s="10">
        <f t="shared" si="31"/>
        <v>2.1</v>
      </c>
      <c r="O10" s="10">
        <f t="shared" si="0"/>
        <v>0</v>
      </c>
      <c r="P10" s="10">
        <f t="shared" si="1"/>
        <v>0</v>
      </c>
      <c r="Q10" s="10">
        <f t="shared" si="2"/>
        <v>0</v>
      </c>
      <c r="R10" s="1">
        <f t="shared" si="3"/>
        <v>-4533.1299999999992</v>
      </c>
      <c r="S10" s="1">
        <f t="shared" si="4"/>
        <v>-5000</v>
      </c>
      <c r="T10" s="1">
        <f t="shared" si="5"/>
        <v>-4800</v>
      </c>
      <c r="U10" s="1">
        <f t="shared" si="6"/>
        <v>-1280</v>
      </c>
      <c r="V10" s="2">
        <f t="shared" si="20"/>
        <v>-2506.7999999999997</v>
      </c>
      <c r="W10" s="3">
        <f t="shared" si="32"/>
        <v>-1.0100000000000016</v>
      </c>
      <c r="X10" s="3">
        <f t="shared" si="7"/>
        <v>0</v>
      </c>
      <c r="Y10" s="3">
        <f t="shared" si="8"/>
        <v>-10</v>
      </c>
      <c r="Z10" s="3">
        <f t="shared" si="33"/>
        <v>0</v>
      </c>
      <c r="AA10" s="3">
        <f t="shared" si="21"/>
        <v>0</v>
      </c>
      <c r="AB10" s="3">
        <f t="shared" si="34"/>
        <v>-3</v>
      </c>
      <c r="AC10" s="3">
        <f t="shared" si="10"/>
        <v>0</v>
      </c>
      <c r="AD10" s="3">
        <f t="shared" si="11"/>
        <v>-3</v>
      </c>
      <c r="AE10" s="3">
        <f t="shared" si="35"/>
        <v>0</v>
      </c>
      <c r="AF10" s="3">
        <f t="shared" si="22"/>
        <v>0</v>
      </c>
      <c r="AG10" s="3">
        <f t="shared" si="36"/>
        <v>-0.8</v>
      </c>
      <c r="AH10" s="3">
        <f t="shared" si="12"/>
        <v>0</v>
      </c>
      <c r="AI10" s="3">
        <f t="shared" si="13"/>
        <v>-0.8</v>
      </c>
      <c r="AJ10" s="3">
        <f t="shared" si="23"/>
        <v>0</v>
      </c>
      <c r="AK10" s="3">
        <f t="shared" si="24"/>
        <v>0</v>
      </c>
      <c r="AL10" s="2">
        <f t="shared" si="25"/>
        <v>0</v>
      </c>
      <c r="AM10" s="2">
        <f t="shared" si="14"/>
        <v>0</v>
      </c>
      <c r="AN10" s="2">
        <f t="shared" si="37"/>
        <v>0</v>
      </c>
      <c r="AO10" s="2">
        <f t="shared" si="27"/>
        <v>-2000</v>
      </c>
      <c r="AP10" s="2">
        <f t="shared" si="15"/>
        <v>0</v>
      </c>
      <c r="AQ10" s="2">
        <f t="shared" si="28"/>
        <v>-2506.7999999999997</v>
      </c>
      <c r="AR10" s="2">
        <f t="shared" si="38"/>
        <v>-2506.7999999999997</v>
      </c>
      <c r="AS10" s="2">
        <f t="shared" si="39"/>
        <v>241.20000000000073</v>
      </c>
      <c r="AT10" s="2">
        <f t="shared" si="29"/>
        <v>-4506.7999999999993</v>
      </c>
      <c r="AU10" s="1" t="e">
        <f t="shared" si="16"/>
        <v>#N/A</v>
      </c>
      <c r="AV10" s="2">
        <f t="shared" si="17"/>
        <v>30</v>
      </c>
      <c r="AW10" s="3">
        <f t="shared" si="18"/>
        <v>2.1</v>
      </c>
      <c r="AX10" s="3">
        <f t="shared" si="30"/>
        <v>27.9</v>
      </c>
      <c r="AY10" s="2">
        <f t="shared" si="19"/>
        <v>26.329999999999927</v>
      </c>
    </row>
    <row r="11" spans="1:51" ht="15.75" thickBot="1" x14ac:dyDescent="0.3">
      <c r="A11" t="s">
        <v>9</v>
      </c>
      <c r="B11" s="4">
        <v>120</v>
      </c>
      <c r="D11" s="12" t="s">
        <v>13</v>
      </c>
      <c r="E11" s="13">
        <f>IF(B9*B10-ROUND(fullStockAllocation*stockPx/(option1Px*contract1Size),0)*option1Px&lt;0,ROUNDDOWN(fullStockAllocation*stockPx/(option1Px*contract1Size),0),ROUND(fullStockAllocation*stockPx/(option1Px*contract1Size),0))</f>
        <v>5</v>
      </c>
      <c r="G11" s="12" t="s">
        <v>13</v>
      </c>
      <c r="H11" s="13">
        <f>ROUNDDOWN(fullStockAllocation*stockPx/(option2Px*contract2Size),0)</f>
        <v>16</v>
      </c>
      <c r="J11" s="12" t="s">
        <v>13</v>
      </c>
      <c r="K11" s="13">
        <f>ROUNDDOWN(fullStockAllocation*stockPx/(option2Px*contract2Size),0)</f>
        <v>16</v>
      </c>
      <c r="N11" s="10">
        <f t="shared" si="31"/>
        <v>2.4</v>
      </c>
      <c r="O11" s="10">
        <f t="shared" si="0"/>
        <v>0</v>
      </c>
      <c r="P11" s="10">
        <f t="shared" si="1"/>
        <v>0</v>
      </c>
      <c r="Q11" s="10">
        <f t="shared" si="2"/>
        <v>0</v>
      </c>
      <c r="R11" s="1">
        <f t="shared" si="3"/>
        <v>-4468.03</v>
      </c>
      <c r="S11" s="1">
        <f t="shared" si="4"/>
        <v>-5000</v>
      </c>
      <c r="T11" s="1">
        <f t="shared" si="5"/>
        <v>-4800</v>
      </c>
      <c r="U11" s="1">
        <f t="shared" si="6"/>
        <v>-1280</v>
      </c>
      <c r="V11" s="2">
        <f t="shared" si="20"/>
        <v>-2470.8000000000002</v>
      </c>
      <c r="W11" s="3">
        <f t="shared" si="32"/>
        <v>-1.0100000000000016</v>
      </c>
      <c r="X11" s="3">
        <f t="shared" si="7"/>
        <v>0</v>
      </c>
      <c r="Y11" s="3">
        <f t="shared" si="8"/>
        <v>-10</v>
      </c>
      <c r="Z11" s="3">
        <f t="shared" si="33"/>
        <v>0</v>
      </c>
      <c r="AA11" s="3">
        <f t="shared" si="21"/>
        <v>0</v>
      </c>
      <c r="AB11" s="3">
        <f t="shared" si="34"/>
        <v>-3</v>
      </c>
      <c r="AC11" s="3">
        <f t="shared" si="10"/>
        <v>0</v>
      </c>
      <c r="AD11" s="3">
        <f t="shared" si="11"/>
        <v>-3</v>
      </c>
      <c r="AE11" s="3">
        <f t="shared" si="35"/>
        <v>0</v>
      </c>
      <c r="AF11" s="3">
        <f t="shared" si="22"/>
        <v>0</v>
      </c>
      <c r="AG11" s="3">
        <f t="shared" si="36"/>
        <v>-0.8</v>
      </c>
      <c r="AH11" s="3">
        <f t="shared" si="12"/>
        <v>0</v>
      </c>
      <c r="AI11" s="3">
        <f t="shared" si="13"/>
        <v>-0.8</v>
      </c>
      <c r="AJ11" s="3">
        <f t="shared" si="23"/>
        <v>0</v>
      </c>
      <c r="AK11" s="3">
        <f t="shared" si="24"/>
        <v>0</v>
      </c>
      <c r="AL11" s="2">
        <f t="shared" si="25"/>
        <v>0</v>
      </c>
      <c r="AM11" s="2">
        <f t="shared" si="14"/>
        <v>0</v>
      </c>
      <c r="AN11" s="2">
        <f t="shared" si="37"/>
        <v>0</v>
      </c>
      <c r="AO11" s="2">
        <f t="shared" si="27"/>
        <v>-2000</v>
      </c>
      <c r="AP11" s="2">
        <f t="shared" si="15"/>
        <v>0</v>
      </c>
      <c r="AQ11" s="2">
        <f t="shared" si="28"/>
        <v>-2470.8000000000002</v>
      </c>
      <c r="AR11" s="2">
        <f t="shared" si="38"/>
        <v>-2470.8000000000002</v>
      </c>
      <c r="AS11" s="2">
        <f t="shared" si="39"/>
        <v>241.20000000000073</v>
      </c>
      <c r="AT11" s="2">
        <f t="shared" si="29"/>
        <v>-4470.8</v>
      </c>
      <c r="AU11" s="1" t="e">
        <f t="shared" si="16"/>
        <v>#N/A</v>
      </c>
      <c r="AV11" s="2">
        <f t="shared" si="17"/>
        <v>30</v>
      </c>
      <c r="AW11" s="3">
        <f t="shared" si="18"/>
        <v>2.4</v>
      </c>
      <c r="AX11" s="3">
        <f t="shared" si="30"/>
        <v>27.6</v>
      </c>
      <c r="AY11" s="2">
        <f t="shared" si="19"/>
        <v>-2.7700000000004366</v>
      </c>
    </row>
    <row r="12" spans="1:51" x14ac:dyDescent="0.25">
      <c r="A12" s="12" t="s">
        <v>5</v>
      </c>
      <c r="B12" s="13">
        <f>ROUNDDOWN(B9*B10/B7,0)</f>
        <v>217</v>
      </c>
      <c r="D12" s="14" t="s">
        <v>63</v>
      </c>
      <c r="E12" s="17">
        <f>(fvEstimate-strike1-option1Px)*fullOption1*contract1Size</f>
        <v>3000</v>
      </c>
      <c r="G12" s="14" t="s">
        <v>63</v>
      </c>
      <c r="H12" s="17">
        <f>(fvEstimate-strike2-option2Px)*fullOption2*contract2Size</f>
        <v>3200</v>
      </c>
      <c r="J12" s="14" t="s">
        <v>63</v>
      </c>
      <c r="K12" s="17">
        <f>(fvEstimate-strike3-option3Px)*fullOption3*contract3Size</f>
        <v>3520.0000000000005</v>
      </c>
      <c r="N12" s="10">
        <f t="shared" si="31"/>
        <v>2.6999999999999997</v>
      </c>
      <c r="O12" s="10">
        <f t="shared" si="0"/>
        <v>0</v>
      </c>
      <c r="P12" s="10">
        <f t="shared" si="1"/>
        <v>0</v>
      </c>
      <c r="Q12" s="10">
        <f t="shared" si="2"/>
        <v>0</v>
      </c>
      <c r="R12" s="1">
        <f t="shared" si="3"/>
        <v>-4402.9299999999994</v>
      </c>
      <c r="S12" s="1">
        <f t="shared" si="4"/>
        <v>-5000</v>
      </c>
      <c r="T12" s="1">
        <f t="shared" si="5"/>
        <v>-4800</v>
      </c>
      <c r="U12" s="1">
        <f t="shared" si="6"/>
        <v>-1280</v>
      </c>
      <c r="V12" s="2">
        <f t="shared" si="20"/>
        <v>-2434.7999999999997</v>
      </c>
      <c r="W12" s="3">
        <f t="shared" si="32"/>
        <v>-1.0100000000000016</v>
      </c>
      <c r="X12" s="3">
        <f t="shared" si="7"/>
        <v>0</v>
      </c>
      <c r="Y12" s="3">
        <f t="shared" si="8"/>
        <v>-10</v>
      </c>
      <c r="Z12" s="3">
        <f t="shared" si="33"/>
        <v>0</v>
      </c>
      <c r="AA12" s="3">
        <f t="shared" si="21"/>
        <v>0</v>
      </c>
      <c r="AB12" s="3">
        <f t="shared" si="34"/>
        <v>-3</v>
      </c>
      <c r="AC12" s="3">
        <f t="shared" si="10"/>
        <v>0</v>
      </c>
      <c r="AD12" s="3">
        <f t="shared" si="11"/>
        <v>-3</v>
      </c>
      <c r="AE12" s="3">
        <f t="shared" si="35"/>
        <v>0</v>
      </c>
      <c r="AF12" s="3">
        <f t="shared" si="22"/>
        <v>0</v>
      </c>
      <c r="AG12" s="3">
        <f t="shared" si="36"/>
        <v>-0.8</v>
      </c>
      <c r="AH12" s="3">
        <f t="shared" si="12"/>
        <v>0</v>
      </c>
      <c r="AI12" s="3">
        <f t="shared" si="13"/>
        <v>-0.8</v>
      </c>
      <c r="AJ12" s="3">
        <f t="shared" si="23"/>
        <v>0</v>
      </c>
      <c r="AK12" s="3">
        <f t="shared" si="24"/>
        <v>0</v>
      </c>
      <c r="AL12" s="2">
        <f t="shared" si="25"/>
        <v>0</v>
      </c>
      <c r="AM12" s="2">
        <f t="shared" si="14"/>
        <v>0</v>
      </c>
      <c r="AN12" s="2">
        <f t="shared" si="37"/>
        <v>0</v>
      </c>
      <c r="AO12" s="2">
        <f t="shared" si="27"/>
        <v>-2000</v>
      </c>
      <c r="AP12" s="2">
        <f t="shared" si="15"/>
        <v>0</v>
      </c>
      <c r="AQ12" s="2">
        <f t="shared" si="28"/>
        <v>-2434.7999999999997</v>
      </c>
      <c r="AR12" s="2">
        <f t="shared" si="38"/>
        <v>-2434.7999999999997</v>
      </c>
      <c r="AS12" s="2">
        <f t="shared" si="39"/>
        <v>241.20000000000073</v>
      </c>
      <c r="AT12" s="2">
        <f t="shared" si="29"/>
        <v>-4434.7999999999993</v>
      </c>
      <c r="AU12" s="1" t="e">
        <f t="shared" si="16"/>
        <v>#N/A</v>
      </c>
      <c r="AV12" s="2">
        <f t="shared" si="17"/>
        <v>30</v>
      </c>
      <c r="AW12" s="3">
        <f t="shared" si="18"/>
        <v>2.6999999999999997</v>
      </c>
      <c r="AX12" s="3">
        <f t="shared" si="30"/>
        <v>27.3</v>
      </c>
      <c r="AY12" s="2">
        <f t="shared" si="19"/>
        <v>-31.869999999999891</v>
      </c>
    </row>
    <row r="13" spans="1:51" x14ac:dyDescent="0.25">
      <c r="A13" s="14" t="s">
        <v>2</v>
      </c>
      <c r="B13" s="15">
        <f>B11*B7</f>
        <v>2758.7999999999997</v>
      </c>
      <c r="D13" s="14" t="s">
        <v>61</v>
      </c>
      <c r="E13" s="15">
        <f>option1Position*stockPx*contract1Size</f>
        <v>4598</v>
      </c>
      <c r="G13" s="14" t="s">
        <v>61</v>
      </c>
      <c r="H13" s="15">
        <f>option2Position*stockPx*contract2Size</f>
        <v>0</v>
      </c>
      <c r="J13" s="14" t="s">
        <v>61</v>
      </c>
      <c r="K13" s="15">
        <f>option3Position*stockPx*contract3Size</f>
        <v>0</v>
      </c>
      <c r="N13" s="10">
        <f t="shared" si="31"/>
        <v>2.9999999999999996</v>
      </c>
      <c r="O13" s="10">
        <f t="shared" si="0"/>
        <v>0</v>
      </c>
      <c r="P13" s="10">
        <f t="shared" si="1"/>
        <v>0</v>
      </c>
      <c r="Q13" s="10">
        <f t="shared" si="2"/>
        <v>0</v>
      </c>
      <c r="R13" s="1">
        <f t="shared" si="3"/>
        <v>-4337.83</v>
      </c>
      <c r="S13" s="1">
        <f t="shared" si="4"/>
        <v>-5000</v>
      </c>
      <c r="T13" s="1">
        <f t="shared" si="5"/>
        <v>-4800</v>
      </c>
      <c r="U13" s="1">
        <f t="shared" si="6"/>
        <v>-1280</v>
      </c>
      <c r="V13" s="2">
        <f t="shared" si="20"/>
        <v>-2398.7999999999997</v>
      </c>
      <c r="W13" s="3">
        <f t="shared" si="32"/>
        <v>-1.0100000000000016</v>
      </c>
      <c r="X13" s="3">
        <f t="shared" si="7"/>
        <v>0</v>
      </c>
      <c r="Y13" s="3">
        <f t="shared" si="8"/>
        <v>-10</v>
      </c>
      <c r="Z13" s="3">
        <f t="shared" si="33"/>
        <v>0</v>
      </c>
      <c r="AA13" s="3">
        <f t="shared" si="21"/>
        <v>0</v>
      </c>
      <c r="AB13" s="3">
        <f t="shared" si="34"/>
        <v>-3</v>
      </c>
      <c r="AC13" s="3">
        <f t="shared" si="10"/>
        <v>0</v>
      </c>
      <c r="AD13" s="3">
        <f t="shared" si="11"/>
        <v>-3</v>
      </c>
      <c r="AE13" s="3">
        <f t="shared" si="35"/>
        <v>0</v>
      </c>
      <c r="AF13" s="3">
        <f t="shared" si="22"/>
        <v>0</v>
      </c>
      <c r="AG13" s="3">
        <f t="shared" si="36"/>
        <v>-0.8</v>
      </c>
      <c r="AH13" s="3">
        <f t="shared" si="12"/>
        <v>0</v>
      </c>
      <c r="AI13" s="3">
        <f t="shared" si="13"/>
        <v>-0.8</v>
      </c>
      <c r="AJ13" s="3">
        <f t="shared" si="23"/>
        <v>0</v>
      </c>
      <c r="AK13" s="3">
        <f t="shared" si="24"/>
        <v>0</v>
      </c>
      <c r="AL13" s="2">
        <f t="shared" si="25"/>
        <v>0</v>
      </c>
      <c r="AM13" s="2">
        <f t="shared" si="14"/>
        <v>0</v>
      </c>
      <c r="AN13" s="2">
        <f t="shared" si="37"/>
        <v>0</v>
      </c>
      <c r="AO13" s="2">
        <f t="shared" si="27"/>
        <v>-2000</v>
      </c>
      <c r="AP13" s="2">
        <f t="shared" si="15"/>
        <v>0</v>
      </c>
      <c r="AQ13" s="2">
        <f t="shared" si="28"/>
        <v>-2398.7999999999997</v>
      </c>
      <c r="AR13" s="2">
        <f t="shared" si="38"/>
        <v>-2398.7999999999997</v>
      </c>
      <c r="AS13" s="2">
        <f t="shared" si="39"/>
        <v>241.20000000000073</v>
      </c>
      <c r="AT13" s="2">
        <f t="shared" si="29"/>
        <v>-4398.7999999999993</v>
      </c>
      <c r="AU13" s="1" t="e">
        <f t="shared" si="16"/>
        <v>#N/A</v>
      </c>
      <c r="AV13" s="2">
        <f t="shared" si="17"/>
        <v>30</v>
      </c>
      <c r="AW13" s="3">
        <f t="shared" si="18"/>
        <v>2.9999999999999996</v>
      </c>
      <c r="AX13" s="3">
        <f t="shared" si="30"/>
        <v>27</v>
      </c>
      <c r="AY13" s="2">
        <f t="shared" si="19"/>
        <v>-60.969999999999345</v>
      </c>
    </row>
    <row r="14" spans="1:51" x14ac:dyDescent="0.25">
      <c r="A14" s="14" t="s">
        <v>85</v>
      </c>
      <c r="B14" s="53">
        <f>stockPosition/(B9*B10)</f>
        <v>0.55175999999999992</v>
      </c>
      <c r="D14" s="14" t="s">
        <v>62</v>
      </c>
      <c r="E14" s="15">
        <f>strike1*option1Position*contract1Size</f>
        <v>2800</v>
      </c>
      <c r="G14" s="14" t="s">
        <v>62</v>
      </c>
      <c r="H14" s="15">
        <f>strike2*option2Position*contract2Size</f>
        <v>0</v>
      </c>
      <c r="J14" s="14" t="s">
        <v>62</v>
      </c>
      <c r="K14" s="15">
        <f>strike3*option3Position*contract3Size</f>
        <v>0</v>
      </c>
      <c r="N14" s="10">
        <f t="shared" si="31"/>
        <v>3.2999999999999994</v>
      </c>
      <c r="O14" s="10">
        <f t="shared" si="0"/>
        <v>0</v>
      </c>
      <c r="P14" s="10">
        <f t="shared" si="1"/>
        <v>0</v>
      </c>
      <c r="Q14" s="10">
        <f t="shared" si="2"/>
        <v>0</v>
      </c>
      <c r="R14" s="1">
        <f t="shared" si="3"/>
        <v>-4272.7299999999996</v>
      </c>
      <c r="S14" s="1">
        <f t="shared" si="4"/>
        <v>-5000</v>
      </c>
      <c r="T14" s="1">
        <f t="shared" si="5"/>
        <v>-4800</v>
      </c>
      <c r="U14" s="1">
        <f t="shared" si="6"/>
        <v>-1280</v>
      </c>
      <c r="V14" s="2">
        <f t="shared" si="20"/>
        <v>-2362.7999999999997</v>
      </c>
      <c r="W14" s="3">
        <f t="shared" si="32"/>
        <v>-1.0100000000000016</v>
      </c>
      <c r="X14" s="3">
        <f t="shared" si="7"/>
        <v>0</v>
      </c>
      <c r="Y14" s="3">
        <f t="shared" si="8"/>
        <v>-10</v>
      </c>
      <c r="Z14" s="3">
        <f t="shared" si="33"/>
        <v>0</v>
      </c>
      <c r="AA14" s="3">
        <f t="shared" si="21"/>
        <v>0</v>
      </c>
      <c r="AB14" s="3">
        <f t="shared" si="34"/>
        <v>-3</v>
      </c>
      <c r="AC14" s="3">
        <f t="shared" si="10"/>
        <v>0</v>
      </c>
      <c r="AD14" s="3">
        <f t="shared" si="11"/>
        <v>-3</v>
      </c>
      <c r="AE14" s="3">
        <f t="shared" si="35"/>
        <v>0</v>
      </c>
      <c r="AF14" s="3">
        <f t="shared" si="22"/>
        <v>0</v>
      </c>
      <c r="AG14" s="3">
        <f t="shared" si="36"/>
        <v>-0.8</v>
      </c>
      <c r="AH14" s="3">
        <f t="shared" si="12"/>
        <v>0</v>
      </c>
      <c r="AI14" s="3">
        <f t="shared" si="13"/>
        <v>-0.8</v>
      </c>
      <c r="AJ14" s="3">
        <f t="shared" si="23"/>
        <v>0</v>
      </c>
      <c r="AK14" s="3">
        <f t="shared" si="24"/>
        <v>0</v>
      </c>
      <c r="AL14" s="2">
        <f t="shared" si="25"/>
        <v>0</v>
      </c>
      <c r="AM14" s="2">
        <f t="shared" si="14"/>
        <v>0</v>
      </c>
      <c r="AN14" s="2">
        <f t="shared" si="37"/>
        <v>0</v>
      </c>
      <c r="AO14" s="2">
        <f t="shared" si="27"/>
        <v>-2000</v>
      </c>
      <c r="AP14" s="2">
        <f t="shared" si="15"/>
        <v>0</v>
      </c>
      <c r="AQ14" s="2">
        <f t="shared" si="28"/>
        <v>-2362.7999999999997</v>
      </c>
      <c r="AR14" s="2">
        <f t="shared" si="38"/>
        <v>-2362.7999999999997</v>
      </c>
      <c r="AS14" s="2">
        <f t="shared" si="39"/>
        <v>241.20000000000073</v>
      </c>
      <c r="AT14" s="2">
        <f t="shared" si="29"/>
        <v>-4362.7999999999993</v>
      </c>
      <c r="AU14" s="1" t="e">
        <f t="shared" si="16"/>
        <v>#N/A</v>
      </c>
      <c r="AV14" s="2">
        <f t="shared" si="17"/>
        <v>30</v>
      </c>
      <c r="AW14" s="3">
        <f t="shared" si="18"/>
        <v>3.2999999999999994</v>
      </c>
      <c r="AX14" s="3">
        <f t="shared" si="30"/>
        <v>26.7</v>
      </c>
      <c r="AY14" s="2">
        <f t="shared" si="19"/>
        <v>-90.069999999999709</v>
      </c>
    </row>
    <row r="15" spans="1:51" x14ac:dyDescent="0.25">
      <c r="A15" s="14" t="s">
        <v>84</v>
      </c>
      <c r="B15" s="17">
        <f>(B8-B7)*B12</f>
        <v>1521.1700000000003</v>
      </c>
      <c r="D15" s="14" t="s">
        <v>19</v>
      </c>
      <c r="E15" s="18">
        <f>fvEstimate-E8-E9</f>
        <v>6</v>
      </c>
      <c r="G15" s="14" t="s">
        <v>19</v>
      </c>
      <c r="H15" s="18">
        <f>fvEstimate-H8-H9</f>
        <v>2</v>
      </c>
      <c r="J15" s="14" t="s">
        <v>19</v>
      </c>
      <c r="K15" s="18">
        <f>fvEstimate-K8-K9</f>
        <v>2.2000000000000002</v>
      </c>
      <c r="N15" s="10">
        <f t="shared" si="31"/>
        <v>3.5999999999999992</v>
      </c>
      <c r="O15" s="10">
        <f t="shared" si="0"/>
        <v>0</v>
      </c>
      <c r="P15" s="10">
        <f t="shared" si="1"/>
        <v>0</v>
      </c>
      <c r="Q15" s="10">
        <f t="shared" si="2"/>
        <v>0</v>
      </c>
      <c r="R15" s="1">
        <f t="shared" si="3"/>
        <v>-4207.63</v>
      </c>
      <c r="S15" s="1">
        <f t="shared" si="4"/>
        <v>-5000</v>
      </c>
      <c r="T15" s="1">
        <f t="shared" si="5"/>
        <v>-4800</v>
      </c>
      <c r="U15" s="1">
        <f t="shared" si="6"/>
        <v>-1280</v>
      </c>
      <c r="V15" s="2">
        <f t="shared" si="20"/>
        <v>-2326.8000000000002</v>
      </c>
      <c r="W15" s="3">
        <f t="shared" si="32"/>
        <v>-1.0100000000000016</v>
      </c>
      <c r="X15" s="3">
        <f t="shared" si="7"/>
        <v>0</v>
      </c>
      <c r="Y15" s="3">
        <f t="shared" si="8"/>
        <v>-10</v>
      </c>
      <c r="Z15" s="3">
        <f t="shared" si="33"/>
        <v>0</v>
      </c>
      <c r="AA15" s="3">
        <f t="shared" si="21"/>
        <v>0</v>
      </c>
      <c r="AB15" s="3">
        <f t="shared" si="34"/>
        <v>-3</v>
      </c>
      <c r="AC15" s="3">
        <f t="shared" si="10"/>
        <v>0</v>
      </c>
      <c r="AD15" s="3">
        <f t="shared" si="11"/>
        <v>-3</v>
      </c>
      <c r="AE15" s="3">
        <f t="shared" si="35"/>
        <v>0</v>
      </c>
      <c r="AF15" s="3">
        <f t="shared" si="22"/>
        <v>0</v>
      </c>
      <c r="AG15" s="3">
        <f t="shared" si="36"/>
        <v>-0.8</v>
      </c>
      <c r="AH15" s="3">
        <f t="shared" si="12"/>
        <v>0</v>
      </c>
      <c r="AI15" s="3">
        <f t="shared" si="13"/>
        <v>-0.8</v>
      </c>
      <c r="AJ15" s="3">
        <f t="shared" si="23"/>
        <v>0</v>
      </c>
      <c r="AK15" s="3">
        <f t="shared" si="24"/>
        <v>0</v>
      </c>
      <c r="AL15" s="2">
        <f t="shared" si="25"/>
        <v>0</v>
      </c>
      <c r="AM15" s="2">
        <f t="shared" si="14"/>
        <v>0</v>
      </c>
      <c r="AN15" s="2">
        <f t="shared" si="37"/>
        <v>0</v>
      </c>
      <c r="AO15" s="2">
        <f t="shared" si="27"/>
        <v>-2000</v>
      </c>
      <c r="AP15" s="2">
        <f t="shared" si="15"/>
        <v>0</v>
      </c>
      <c r="AQ15" s="2">
        <f t="shared" si="28"/>
        <v>-2326.8000000000002</v>
      </c>
      <c r="AR15" s="2">
        <f t="shared" si="38"/>
        <v>-2326.8000000000002</v>
      </c>
      <c r="AS15" s="2">
        <f t="shared" si="39"/>
        <v>241.20000000000073</v>
      </c>
      <c r="AT15" s="2">
        <f t="shared" si="29"/>
        <v>-4326.8</v>
      </c>
      <c r="AU15" s="1" t="e">
        <f t="shared" si="16"/>
        <v>#N/A</v>
      </c>
      <c r="AV15" s="2">
        <f t="shared" si="17"/>
        <v>30</v>
      </c>
      <c r="AW15" s="3">
        <f t="shared" si="18"/>
        <v>3.5999999999999992</v>
      </c>
      <c r="AX15" s="3">
        <f t="shared" si="30"/>
        <v>26.400000000000002</v>
      </c>
      <c r="AY15" s="2">
        <f t="shared" si="19"/>
        <v>-119.17000000000007</v>
      </c>
    </row>
    <row r="16" spans="1:51" ht="15.75" thickBot="1" x14ac:dyDescent="0.3">
      <c r="A16" s="16" t="s">
        <v>19</v>
      </c>
      <c r="B16" s="20">
        <f>B8-B7</f>
        <v>7.0100000000000016</v>
      </c>
      <c r="D16" s="14" t="s">
        <v>90</v>
      </c>
      <c r="E16" s="19">
        <f>E15/$B$16</f>
        <v>0.85592011412268165</v>
      </c>
      <c r="G16" s="14" t="s">
        <v>90</v>
      </c>
      <c r="H16" s="19">
        <f>H15/$B$16</f>
        <v>0.28530670470756059</v>
      </c>
      <c r="J16" s="14" t="s">
        <v>90</v>
      </c>
      <c r="K16" s="19">
        <f>K15/$B$16</f>
        <v>0.31383737517831667</v>
      </c>
      <c r="N16" s="10">
        <f t="shared" si="31"/>
        <v>3.899999999999999</v>
      </c>
      <c r="O16" s="10">
        <f t="shared" si="0"/>
        <v>0</v>
      </c>
      <c r="P16" s="10">
        <f t="shared" si="1"/>
        <v>0</v>
      </c>
      <c r="Q16" s="10">
        <f t="shared" si="2"/>
        <v>0</v>
      </c>
      <c r="R16" s="1">
        <f t="shared" si="3"/>
        <v>-4142.53</v>
      </c>
      <c r="S16" s="1">
        <f t="shared" si="4"/>
        <v>-5000</v>
      </c>
      <c r="T16" s="1">
        <f t="shared" si="5"/>
        <v>-4800</v>
      </c>
      <c r="U16" s="1">
        <f t="shared" si="6"/>
        <v>-1280</v>
      </c>
      <c r="V16" s="2">
        <f t="shared" si="20"/>
        <v>-2290.8000000000002</v>
      </c>
      <c r="W16" s="3">
        <f t="shared" si="32"/>
        <v>-1.0100000000000016</v>
      </c>
      <c r="X16" s="3">
        <f t="shared" si="7"/>
        <v>0</v>
      </c>
      <c r="Y16" s="3">
        <f t="shared" si="8"/>
        <v>-10</v>
      </c>
      <c r="Z16" s="3">
        <f t="shared" si="33"/>
        <v>0</v>
      </c>
      <c r="AA16" s="3">
        <f t="shared" si="21"/>
        <v>0</v>
      </c>
      <c r="AB16" s="3">
        <f t="shared" si="34"/>
        <v>-3</v>
      </c>
      <c r="AC16" s="3">
        <f t="shared" si="10"/>
        <v>0</v>
      </c>
      <c r="AD16" s="3">
        <f t="shared" si="11"/>
        <v>-3</v>
      </c>
      <c r="AE16" s="3">
        <f t="shared" si="35"/>
        <v>0</v>
      </c>
      <c r="AF16" s="3">
        <f t="shared" si="22"/>
        <v>0</v>
      </c>
      <c r="AG16" s="3">
        <f t="shared" si="36"/>
        <v>-0.8</v>
      </c>
      <c r="AH16" s="3">
        <f t="shared" si="12"/>
        <v>0</v>
      </c>
      <c r="AI16" s="3">
        <f t="shared" si="13"/>
        <v>-0.8</v>
      </c>
      <c r="AJ16" s="3">
        <f t="shared" si="23"/>
        <v>0</v>
      </c>
      <c r="AK16" s="3">
        <f t="shared" si="24"/>
        <v>0</v>
      </c>
      <c r="AL16" s="2">
        <f t="shared" si="25"/>
        <v>0</v>
      </c>
      <c r="AM16" s="2">
        <f t="shared" si="14"/>
        <v>0</v>
      </c>
      <c r="AN16" s="2">
        <f t="shared" si="37"/>
        <v>0</v>
      </c>
      <c r="AO16" s="2">
        <f t="shared" si="27"/>
        <v>-2000</v>
      </c>
      <c r="AP16" s="2">
        <f t="shared" si="15"/>
        <v>0</v>
      </c>
      <c r="AQ16" s="2">
        <f t="shared" si="28"/>
        <v>-2290.8000000000002</v>
      </c>
      <c r="AR16" s="2">
        <f t="shared" si="38"/>
        <v>-2290.8000000000002</v>
      </c>
      <c r="AS16" s="2">
        <f t="shared" si="39"/>
        <v>241.20000000000073</v>
      </c>
      <c r="AT16" s="2">
        <f t="shared" si="29"/>
        <v>-4290.8</v>
      </c>
      <c r="AU16" s="1" t="e">
        <f t="shared" si="16"/>
        <v>#N/A</v>
      </c>
      <c r="AV16" s="2">
        <f t="shared" si="17"/>
        <v>30</v>
      </c>
      <c r="AW16" s="3">
        <f t="shared" si="18"/>
        <v>3.899999999999999</v>
      </c>
      <c r="AX16" s="3">
        <f t="shared" si="30"/>
        <v>26.1</v>
      </c>
      <c r="AY16" s="2">
        <f t="shared" si="19"/>
        <v>-148.27000000000044</v>
      </c>
    </row>
    <row r="17" spans="1:51" ht="15.75" thickBot="1" x14ac:dyDescent="0.3">
      <c r="A17" s="21" t="s">
        <v>17</v>
      </c>
      <c r="B17" s="22">
        <f>B9*B10-(sharesOwned*stockPx+option1Px*option1Position*contract1Size+option2Px*option2Position*contract2Size+option3Px*option3Position*contract3Size)</f>
        <v>241.20000000000073</v>
      </c>
      <c r="D17" s="16" t="s">
        <v>39</v>
      </c>
      <c r="E17" s="20">
        <f>IF(strike1&lt;stockPx,stockPx-strike1,0)</f>
        <v>8.9899999999999984</v>
      </c>
      <c r="G17" s="16" t="s">
        <v>39</v>
      </c>
      <c r="H17" s="20">
        <f>IF(strike2&lt;stockPx,stockPx-strike2,0)</f>
        <v>0</v>
      </c>
      <c r="J17" s="16" t="s">
        <v>39</v>
      </c>
      <c r="K17" s="20">
        <f>IF(strike3&lt;stockPx,stockPx-strike3,0)</f>
        <v>0</v>
      </c>
      <c r="N17" s="10">
        <f t="shared" si="31"/>
        <v>4.1999999999999993</v>
      </c>
      <c r="O17" s="10">
        <f t="shared" si="0"/>
        <v>0</v>
      </c>
      <c r="P17" s="10">
        <f t="shared" si="1"/>
        <v>0</v>
      </c>
      <c r="Q17" s="10">
        <f t="shared" si="2"/>
        <v>0</v>
      </c>
      <c r="R17" s="1">
        <f t="shared" si="3"/>
        <v>-4077.43</v>
      </c>
      <c r="S17" s="1">
        <f t="shared" si="4"/>
        <v>-5000</v>
      </c>
      <c r="T17" s="1">
        <f t="shared" si="5"/>
        <v>-4800</v>
      </c>
      <c r="U17" s="1">
        <f t="shared" si="6"/>
        <v>-1280</v>
      </c>
      <c r="V17" s="2">
        <f t="shared" si="20"/>
        <v>-2254.7999999999997</v>
      </c>
      <c r="W17" s="3">
        <f t="shared" si="32"/>
        <v>-1.0100000000000016</v>
      </c>
      <c r="X17" s="3">
        <f t="shared" si="7"/>
        <v>0</v>
      </c>
      <c r="Y17" s="3">
        <f t="shared" si="8"/>
        <v>-10</v>
      </c>
      <c r="Z17" s="3">
        <f t="shared" si="33"/>
        <v>0</v>
      </c>
      <c r="AA17" s="3">
        <f t="shared" si="21"/>
        <v>0</v>
      </c>
      <c r="AB17" s="3">
        <f t="shared" si="34"/>
        <v>-3</v>
      </c>
      <c r="AC17" s="3">
        <f t="shared" si="10"/>
        <v>0</v>
      </c>
      <c r="AD17" s="3">
        <f t="shared" si="11"/>
        <v>-3</v>
      </c>
      <c r="AE17" s="3">
        <f t="shared" si="35"/>
        <v>0</v>
      </c>
      <c r="AF17" s="3">
        <f t="shared" si="22"/>
        <v>0</v>
      </c>
      <c r="AG17" s="3">
        <f t="shared" si="36"/>
        <v>-0.8</v>
      </c>
      <c r="AH17" s="3">
        <f t="shared" si="12"/>
        <v>0</v>
      </c>
      <c r="AI17" s="3">
        <f t="shared" si="13"/>
        <v>-0.8</v>
      </c>
      <c r="AJ17" s="3">
        <f t="shared" si="23"/>
        <v>0</v>
      </c>
      <c r="AK17" s="3">
        <f t="shared" si="24"/>
        <v>0</v>
      </c>
      <c r="AL17" s="2">
        <f t="shared" si="25"/>
        <v>0</v>
      </c>
      <c r="AM17" s="2">
        <f t="shared" si="14"/>
        <v>0</v>
      </c>
      <c r="AN17" s="2">
        <f t="shared" si="37"/>
        <v>0</v>
      </c>
      <c r="AO17" s="2">
        <f t="shared" si="27"/>
        <v>-2000</v>
      </c>
      <c r="AP17" s="2">
        <f t="shared" si="15"/>
        <v>0</v>
      </c>
      <c r="AQ17" s="2">
        <f t="shared" si="28"/>
        <v>-2254.7999999999997</v>
      </c>
      <c r="AR17" s="2">
        <f t="shared" si="38"/>
        <v>-2254.7999999999997</v>
      </c>
      <c r="AS17" s="2">
        <f t="shared" si="39"/>
        <v>241.20000000000073</v>
      </c>
      <c r="AT17" s="2">
        <f t="shared" si="29"/>
        <v>-4254.7999999999993</v>
      </c>
      <c r="AU17" s="1" t="e">
        <f t="shared" si="16"/>
        <v>#N/A</v>
      </c>
      <c r="AV17" s="2">
        <f t="shared" si="17"/>
        <v>30</v>
      </c>
      <c r="AW17" s="3">
        <f t="shared" si="18"/>
        <v>4.1999999999999993</v>
      </c>
      <c r="AX17" s="3">
        <f t="shared" si="30"/>
        <v>25.8</v>
      </c>
      <c r="AY17" s="2">
        <f t="shared" si="19"/>
        <v>-177.36999999999944</v>
      </c>
    </row>
    <row r="18" spans="1:51" x14ac:dyDescent="0.25">
      <c r="B18" s="2"/>
      <c r="N18" s="10">
        <f t="shared" si="31"/>
        <v>4.4999999999999991</v>
      </c>
      <c r="O18" s="10">
        <f t="shared" si="0"/>
        <v>0</v>
      </c>
      <c r="P18" s="10">
        <f t="shared" si="1"/>
        <v>0</v>
      </c>
      <c r="Q18" s="10">
        <f t="shared" si="2"/>
        <v>0</v>
      </c>
      <c r="R18" s="1">
        <f t="shared" si="3"/>
        <v>-4012.3299999999995</v>
      </c>
      <c r="S18" s="1">
        <f t="shared" si="4"/>
        <v>-5000</v>
      </c>
      <c r="T18" s="1">
        <f t="shared" si="5"/>
        <v>-4800</v>
      </c>
      <c r="U18" s="1">
        <f t="shared" si="6"/>
        <v>-1280</v>
      </c>
      <c r="V18" s="2">
        <f t="shared" si="20"/>
        <v>-2218.7999999999997</v>
      </c>
      <c r="W18" s="3">
        <f t="shared" si="32"/>
        <v>-1.0100000000000016</v>
      </c>
      <c r="X18" s="3">
        <f t="shared" si="7"/>
        <v>0</v>
      </c>
      <c r="Y18" s="3">
        <f t="shared" si="8"/>
        <v>-10</v>
      </c>
      <c r="Z18" s="3">
        <f t="shared" si="33"/>
        <v>0</v>
      </c>
      <c r="AA18" s="3">
        <f t="shared" si="21"/>
        <v>0</v>
      </c>
      <c r="AB18" s="3">
        <f t="shared" si="34"/>
        <v>-3</v>
      </c>
      <c r="AC18" s="3">
        <f t="shared" si="10"/>
        <v>0</v>
      </c>
      <c r="AD18" s="3">
        <f t="shared" si="11"/>
        <v>-3</v>
      </c>
      <c r="AE18" s="3">
        <f t="shared" si="35"/>
        <v>0</v>
      </c>
      <c r="AF18" s="3">
        <f t="shared" si="22"/>
        <v>0</v>
      </c>
      <c r="AG18" s="3">
        <f t="shared" si="36"/>
        <v>-0.8</v>
      </c>
      <c r="AH18" s="3">
        <f t="shared" si="12"/>
        <v>0</v>
      </c>
      <c r="AI18" s="3">
        <f t="shared" si="13"/>
        <v>-0.8</v>
      </c>
      <c r="AJ18" s="3">
        <f t="shared" si="23"/>
        <v>0</v>
      </c>
      <c r="AK18" s="3">
        <f t="shared" si="24"/>
        <v>0</v>
      </c>
      <c r="AL18" s="2">
        <f t="shared" si="25"/>
        <v>0</v>
      </c>
      <c r="AM18" s="2">
        <f t="shared" si="14"/>
        <v>0</v>
      </c>
      <c r="AN18" s="2">
        <f t="shared" si="37"/>
        <v>0</v>
      </c>
      <c r="AO18" s="2">
        <f t="shared" si="27"/>
        <v>-2000</v>
      </c>
      <c r="AP18" s="2">
        <f t="shared" si="15"/>
        <v>0</v>
      </c>
      <c r="AQ18" s="2">
        <f t="shared" si="28"/>
        <v>-2218.7999999999997</v>
      </c>
      <c r="AR18" s="2">
        <f t="shared" si="38"/>
        <v>-2218.7999999999997</v>
      </c>
      <c r="AS18" s="2">
        <f t="shared" si="39"/>
        <v>241.20000000000073</v>
      </c>
      <c r="AT18" s="2">
        <f t="shared" si="29"/>
        <v>-4218.7999999999993</v>
      </c>
      <c r="AU18" s="1" t="e">
        <f t="shared" si="16"/>
        <v>#N/A</v>
      </c>
      <c r="AV18" s="2">
        <f t="shared" si="17"/>
        <v>30</v>
      </c>
      <c r="AW18" s="3">
        <f t="shared" si="18"/>
        <v>4.4999999999999991</v>
      </c>
      <c r="AX18" s="3">
        <f t="shared" si="30"/>
        <v>25.5</v>
      </c>
      <c r="AY18" s="2">
        <f t="shared" si="19"/>
        <v>-206.4699999999998</v>
      </c>
    </row>
    <row r="19" spans="1:51" x14ac:dyDescent="0.25">
      <c r="A19" s="60" t="s">
        <v>72</v>
      </c>
      <c r="B19" s="60"/>
      <c r="C19" s="60"/>
      <c r="D19" s="60"/>
      <c r="E19" s="60"/>
      <c r="F19" s="60"/>
      <c r="G19" s="60"/>
      <c r="H19" s="60"/>
      <c r="I19" s="60"/>
      <c r="J19" s="60"/>
      <c r="K19" s="60"/>
      <c r="N19" s="10">
        <f t="shared" si="31"/>
        <v>4.7999999999999989</v>
      </c>
      <c r="O19" s="10">
        <f t="shared" si="0"/>
        <v>0</v>
      </c>
      <c r="P19" s="10">
        <f t="shared" si="1"/>
        <v>0</v>
      </c>
      <c r="Q19" s="10">
        <f t="shared" si="2"/>
        <v>0</v>
      </c>
      <c r="R19" s="1">
        <f t="shared" si="3"/>
        <v>-3947.2299999999996</v>
      </c>
      <c r="S19" s="1">
        <f t="shared" si="4"/>
        <v>-5000</v>
      </c>
      <c r="T19" s="1">
        <f t="shared" si="5"/>
        <v>-4800</v>
      </c>
      <c r="U19" s="1">
        <f t="shared" si="6"/>
        <v>-1280</v>
      </c>
      <c r="V19" s="2">
        <f t="shared" si="20"/>
        <v>-2182.7999999999997</v>
      </c>
      <c r="W19" s="3">
        <f t="shared" si="32"/>
        <v>-1.0100000000000016</v>
      </c>
      <c r="X19" s="3">
        <f t="shared" si="7"/>
        <v>0</v>
      </c>
      <c r="Y19" s="3">
        <f t="shared" si="8"/>
        <v>-10</v>
      </c>
      <c r="Z19" s="3">
        <f t="shared" si="33"/>
        <v>0</v>
      </c>
      <c r="AA19" s="3">
        <f t="shared" si="21"/>
        <v>0</v>
      </c>
      <c r="AB19" s="3">
        <f t="shared" si="34"/>
        <v>-3</v>
      </c>
      <c r="AC19" s="3">
        <f t="shared" si="10"/>
        <v>0</v>
      </c>
      <c r="AD19" s="3">
        <f t="shared" si="11"/>
        <v>-3</v>
      </c>
      <c r="AE19" s="3">
        <f t="shared" si="35"/>
        <v>0</v>
      </c>
      <c r="AF19" s="3">
        <f t="shared" si="22"/>
        <v>0</v>
      </c>
      <c r="AG19" s="3">
        <f t="shared" si="36"/>
        <v>-0.8</v>
      </c>
      <c r="AH19" s="3">
        <f t="shared" si="12"/>
        <v>0</v>
      </c>
      <c r="AI19" s="3">
        <f t="shared" si="13"/>
        <v>-0.8</v>
      </c>
      <c r="AJ19" s="3">
        <f t="shared" si="23"/>
        <v>0</v>
      </c>
      <c r="AK19" s="3">
        <f t="shared" si="24"/>
        <v>0</v>
      </c>
      <c r="AL19" s="2">
        <f t="shared" si="25"/>
        <v>0</v>
      </c>
      <c r="AM19" s="2">
        <f t="shared" si="14"/>
        <v>0</v>
      </c>
      <c r="AN19" s="2">
        <f t="shared" si="37"/>
        <v>0</v>
      </c>
      <c r="AO19" s="2">
        <f t="shared" si="27"/>
        <v>-2000</v>
      </c>
      <c r="AP19" s="2">
        <f t="shared" si="15"/>
        <v>0</v>
      </c>
      <c r="AQ19" s="2">
        <f t="shared" si="28"/>
        <v>-2182.7999999999997</v>
      </c>
      <c r="AR19" s="2">
        <f t="shared" si="38"/>
        <v>-2182.7999999999997</v>
      </c>
      <c r="AS19" s="2">
        <f t="shared" si="39"/>
        <v>241.20000000000073</v>
      </c>
      <c r="AT19" s="2">
        <f t="shared" si="29"/>
        <v>-4182.7999999999993</v>
      </c>
      <c r="AU19" s="1" t="e">
        <f t="shared" si="16"/>
        <v>#N/A</v>
      </c>
      <c r="AV19" s="2">
        <f t="shared" si="17"/>
        <v>30</v>
      </c>
      <c r="AW19" s="3">
        <f t="shared" si="18"/>
        <v>4.7999999999999989</v>
      </c>
      <c r="AX19" s="3">
        <f t="shared" si="30"/>
        <v>25.200000000000003</v>
      </c>
      <c r="AY19" s="2">
        <f t="shared" si="19"/>
        <v>-235.56999999999971</v>
      </c>
    </row>
    <row r="20" spans="1:51" ht="15.75" thickBot="1" x14ac:dyDescent="0.3">
      <c r="A20" s="61" t="s">
        <v>64</v>
      </c>
      <c r="B20" s="61"/>
      <c r="D20" s="61" t="s">
        <v>71</v>
      </c>
      <c r="E20" s="61"/>
      <c r="G20" s="61" t="s">
        <v>66</v>
      </c>
      <c r="H20" s="61"/>
      <c r="J20" s="61" t="s">
        <v>74</v>
      </c>
      <c r="K20" s="61"/>
      <c r="N20" s="10">
        <f t="shared" si="31"/>
        <v>5.0999999999999988</v>
      </c>
      <c r="O20" s="10">
        <f t="shared" si="0"/>
        <v>0</v>
      </c>
      <c r="P20" s="10">
        <f t="shared" si="1"/>
        <v>0</v>
      </c>
      <c r="Q20" s="10">
        <f t="shared" si="2"/>
        <v>0</v>
      </c>
      <c r="R20" s="1">
        <f t="shared" si="3"/>
        <v>-3882.13</v>
      </c>
      <c r="S20" s="1">
        <f t="shared" si="4"/>
        <v>-5000</v>
      </c>
      <c r="T20" s="1">
        <f t="shared" si="5"/>
        <v>-4800</v>
      </c>
      <c r="U20" s="1">
        <f t="shared" si="6"/>
        <v>-1280</v>
      </c>
      <c r="V20" s="2">
        <f t="shared" si="20"/>
        <v>-2146.8000000000002</v>
      </c>
      <c r="W20" s="3">
        <f t="shared" si="32"/>
        <v>-1.0100000000000016</v>
      </c>
      <c r="X20" s="3">
        <f t="shared" si="7"/>
        <v>0</v>
      </c>
      <c r="Y20" s="3">
        <f t="shared" si="8"/>
        <v>-10</v>
      </c>
      <c r="Z20" s="3">
        <f t="shared" si="33"/>
        <v>0</v>
      </c>
      <c r="AA20" s="3">
        <f t="shared" si="21"/>
        <v>0</v>
      </c>
      <c r="AB20" s="3">
        <f t="shared" si="34"/>
        <v>-3</v>
      </c>
      <c r="AC20" s="3">
        <f t="shared" si="10"/>
        <v>0</v>
      </c>
      <c r="AD20" s="3">
        <f t="shared" si="11"/>
        <v>-3</v>
      </c>
      <c r="AE20" s="3">
        <f t="shared" si="35"/>
        <v>0</v>
      </c>
      <c r="AF20" s="3">
        <f t="shared" si="22"/>
        <v>0</v>
      </c>
      <c r="AG20" s="3">
        <f t="shared" si="36"/>
        <v>-0.8</v>
      </c>
      <c r="AH20" s="3">
        <f t="shared" si="12"/>
        <v>0</v>
      </c>
      <c r="AI20" s="3">
        <f t="shared" si="13"/>
        <v>-0.8</v>
      </c>
      <c r="AJ20" s="3">
        <f t="shared" si="23"/>
        <v>0</v>
      </c>
      <c r="AK20" s="3">
        <f t="shared" si="24"/>
        <v>0</v>
      </c>
      <c r="AL20" s="2">
        <f t="shared" si="25"/>
        <v>0</v>
      </c>
      <c r="AM20" s="2">
        <f t="shared" si="14"/>
        <v>0</v>
      </c>
      <c r="AN20" s="2">
        <f t="shared" si="37"/>
        <v>0</v>
      </c>
      <c r="AO20" s="2">
        <f t="shared" si="27"/>
        <v>-2000</v>
      </c>
      <c r="AP20" s="2">
        <f t="shared" si="15"/>
        <v>0</v>
      </c>
      <c r="AQ20" s="2">
        <f t="shared" si="28"/>
        <v>-2146.8000000000002</v>
      </c>
      <c r="AR20" s="2">
        <f t="shared" si="38"/>
        <v>-2146.8000000000002</v>
      </c>
      <c r="AS20" s="2">
        <f t="shared" si="39"/>
        <v>241.20000000000073</v>
      </c>
      <c r="AT20" s="2">
        <f t="shared" si="29"/>
        <v>-4146.8</v>
      </c>
      <c r="AU20" s="1" t="e">
        <f t="shared" si="16"/>
        <v>#N/A</v>
      </c>
      <c r="AV20" s="2">
        <f t="shared" si="17"/>
        <v>30</v>
      </c>
      <c r="AW20" s="3">
        <f t="shared" si="18"/>
        <v>5.0999999999999988</v>
      </c>
      <c r="AX20" s="3">
        <f t="shared" si="30"/>
        <v>24.900000000000002</v>
      </c>
      <c r="AY20" s="2">
        <f t="shared" si="19"/>
        <v>-264.67000000000007</v>
      </c>
    </row>
    <row r="21" spans="1:51" x14ac:dyDescent="0.25">
      <c r="A21" s="12" t="s">
        <v>35</v>
      </c>
      <c r="B21" s="41">
        <f>IF(strike1&gt;stockPx,-option1Position*option1Px*contract1Size,(stockPx-strike1-option1Px)*option1Position*contract1Size)+IF(strike2&gt;stockPx,-option2Position*option2Px*contract2Size,(stockPx-strike2-option2Px)*option2Position*contract2Size)+IF(strike3&gt;stockPx,-option3Position*option3Px*contract3Size,(stockPx-strike3-option3Px)*option3Position*contract3Size)</f>
        <v>-202.00000000000031</v>
      </c>
      <c r="D21" s="12" t="s">
        <v>58</v>
      </c>
      <c r="E21" s="31">
        <f>IF(MIN(F31:F33)&lt;stockPx,MIN(F31:F33),IF(SUM(F31:F33)=0,"NA","OTM"))</f>
        <v>14</v>
      </c>
      <c r="G21" s="12" t="s">
        <v>67</v>
      </c>
      <c r="H21" s="13">
        <f>R103</f>
        <v>1521.1700000000003</v>
      </c>
      <c r="J21" s="34" t="s">
        <v>74</v>
      </c>
      <c r="K21" s="37" t="str">
        <f>IF(SUM(E31:E33)=0,"-"&amp;ROUND(H25,1)&amp;" / "&amp;ROUND(H25,1),IFERROR(ROUND(E25,1),"IRL "&amp;ROUND(E22*B10*100,1)&amp;"%")&amp;" / "&amp;ROUND(H25,1))</f>
        <v>-1.6 / 1.3</v>
      </c>
      <c r="N21" s="10">
        <f t="shared" si="31"/>
        <v>5.3999999999999986</v>
      </c>
      <c r="O21" s="10">
        <f t="shared" si="0"/>
        <v>0</v>
      </c>
      <c r="P21" s="10">
        <f t="shared" si="1"/>
        <v>0</v>
      </c>
      <c r="Q21" s="10">
        <f t="shared" si="2"/>
        <v>0</v>
      </c>
      <c r="R21" s="1">
        <f t="shared" si="3"/>
        <v>-3817.0299999999997</v>
      </c>
      <c r="S21" s="1">
        <f t="shared" si="4"/>
        <v>-5000</v>
      </c>
      <c r="T21" s="1">
        <f t="shared" si="5"/>
        <v>-4800</v>
      </c>
      <c r="U21" s="1">
        <f t="shared" si="6"/>
        <v>-1280</v>
      </c>
      <c r="V21" s="2">
        <f t="shared" si="20"/>
        <v>-2110.8000000000002</v>
      </c>
      <c r="W21" s="3">
        <f t="shared" si="32"/>
        <v>-1.0100000000000016</v>
      </c>
      <c r="X21" s="3">
        <f t="shared" si="7"/>
        <v>0</v>
      </c>
      <c r="Y21" s="3">
        <f t="shared" si="8"/>
        <v>-10</v>
      </c>
      <c r="Z21" s="3">
        <f t="shared" si="33"/>
        <v>0</v>
      </c>
      <c r="AA21" s="3">
        <f t="shared" si="21"/>
        <v>0</v>
      </c>
      <c r="AB21" s="3">
        <f t="shared" si="34"/>
        <v>-3</v>
      </c>
      <c r="AC21" s="3">
        <f t="shared" si="10"/>
        <v>0</v>
      </c>
      <c r="AD21" s="3">
        <f t="shared" si="11"/>
        <v>-3</v>
      </c>
      <c r="AE21" s="3">
        <f t="shared" si="35"/>
        <v>0</v>
      </c>
      <c r="AF21" s="3">
        <f t="shared" si="22"/>
        <v>0</v>
      </c>
      <c r="AG21" s="3">
        <f t="shared" si="36"/>
        <v>-0.8</v>
      </c>
      <c r="AH21" s="3">
        <f t="shared" si="12"/>
        <v>0</v>
      </c>
      <c r="AI21" s="3">
        <f t="shared" si="13"/>
        <v>-0.8</v>
      </c>
      <c r="AJ21" s="3">
        <f t="shared" si="23"/>
        <v>0</v>
      </c>
      <c r="AK21" s="3">
        <f t="shared" si="24"/>
        <v>0</v>
      </c>
      <c r="AL21" s="2">
        <f t="shared" si="25"/>
        <v>0</v>
      </c>
      <c r="AM21" s="2">
        <f t="shared" si="14"/>
        <v>0</v>
      </c>
      <c r="AN21" s="2">
        <f t="shared" si="37"/>
        <v>0</v>
      </c>
      <c r="AO21" s="2">
        <f t="shared" si="27"/>
        <v>-2000</v>
      </c>
      <c r="AP21" s="2">
        <f t="shared" si="15"/>
        <v>0</v>
      </c>
      <c r="AQ21" s="2">
        <f t="shared" si="28"/>
        <v>-2110.8000000000002</v>
      </c>
      <c r="AR21" s="2">
        <f t="shared" si="38"/>
        <v>-2110.8000000000002</v>
      </c>
      <c r="AS21" s="2">
        <f t="shared" si="39"/>
        <v>241.20000000000073</v>
      </c>
      <c r="AT21" s="2">
        <f t="shared" si="29"/>
        <v>-4110.8</v>
      </c>
      <c r="AU21" s="1" t="e">
        <f t="shared" si="16"/>
        <v>#N/A</v>
      </c>
      <c r="AV21" s="2">
        <f t="shared" si="17"/>
        <v>30</v>
      </c>
      <c r="AW21" s="3">
        <f t="shared" si="18"/>
        <v>5.3999999999999986</v>
      </c>
      <c r="AX21" s="3">
        <f t="shared" si="30"/>
        <v>24.6</v>
      </c>
      <c r="AY21" s="2">
        <f t="shared" si="19"/>
        <v>-293.77000000000044</v>
      </c>
    </row>
    <row r="22" spans="1:51" x14ac:dyDescent="0.25">
      <c r="A22" s="14" t="s">
        <v>36</v>
      </c>
      <c r="B22" s="23">
        <f>-B21/(B9*B10)</f>
        <v>4.0400000000000061E-2</v>
      </c>
      <c r="D22" s="14" t="s">
        <v>59</v>
      </c>
      <c r="E22" s="53">
        <f>(option1Position*option1Px*contract1Size+option2Position*option2Px*contract2Size+option3Position*option3Px*contract3Size)/(B9*B10)</f>
        <v>0.4</v>
      </c>
      <c r="G22" s="14" t="s">
        <v>68</v>
      </c>
      <c r="H22" s="15">
        <f>AM103+AO103</f>
        <v>1200</v>
      </c>
      <c r="J22" s="35" t="s">
        <v>76</v>
      </c>
      <c r="K22" s="38">
        <f>R103/(B9*B10)</f>
        <v>0.30423400000000006</v>
      </c>
      <c r="N22" s="10">
        <f t="shared" si="31"/>
        <v>5.6999999999999984</v>
      </c>
      <c r="O22" s="10">
        <f t="shared" si="0"/>
        <v>0</v>
      </c>
      <c r="P22" s="10">
        <f t="shared" si="1"/>
        <v>0</v>
      </c>
      <c r="Q22" s="10">
        <f t="shared" si="2"/>
        <v>0</v>
      </c>
      <c r="R22" s="1">
        <f t="shared" si="3"/>
        <v>-3751.93</v>
      </c>
      <c r="S22" s="1">
        <f t="shared" si="4"/>
        <v>-5000</v>
      </c>
      <c r="T22" s="1">
        <f t="shared" si="5"/>
        <v>-4800</v>
      </c>
      <c r="U22" s="1">
        <f t="shared" si="6"/>
        <v>-1280</v>
      </c>
      <c r="V22" s="2">
        <f t="shared" si="20"/>
        <v>-2074.7999999999997</v>
      </c>
      <c r="W22" s="3">
        <f t="shared" si="32"/>
        <v>-1.0100000000000016</v>
      </c>
      <c r="X22" s="3">
        <f t="shared" si="7"/>
        <v>0</v>
      </c>
      <c r="Y22" s="3">
        <f t="shared" si="8"/>
        <v>-10</v>
      </c>
      <c r="Z22" s="3">
        <f t="shared" si="33"/>
        <v>0</v>
      </c>
      <c r="AA22" s="3">
        <f t="shared" si="21"/>
        <v>0</v>
      </c>
      <c r="AB22" s="3">
        <f t="shared" si="34"/>
        <v>-3</v>
      </c>
      <c r="AC22" s="3">
        <f t="shared" si="10"/>
        <v>0</v>
      </c>
      <c r="AD22" s="3">
        <f t="shared" si="11"/>
        <v>-3</v>
      </c>
      <c r="AE22" s="3">
        <f t="shared" si="35"/>
        <v>0</v>
      </c>
      <c r="AF22" s="3">
        <f t="shared" si="22"/>
        <v>0</v>
      </c>
      <c r="AG22" s="3">
        <f t="shared" si="36"/>
        <v>-0.8</v>
      </c>
      <c r="AH22" s="3">
        <f t="shared" si="12"/>
        <v>0</v>
      </c>
      <c r="AI22" s="3">
        <f t="shared" si="13"/>
        <v>-0.8</v>
      </c>
      <c r="AJ22" s="3">
        <f t="shared" si="23"/>
        <v>0</v>
      </c>
      <c r="AK22" s="3">
        <f t="shared" si="24"/>
        <v>0</v>
      </c>
      <c r="AL22" s="2">
        <f t="shared" si="25"/>
        <v>0</v>
      </c>
      <c r="AM22" s="2">
        <f t="shared" si="14"/>
        <v>0</v>
      </c>
      <c r="AN22" s="2">
        <f t="shared" si="37"/>
        <v>0</v>
      </c>
      <c r="AO22" s="2">
        <f t="shared" si="27"/>
        <v>-2000</v>
      </c>
      <c r="AP22" s="2">
        <f t="shared" si="15"/>
        <v>0</v>
      </c>
      <c r="AQ22" s="2">
        <f t="shared" si="28"/>
        <v>-2074.7999999999997</v>
      </c>
      <c r="AR22" s="2">
        <f t="shared" si="38"/>
        <v>-2074.7999999999997</v>
      </c>
      <c r="AS22" s="2">
        <f t="shared" si="39"/>
        <v>241.20000000000073</v>
      </c>
      <c r="AT22" s="2">
        <f t="shared" si="29"/>
        <v>-4074.7999999999997</v>
      </c>
      <c r="AU22" s="1" t="e">
        <f t="shared" si="16"/>
        <v>#N/A</v>
      </c>
      <c r="AV22" s="2">
        <f t="shared" si="17"/>
        <v>30</v>
      </c>
      <c r="AW22" s="3">
        <f t="shared" si="18"/>
        <v>5.6999999999999984</v>
      </c>
      <c r="AX22" s="3">
        <f t="shared" si="30"/>
        <v>24.3</v>
      </c>
      <c r="AY22" s="2">
        <f t="shared" si="19"/>
        <v>-322.86999999999989</v>
      </c>
    </row>
    <row r="23" spans="1:51" ht="15.75" thickBot="1" x14ac:dyDescent="0.3">
      <c r="A23" s="16" t="s">
        <v>37</v>
      </c>
      <c r="B23" s="24">
        <f>-B21/B9</f>
        <v>2.0200000000000031E-3</v>
      </c>
      <c r="D23" s="14" t="s">
        <v>65</v>
      </c>
      <c r="E23" s="32">
        <f>IF(SUM(F31:F33)=0,"NA",IF(E21&lt;stockPx,E21/stockPx-1,"IRL"))</f>
        <v>-0.39103958242714221</v>
      </c>
      <c r="G23" s="14" t="s">
        <v>69</v>
      </c>
      <c r="H23" s="15">
        <f>AL103</f>
        <v>841.20000000000016</v>
      </c>
      <c r="J23" s="36" t="s">
        <v>75</v>
      </c>
      <c r="K23" s="39">
        <f>IFERROR(AT103/(option1Position*option1Px*contract1Size+option2Position*option2Px*contract2Size+option3Position*option3Px*contract3Size+stockPosition),"NA")</f>
        <v>0.42893166344456596</v>
      </c>
      <c r="N23" s="10">
        <f t="shared" si="31"/>
        <v>5.9999999999999982</v>
      </c>
      <c r="O23" s="10">
        <f t="shared" si="0"/>
        <v>0</v>
      </c>
      <c r="P23" s="10">
        <f t="shared" si="1"/>
        <v>0</v>
      </c>
      <c r="Q23" s="10">
        <f t="shared" si="2"/>
        <v>0</v>
      </c>
      <c r="R23" s="1">
        <f t="shared" si="3"/>
        <v>-3686.8300000000004</v>
      </c>
      <c r="S23" s="1">
        <f t="shared" si="4"/>
        <v>-5000</v>
      </c>
      <c r="T23" s="1">
        <f t="shared" si="5"/>
        <v>-4800</v>
      </c>
      <c r="U23" s="1">
        <f t="shared" si="6"/>
        <v>-1280</v>
      </c>
      <c r="V23" s="2">
        <f t="shared" si="20"/>
        <v>-2038.8000000000002</v>
      </c>
      <c r="W23" s="3">
        <f t="shared" si="32"/>
        <v>-1.0100000000000016</v>
      </c>
      <c r="X23" s="3">
        <f t="shared" si="7"/>
        <v>0</v>
      </c>
      <c r="Y23" s="3">
        <f t="shared" si="8"/>
        <v>-10</v>
      </c>
      <c r="Z23" s="3">
        <f t="shared" si="33"/>
        <v>0</v>
      </c>
      <c r="AA23" s="3">
        <f t="shared" si="21"/>
        <v>0</v>
      </c>
      <c r="AB23" s="3">
        <f t="shared" si="34"/>
        <v>-3</v>
      </c>
      <c r="AC23" s="3">
        <f t="shared" si="10"/>
        <v>0</v>
      </c>
      <c r="AD23" s="3">
        <f t="shared" si="11"/>
        <v>-3</v>
      </c>
      <c r="AE23" s="3">
        <f t="shared" si="35"/>
        <v>0</v>
      </c>
      <c r="AF23" s="3">
        <f t="shared" si="22"/>
        <v>0</v>
      </c>
      <c r="AG23" s="3">
        <f t="shared" si="36"/>
        <v>-0.8</v>
      </c>
      <c r="AH23" s="3">
        <f t="shared" si="12"/>
        <v>0</v>
      </c>
      <c r="AI23" s="3">
        <f t="shared" si="13"/>
        <v>-0.8</v>
      </c>
      <c r="AJ23" s="3">
        <f t="shared" si="23"/>
        <v>0</v>
      </c>
      <c r="AK23" s="3">
        <f t="shared" si="24"/>
        <v>0</v>
      </c>
      <c r="AL23" s="2">
        <f t="shared" si="25"/>
        <v>0</v>
      </c>
      <c r="AM23" s="2">
        <f t="shared" si="14"/>
        <v>0</v>
      </c>
      <c r="AN23" s="2">
        <f t="shared" si="37"/>
        <v>0</v>
      </c>
      <c r="AO23" s="2">
        <f t="shared" si="27"/>
        <v>-2000</v>
      </c>
      <c r="AP23" s="2">
        <f t="shared" si="15"/>
        <v>0</v>
      </c>
      <c r="AQ23" s="2">
        <f t="shared" si="28"/>
        <v>-2038.8000000000002</v>
      </c>
      <c r="AR23" s="2">
        <f t="shared" si="38"/>
        <v>-2038.8000000000002</v>
      </c>
      <c r="AS23" s="2">
        <f t="shared" si="39"/>
        <v>241.20000000000073</v>
      </c>
      <c r="AT23" s="2">
        <f t="shared" si="29"/>
        <v>-4038.8</v>
      </c>
      <c r="AU23" s="1" t="e">
        <f t="shared" si="16"/>
        <v>#N/A</v>
      </c>
      <c r="AV23" s="2">
        <f t="shared" si="17"/>
        <v>30</v>
      </c>
      <c r="AW23" s="3">
        <f t="shared" si="18"/>
        <v>5.9999999999999982</v>
      </c>
      <c r="AX23" s="3">
        <f t="shared" si="30"/>
        <v>24</v>
      </c>
      <c r="AY23" s="2">
        <f t="shared" si="19"/>
        <v>-351.9699999999998</v>
      </c>
    </row>
    <row r="24" spans="1:51" x14ac:dyDescent="0.25">
      <c r="D24" s="50" t="s">
        <v>87</v>
      </c>
      <c r="E24" s="51">
        <f>IF(MIN(F31:F33)&gt;stockPx,"IRL "&amp;ROUND(E22*B10*100,1)&amp;"%",IFERROR(ROUND(E22/E23,1),"NA"))</f>
        <v>-1</v>
      </c>
      <c r="G24" s="14" t="s">
        <v>70</v>
      </c>
      <c r="H24" s="17">
        <f>H22+H23</f>
        <v>2041.2000000000003</v>
      </c>
      <c r="N24" s="10">
        <f t="shared" si="31"/>
        <v>6.299999999999998</v>
      </c>
      <c r="O24" s="10">
        <f t="shared" si="0"/>
        <v>0</v>
      </c>
      <c r="P24" s="10">
        <f t="shared" si="1"/>
        <v>0</v>
      </c>
      <c r="Q24" s="10">
        <f t="shared" si="2"/>
        <v>0</v>
      </c>
      <c r="R24" s="1">
        <f t="shared" si="3"/>
        <v>-3621.7300000000005</v>
      </c>
      <c r="S24" s="1">
        <f t="shared" si="4"/>
        <v>-5000</v>
      </c>
      <c r="T24" s="1">
        <f t="shared" si="5"/>
        <v>-4800</v>
      </c>
      <c r="U24" s="1">
        <f t="shared" si="6"/>
        <v>-1280</v>
      </c>
      <c r="V24" s="2">
        <f t="shared" si="20"/>
        <v>-2002.8000000000002</v>
      </c>
      <c r="W24" s="3">
        <f t="shared" si="32"/>
        <v>-1.0100000000000016</v>
      </c>
      <c r="X24" s="3">
        <f t="shared" si="7"/>
        <v>0</v>
      </c>
      <c r="Y24" s="3">
        <f t="shared" si="8"/>
        <v>-10</v>
      </c>
      <c r="Z24" s="3">
        <f t="shared" si="33"/>
        <v>0</v>
      </c>
      <c r="AA24" s="3">
        <f t="shared" si="21"/>
        <v>0</v>
      </c>
      <c r="AB24" s="3">
        <f t="shared" si="34"/>
        <v>-3</v>
      </c>
      <c r="AC24" s="3">
        <f t="shared" si="10"/>
        <v>0</v>
      </c>
      <c r="AD24" s="3">
        <f t="shared" si="11"/>
        <v>-3</v>
      </c>
      <c r="AE24" s="3">
        <f t="shared" si="35"/>
        <v>0</v>
      </c>
      <c r="AF24" s="3">
        <f t="shared" si="22"/>
        <v>0</v>
      </c>
      <c r="AG24" s="3">
        <f t="shared" si="36"/>
        <v>-0.8</v>
      </c>
      <c r="AH24" s="3">
        <f t="shared" si="12"/>
        <v>0</v>
      </c>
      <c r="AI24" s="3">
        <f t="shared" si="13"/>
        <v>-0.8</v>
      </c>
      <c r="AJ24" s="3">
        <f t="shared" si="23"/>
        <v>0</v>
      </c>
      <c r="AK24" s="3">
        <f t="shared" si="24"/>
        <v>0</v>
      </c>
      <c r="AL24" s="2">
        <f t="shared" si="25"/>
        <v>0</v>
      </c>
      <c r="AM24" s="2">
        <f t="shared" si="14"/>
        <v>0</v>
      </c>
      <c r="AN24" s="2">
        <f t="shared" si="37"/>
        <v>0</v>
      </c>
      <c r="AO24" s="2">
        <f t="shared" si="27"/>
        <v>-2000</v>
      </c>
      <c r="AP24" s="2">
        <f t="shared" si="15"/>
        <v>0</v>
      </c>
      <c r="AQ24" s="2">
        <f t="shared" si="28"/>
        <v>-2002.8000000000002</v>
      </c>
      <c r="AR24" s="2">
        <f t="shared" si="38"/>
        <v>-2002.8000000000002</v>
      </c>
      <c r="AS24" s="2">
        <f t="shared" si="39"/>
        <v>241.20000000000073</v>
      </c>
      <c r="AT24" s="2">
        <f t="shared" si="29"/>
        <v>-4002.8</v>
      </c>
      <c r="AU24" s="1" t="e">
        <f t="shared" si="16"/>
        <v>#N/A</v>
      </c>
      <c r="AV24" s="2">
        <f t="shared" si="17"/>
        <v>30</v>
      </c>
      <c r="AW24" s="3">
        <f t="shared" si="18"/>
        <v>6.299999999999998</v>
      </c>
      <c r="AX24" s="3">
        <f t="shared" si="30"/>
        <v>23.700000000000003</v>
      </c>
      <c r="AY24" s="2">
        <f t="shared" si="19"/>
        <v>-381.06999999999971</v>
      </c>
    </row>
    <row r="25" spans="1:51" ht="15.75" thickBot="1" x14ac:dyDescent="0.3">
      <c r="D25" s="16" t="s">
        <v>88</v>
      </c>
      <c r="E25" s="25">
        <f>IF(E23&lt;0,E22/E23-B14,IF(E23="IRL",IF(E34=1,-E22*B10-B14,"IRL "&amp;ROUND(E22*B10*100,1)&amp;"%")))</f>
        <v>-1.5746743492769744</v>
      </c>
      <c r="G25" s="16" t="s">
        <v>89</v>
      </c>
      <c r="H25" s="26">
        <f>H24/H21</f>
        <v>1.341861856334269</v>
      </c>
      <c r="N25" s="10">
        <f t="shared" si="31"/>
        <v>6.5999999999999979</v>
      </c>
      <c r="O25" s="10">
        <f t="shared" si="0"/>
        <v>0</v>
      </c>
      <c r="P25" s="10">
        <f t="shared" si="1"/>
        <v>0</v>
      </c>
      <c r="Q25" s="10">
        <f t="shared" si="2"/>
        <v>0</v>
      </c>
      <c r="R25" s="1">
        <f t="shared" si="3"/>
        <v>-3556.63</v>
      </c>
      <c r="S25" s="1">
        <f t="shared" si="4"/>
        <v>-5000</v>
      </c>
      <c r="T25" s="1">
        <f t="shared" si="5"/>
        <v>-4800</v>
      </c>
      <c r="U25" s="1">
        <f t="shared" si="6"/>
        <v>-1280</v>
      </c>
      <c r="V25" s="2">
        <f t="shared" si="20"/>
        <v>-1966.8000000000002</v>
      </c>
      <c r="W25" s="3">
        <f t="shared" si="32"/>
        <v>-1.0100000000000016</v>
      </c>
      <c r="X25" s="3">
        <f t="shared" si="7"/>
        <v>0</v>
      </c>
      <c r="Y25" s="3">
        <f t="shared" si="8"/>
        <v>-10</v>
      </c>
      <c r="Z25" s="3">
        <f t="shared" si="33"/>
        <v>0</v>
      </c>
      <c r="AA25" s="3">
        <f t="shared" si="21"/>
        <v>0</v>
      </c>
      <c r="AB25" s="3">
        <f t="shared" si="34"/>
        <v>-3</v>
      </c>
      <c r="AC25" s="3">
        <f t="shared" si="10"/>
        <v>0</v>
      </c>
      <c r="AD25" s="3">
        <f t="shared" si="11"/>
        <v>-3</v>
      </c>
      <c r="AE25" s="3">
        <f t="shared" si="35"/>
        <v>0</v>
      </c>
      <c r="AF25" s="3">
        <f t="shared" si="22"/>
        <v>0</v>
      </c>
      <c r="AG25" s="3">
        <f t="shared" si="36"/>
        <v>-0.8</v>
      </c>
      <c r="AH25" s="3">
        <f t="shared" si="12"/>
        <v>0</v>
      </c>
      <c r="AI25" s="3">
        <f t="shared" si="13"/>
        <v>-0.8</v>
      </c>
      <c r="AJ25" s="3">
        <f t="shared" si="23"/>
        <v>0</v>
      </c>
      <c r="AK25" s="3">
        <f t="shared" si="24"/>
        <v>0</v>
      </c>
      <c r="AL25" s="2">
        <f t="shared" si="25"/>
        <v>0</v>
      </c>
      <c r="AM25" s="2">
        <f t="shared" si="14"/>
        <v>0</v>
      </c>
      <c r="AN25" s="2">
        <f t="shared" si="37"/>
        <v>0</v>
      </c>
      <c r="AO25" s="2">
        <f t="shared" si="27"/>
        <v>-2000</v>
      </c>
      <c r="AP25" s="2">
        <f t="shared" si="15"/>
        <v>0</v>
      </c>
      <c r="AQ25" s="2">
        <f t="shared" si="28"/>
        <v>-1966.8000000000002</v>
      </c>
      <c r="AR25" s="2">
        <f t="shared" si="38"/>
        <v>-1966.8000000000002</v>
      </c>
      <c r="AS25" s="2">
        <f t="shared" si="39"/>
        <v>241.20000000000073</v>
      </c>
      <c r="AT25" s="2">
        <f t="shared" si="29"/>
        <v>-3966.8</v>
      </c>
      <c r="AU25" s="1" t="e">
        <f t="shared" si="16"/>
        <v>#N/A</v>
      </c>
      <c r="AV25" s="2">
        <f t="shared" si="17"/>
        <v>30</v>
      </c>
      <c r="AW25" s="3">
        <f t="shared" si="18"/>
        <v>6.5999999999999979</v>
      </c>
      <c r="AX25" s="3">
        <f t="shared" si="30"/>
        <v>23.400000000000002</v>
      </c>
      <c r="AY25" s="2">
        <f t="shared" si="19"/>
        <v>-410.17000000000007</v>
      </c>
    </row>
    <row r="26" spans="1:51" s="42" customFormat="1" x14ac:dyDescent="0.25">
      <c r="B26" s="55"/>
      <c r="D26" s="56"/>
      <c r="E26" s="55"/>
      <c r="K26" s="44"/>
      <c r="N26" s="46">
        <f t="shared" si="31"/>
        <v>6.8999999999999977</v>
      </c>
      <c r="O26" s="10">
        <f t="shared" si="0"/>
        <v>0</v>
      </c>
      <c r="P26" s="10">
        <f t="shared" si="1"/>
        <v>0</v>
      </c>
      <c r="Q26" s="10">
        <f t="shared" si="2"/>
        <v>0</v>
      </c>
      <c r="R26" s="47">
        <f t="shared" si="3"/>
        <v>-3491.5299999999997</v>
      </c>
      <c r="S26" s="47">
        <f t="shared" si="4"/>
        <v>-5000</v>
      </c>
      <c r="T26" s="47">
        <f t="shared" si="5"/>
        <v>-4800</v>
      </c>
      <c r="U26" s="47">
        <f t="shared" si="6"/>
        <v>-1280</v>
      </c>
      <c r="V26" s="48">
        <f t="shared" si="20"/>
        <v>-1930.8</v>
      </c>
      <c r="W26" s="49">
        <f t="shared" si="32"/>
        <v>-1.0100000000000016</v>
      </c>
      <c r="X26" s="49">
        <f t="shared" si="7"/>
        <v>0</v>
      </c>
      <c r="Y26" s="49">
        <f t="shared" si="8"/>
        <v>-10</v>
      </c>
      <c r="Z26" s="3">
        <f t="shared" si="33"/>
        <v>0</v>
      </c>
      <c r="AA26" s="49">
        <f t="shared" si="21"/>
        <v>0</v>
      </c>
      <c r="AB26" s="49">
        <f t="shared" si="34"/>
        <v>-3</v>
      </c>
      <c r="AC26" s="49">
        <f t="shared" si="10"/>
        <v>0</v>
      </c>
      <c r="AD26" s="49">
        <f t="shared" si="11"/>
        <v>-3</v>
      </c>
      <c r="AE26" s="3">
        <f t="shared" si="35"/>
        <v>0</v>
      </c>
      <c r="AF26" s="49">
        <f t="shared" si="22"/>
        <v>0</v>
      </c>
      <c r="AG26" s="49">
        <f t="shared" si="36"/>
        <v>-0.8</v>
      </c>
      <c r="AH26" s="49">
        <f t="shared" si="12"/>
        <v>0</v>
      </c>
      <c r="AI26" s="49">
        <f t="shared" si="13"/>
        <v>-0.8</v>
      </c>
      <c r="AJ26" s="3">
        <f t="shared" si="23"/>
        <v>0</v>
      </c>
      <c r="AK26" s="49">
        <f t="shared" si="24"/>
        <v>0</v>
      </c>
      <c r="AL26" s="48">
        <f t="shared" si="25"/>
        <v>0</v>
      </c>
      <c r="AM26" s="48">
        <f t="shared" si="14"/>
        <v>0</v>
      </c>
      <c r="AN26" s="48">
        <f t="shared" si="37"/>
        <v>0</v>
      </c>
      <c r="AO26" s="48">
        <f t="shared" si="27"/>
        <v>-2000</v>
      </c>
      <c r="AP26" s="48">
        <f t="shared" si="15"/>
        <v>0</v>
      </c>
      <c r="AQ26" s="48">
        <f t="shared" si="28"/>
        <v>-1930.8</v>
      </c>
      <c r="AR26" s="48">
        <f t="shared" si="38"/>
        <v>-1930.8</v>
      </c>
      <c r="AS26" s="48">
        <f t="shared" si="39"/>
        <v>241.20000000000073</v>
      </c>
      <c r="AT26" s="48">
        <f t="shared" si="29"/>
        <v>-3930.8</v>
      </c>
      <c r="AU26" s="47" t="e">
        <f t="shared" si="16"/>
        <v>#N/A</v>
      </c>
      <c r="AV26" s="48">
        <f t="shared" si="17"/>
        <v>30</v>
      </c>
      <c r="AW26" s="49">
        <f t="shared" si="18"/>
        <v>6.8999999999999977</v>
      </c>
      <c r="AX26" s="49">
        <f t="shared" si="30"/>
        <v>23.1</v>
      </c>
      <c r="AY26" s="48">
        <f t="shared" si="19"/>
        <v>-439.27000000000044</v>
      </c>
    </row>
    <row r="27" spans="1:51" s="42" customFormat="1" x14ac:dyDescent="0.25">
      <c r="E27" s="52"/>
      <c r="N27" s="46">
        <f t="shared" si="31"/>
        <v>7.1999999999999975</v>
      </c>
      <c r="O27" s="10">
        <f t="shared" si="0"/>
        <v>0</v>
      </c>
      <c r="P27" s="10">
        <f t="shared" si="1"/>
        <v>0</v>
      </c>
      <c r="Q27" s="10">
        <f t="shared" si="2"/>
        <v>0</v>
      </c>
      <c r="R27" s="47">
        <f t="shared" si="3"/>
        <v>-3426.4300000000003</v>
      </c>
      <c r="S27" s="47">
        <f t="shared" si="4"/>
        <v>-5000</v>
      </c>
      <c r="T27" s="47">
        <f t="shared" si="5"/>
        <v>-4800</v>
      </c>
      <c r="U27" s="47">
        <f t="shared" si="6"/>
        <v>-1280</v>
      </c>
      <c r="V27" s="48">
        <f t="shared" si="20"/>
        <v>-1894.8000000000002</v>
      </c>
      <c r="W27" s="49">
        <f t="shared" si="32"/>
        <v>-1.0100000000000016</v>
      </c>
      <c r="X27" s="49">
        <f t="shared" si="7"/>
        <v>0</v>
      </c>
      <c r="Y27" s="49">
        <f t="shared" si="8"/>
        <v>-10</v>
      </c>
      <c r="Z27" s="3">
        <f t="shared" si="33"/>
        <v>0</v>
      </c>
      <c r="AA27" s="49">
        <f t="shared" si="21"/>
        <v>0</v>
      </c>
      <c r="AB27" s="49">
        <f t="shared" si="34"/>
        <v>-3</v>
      </c>
      <c r="AC27" s="49">
        <f t="shared" si="10"/>
        <v>0</v>
      </c>
      <c r="AD27" s="49">
        <f t="shared" si="11"/>
        <v>-3</v>
      </c>
      <c r="AE27" s="3">
        <f t="shared" si="35"/>
        <v>0</v>
      </c>
      <c r="AF27" s="49">
        <f t="shared" si="22"/>
        <v>0</v>
      </c>
      <c r="AG27" s="49">
        <f t="shared" si="36"/>
        <v>-0.8</v>
      </c>
      <c r="AH27" s="49">
        <f t="shared" si="12"/>
        <v>0</v>
      </c>
      <c r="AI27" s="49">
        <f t="shared" si="13"/>
        <v>-0.8</v>
      </c>
      <c r="AJ27" s="3">
        <f t="shared" si="23"/>
        <v>0</v>
      </c>
      <c r="AK27" s="49">
        <f t="shared" si="24"/>
        <v>0</v>
      </c>
      <c r="AL27" s="48">
        <f t="shared" si="25"/>
        <v>0</v>
      </c>
      <c r="AM27" s="48">
        <f t="shared" si="14"/>
        <v>0</v>
      </c>
      <c r="AN27" s="48">
        <f t="shared" si="37"/>
        <v>0</v>
      </c>
      <c r="AO27" s="48">
        <f t="shared" si="27"/>
        <v>-2000</v>
      </c>
      <c r="AP27" s="48">
        <f t="shared" si="15"/>
        <v>0</v>
      </c>
      <c r="AQ27" s="48">
        <f t="shared" si="28"/>
        <v>-1894.8000000000002</v>
      </c>
      <c r="AR27" s="48">
        <f t="shared" si="38"/>
        <v>-1894.8000000000002</v>
      </c>
      <c r="AS27" s="48">
        <f t="shared" si="39"/>
        <v>241.20000000000073</v>
      </c>
      <c r="AT27" s="48">
        <f t="shared" si="29"/>
        <v>-3894.8</v>
      </c>
      <c r="AU27" s="47" t="e">
        <f t="shared" si="16"/>
        <v>#N/A</v>
      </c>
      <c r="AV27" s="48">
        <f t="shared" si="17"/>
        <v>30</v>
      </c>
      <c r="AW27" s="49">
        <f t="shared" si="18"/>
        <v>7.1999999999999975</v>
      </c>
      <c r="AX27" s="49">
        <f t="shared" si="30"/>
        <v>22.800000000000004</v>
      </c>
      <c r="AY27" s="48">
        <f t="shared" si="19"/>
        <v>-468.36999999999989</v>
      </c>
    </row>
    <row r="28" spans="1:51" s="42" customFormat="1" x14ac:dyDescent="0.25">
      <c r="E28" s="54"/>
      <c r="N28" s="46">
        <f t="shared" si="31"/>
        <v>7.4999999999999973</v>
      </c>
      <c r="O28" s="10">
        <f t="shared" si="0"/>
        <v>0</v>
      </c>
      <c r="P28" s="10">
        <f t="shared" si="1"/>
        <v>0</v>
      </c>
      <c r="Q28" s="10">
        <f t="shared" si="2"/>
        <v>0</v>
      </c>
      <c r="R28" s="47">
        <f t="shared" si="3"/>
        <v>-3361.3300000000004</v>
      </c>
      <c r="S28" s="47">
        <f t="shared" si="4"/>
        <v>-5000</v>
      </c>
      <c r="T28" s="47">
        <f t="shared" si="5"/>
        <v>-4800</v>
      </c>
      <c r="U28" s="47">
        <f t="shared" si="6"/>
        <v>-1280</v>
      </c>
      <c r="V28" s="48">
        <f t="shared" si="20"/>
        <v>-1858.8000000000002</v>
      </c>
      <c r="W28" s="49">
        <f t="shared" si="32"/>
        <v>-1.0100000000000016</v>
      </c>
      <c r="X28" s="49">
        <f t="shared" si="7"/>
        <v>0</v>
      </c>
      <c r="Y28" s="49">
        <f t="shared" si="8"/>
        <v>-10</v>
      </c>
      <c r="Z28" s="3">
        <f t="shared" si="33"/>
        <v>0</v>
      </c>
      <c r="AA28" s="49">
        <f t="shared" si="21"/>
        <v>0</v>
      </c>
      <c r="AB28" s="49">
        <f t="shared" si="34"/>
        <v>-3</v>
      </c>
      <c r="AC28" s="49">
        <f t="shared" si="10"/>
        <v>0</v>
      </c>
      <c r="AD28" s="49">
        <f t="shared" si="11"/>
        <v>-3</v>
      </c>
      <c r="AE28" s="3">
        <f t="shared" si="35"/>
        <v>0</v>
      </c>
      <c r="AF28" s="49">
        <f t="shared" si="22"/>
        <v>0</v>
      </c>
      <c r="AG28" s="49">
        <f t="shared" si="36"/>
        <v>-0.8</v>
      </c>
      <c r="AH28" s="49">
        <f t="shared" si="12"/>
        <v>0</v>
      </c>
      <c r="AI28" s="49">
        <f t="shared" si="13"/>
        <v>-0.8</v>
      </c>
      <c r="AJ28" s="3">
        <f t="shared" si="23"/>
        <v>0</v>
      </c>
      <c r="AK28" s="49">
        <f t="shared" si="24"/>
        <v>0</v>
      </c>
      <c r="AL28" s="48">
        <f t="shared" si="25"/>
        <v>0</v>
      </c>
      <c r="AM28" s="48">
        <f t="shared" si="14"/>
        <v>0</v>
      </c>
      <c r="AN28" s="48">
        <f t="shared" si="37"/>
        <v>0</v>
      </c>
      <c r="AO28" s="48">
        <f t="shared" si="27"/>
        <v>-2000</v>
      </c>
      <c r="AP28" s="48">
        <f t="shared" si="15"/>
        <v>0</v>
      </c>
      <c r="AQ28" s="48">
        <f t="shared" si="28"/>
        <v>-1858.8000000000002</v>
      </c>
      <c r="AR28" s="48">
        <f t="shared" si="38"/>
        <v>-1858.8000000000002</v>
      </c>
      <c r="AS28" s="48">
        <f t="shared" si="39"/>
        <v>241.20000000000073</v>
      </c>
      <c r="AT28" s="48">
        <f t="shared" si="29"/>
        <v>-3858.8</v>
      </c>
      <c r="AU28" s="47" t="e">
        <f t="shared" si="16"/>
        <v>#N/A</v>
      </c>
      <c r="AV28" s="48">
        <f t="shared" si="17"/>
        <v>30</v>
      </c>
      <c r="AW28" s="49">
        <f t="shared" si="18"/>
        <v>7.4999999999999973</v>
      </c>
      <c r="AX28" s="49">
        <f t="shared" si="30"/>
        <v>22.500000000000004</v>
      </c>
      <c r="AY28" s="48">
        <f t="shared" si="19"/>
        <v>-497.4699999999998</v>
      </c>
    </row>
    <row r="29" spans="1:51" s="42" customFormat="1" x14ac:dyDescent="0.25">
      <c r="D29" s="58" t="s">
        <v>83</v>
      </c>
      <c r="E29" s="58"/>
      <c r="F29" s="58"/>
      <c r="G29" s="43"/>
      <c r="N29" s="46">
        <f t="shared" si="31"/>
        <v>7.7999999999999972</v>
      </c>
      <c r="O29" s="10">
        <f t="shared" si="0"/>
        <v>0</v>
      </c>
      <c r="P29" s="10">
        <f t="shared" si="1"/>
        <v>0</v>
      </c>
      <c r="Q29" s="10">
        <f t="shared" si="2"/>
        <v>0</v>
      </c>
      <c r="R29" s="47">
        <f t="shared" si="3"/>
        <v>-3296.2300000000005</v>
      </c>
      <c r="S29" s="47">
        <f t="shared" si="4"/>
        <v>-5000</v>
      </c>
      <c r="T29" s="47">
        <f t="shared" si="5"/>
        <v>-4800</v>
      </c>
      <c r="U29" s="47">
        <f t="shared" si="6"/>
        <v>-1280</v>
      </c>
      <c r="V29" s="48">
        <f t="shared" si="20"/>
        <v>-1822.8000000000002</v>
      </c>
      <c r="W29" s="49">
        <f t="shared" si="32"/>
        <v>-1.0100000000000016</v>
      </c>
      <c r="X29" s="49">
        <f t="shared" si="7"/>
        <v>0</v>
      </c>
      <c r="Y29" s="49">
        <f t="shared" si="8"/>
        <v>-10</v>
      </c>
      <c r="Z29" s="3">
        <f t="shared" si="33"/>
        <v>0</v>
      </c>
      <c r="AA29" s="49">
        <f t="shared" si="21"/>
        <v>0</v>
      </c>
      <c r="AB29" s="49">
        <f t="shared" si="34"/>
        <v>-3</v>
      </c>
      <c r="AC29" s="49">
        <f t="shared" si="10"/>
        <v>0</v>
      </c>
      <c r="AD29" s="49">
        <f t="shared" si="11"/>
        <v>-3</v>
      </c>
      <c r="AE29" s="3">
        <f t="shared" si="35"/>
        <v>0</v>
      </c>
      <c r="AF29" s="49">
        <f t="shared" si="22"/>
        <v>0</v>
      </c>
      <c r="AG29" s="49">
        <f t="shared" si="36"/>
        <v>-0.8</v>
      </c>
      <c r="AH29" s="49">
        <f t="shared" si="12"/>
        <v>0</v>
      </c>
      <c r="AI29" s="49">
        <f t="shared" si="13"/>
        <v>-0.8</v>
      </c>
      <c r="AJ29" s="3">
        <f t="shared" si="23"/>
        <v>0</v>
      </c>
      <c r="AK29" s="49">
        <f t="shared" si="24"/>
        <v>0</v>
      </c>
      <c r="AL29" s="48">
        <f t="shared" si="25"/>
        <v>0</v>
      </c>
      <c r="AM29" s="48">
        <f t="shared" si="14"/>
        <v>0</v>
      </c>
      <c r="AN29" s="48">
        <f t="shared" si="37"/>
        <v>0</v>
      </c>
      <c r="AO29" s="48">
        <f t="shared" si="27"/>
        <v>-2000</v>
      </c>
      <c r="AP29" s="48">
        <f t="shared" si="15"/>
        <v>0</v>
      </c>
      <c r="AQ29" s="48">
        <f t="shared" si="28"/>
        <v>-1822.8000000000002</v>
      </c>
      <c r="AR29" s="48">
        <f t="shared" si="38"/>
        <v>-1822.8000000000002</v>
      </c>
      <c r="AS29" s="48">
        <f t="shared" si="39"/>
        <v>241.20000000000073</v>
      </c>
      <c r="AT29" s="48">
        <f t="shared" si="29"/>
        <v>-3822.8</v>
      </c>
      <c r="AU29" s="47" t="e">
        <f t="shared" si="16"/>
        <v>#N/A</v>
      </c>
      <c r="AV29" s="48">
        <f t="shared" si="17"/>
        <v>30</v>
      </c>
      <c r="AW29" s="49">
        <f t="shared" si="18"/>
        <v>7.7999999999999972</v>
      </c>
      <c r="AX29" s="49">
        <f t="shared" si="30"/>
        <v>22.200000000000003</v>
      </c>
      <c r="AY29" s="48">
        <f t="shared" si="19"/>
        <v>-526.56999999999971</v>
      </c>
    </row>
    <row r="30" spans="1:51" s="42" customFormat="1" x14ac:dyDescent="0.25">
      <c r="D30" s="45"/>
      <c r="E30" s="45" t="s">
        <v>81</v>
      </c>
      <c r="F30" s="45" t="s">
        <v>82</v>
      </c>
      <c r="N30" s="46">
        <f t="shared" si="31"/>
        <v>8.0999999999999979</v>
      </c>
      <c r="O30" s="10">
        <f t="shared" si="0"/>
        <v>0</v>
      </c>
      <c r="P30" s="10">
        <f t="shared" si="1"/>
        <v>0</v>
      </c>
      <c r="Q30" s="10">
        <f t="shared" si="2"/>
        <v>0</v>
      </c>
      <c r="R30" s="47">
        <f t="shared" si="3"/>
        <v>-3231.13</v>
      </c>
      <c r="S30" s="47">
        <f t="shared" si="4"/>
        <v>-5000</v>
      </c>
      <c r="T30" s="47">
        <f t="shared" si="5"/>
        <v>-4800</v>
      </c>
      <c r="U30" s="47">
        <f t="shared" si="6"/>
        <v>-1280</v>
      </c>
      <c r="V30" s="48">
        <f t="shared" si="20"/>
        <v>-1786.8000000000002</v>
      </c>
      <c r="W30" s="49">
        <f t="shared" si="32"/>
        <v>-1.0100000000000016</v>
      </c>
      <c r="X30" s="49">
        <f t="shared" si="7"/>
        <v>0</v>
      </c>
      <c r="Y30" s="49">
        <f t="shared" si="8"/>
        <v>-10</v>
      </c>
      <c r="Z30" s="3">
        <f t="shared" si="33"/>
        <v>0</v>
      </c>
      <c r="AA30" s="49">
        <f t="shared" si="21"/>
        <v>0</v>
      </c>
      <c r="AB30" s="49">
        <f t="shared" si="34"/>
        <v>-3</v>
      </c>
      <c r="AC30" s="49">
        <f t="shared" si="10"/>
        <v>0</v>
      </c>
      <c r="AD30" s="49">
        <f t="shared" si="11"/>
        <v>-3</v>
      </c>
      <c r="AE30" s="3">
        <f t="shared" si="35"/>
        <v>0</v>
      </c>
      <c r="AF30" s="49">
        <f t="shared" si="22"/>
        <v>0</v>
      </c>
      <c r="AG30" s="49">
        <f t="shared" si="36"/>
        <v>-0.8</v>
      </c>
      <c r="AH30" s="49">
        <f t="shared" si="12"/>
        <v>0</v>
      </c>
      <c r="AI30" s="49">
        <f t="shared" si="13"/>
        <v>-0.8</v>
      </c>
      <c r="AJ30" s="3">
        <f t="shared" si="23"/>
        <v>0</v>
      </c>
      <c r="AK30" s="49">
        <f t="shared" si="24"/>
        <v>0</v>
      </c>
      <c r="AL30" s="48">
        <f t="shared" si="25"/>
        <v>0</v>
      </c>
      <c r="AM30" s="48">
        <f t="shared" si="14"/>
        <v>0</v>
      </c>
      <c r="AN30" s="48">
        <f t="shared" si="37"/>
        <v>0</v>
      </c>
      <c r="AO30" s="48">
        <f t="shared" si="27"/>
        <v>-2000</v>
      </c>
      <c r="AP30" s="48">
        <f t="shared" si="15"/>
        <v>0</v>
      </c>
      <c r="AQ30" s="48">
        <f t="shared" si="28"/>
        <v>-1786.8000000000002</v>
      </c>
      <c r="AR30" s="48">
        <f t="shared" si="38"/>
        <v>-1786.8000000000002</v>
      </c>
      <c r="AS30" s="48">
        <f t="shared" si="39"/>
        <v>241.20000000000073</v>
      </c>
      <c r="AT30" s="48">
        <f t="shared" si="29"/>
        <v>-3786.8</v>
      </c>
      <c r="AU30" s="47" t="e">
        <f t="shared" si="16"/>
        <v>#N/A</v>
      </c>
      <c r="AV30" s="48">
        <f t="shared" si="17"/>
        <v>30</v>
      </c>
      <c r="AW30" s="49">
        <f t="shared" si="18"/>
        <v>8.0999999999999979</v>
      </c>
      <c r="AX30" s="49">
        <f t="shared" si="30"/>
        <v>21.900000000000002</v>
      </c>
      <c r="AY30" s="48">
        <f t="shared" si="19"/>
        <v>-555.67000000000007</v>
      </c>
    </row>
    <row r="31" spans="1:51" s="42" customFormat="1" x14ac:dyDescent="0.25">
      <c r="D31" s="42" t="s">
        <v>78</v>
      </c>
      <c r="E31" s="42">
        <f>IF(option1Position&lt;&gt;0,1,0)</f>
        <v>1</v>
      </c>
      <c r="F31" s="42">
        <f>IF(E31=1,strike1,"")</f>
        <v>14</v>
      </c>
      <c r="N31" s="46">
        <f t="shared" si="31"/>
        <v>8.3999999999999986</v>
      </c>
      <c r="O31" s="10">
        <f t="shared" si="0"/>
        <v>0</v>
      </c>
      <c r="P31" s="10">
        <f t="shared" si="1"/>
        <v>0</v>
      </c>
      <c r="Q31" s="10">
        <f t="shared" si="2"/>
        <v>0</v>
      </c>
      <c r="R31" s="47">
        <f t="shared" si="3"/>
        <v>-3166.0299999999997</v>
      </c>
      <c r="S31" s="47">
        <f t="shared" si="4"/>
        <v>-5000</v>
      </c>
      <c r="T31" s="47">
        <f t="shared" si="5"/>
        <v>-4800</v>
      </c>
      <c r="U31" s="47">
        <f t="shared" si="6"/>
        <v>-1280</v>
      </c>
      <c r="V31" s="48">
        <f t="shared" si="20"/>
        <v>-1750.8</v>
      </c>
      <c r="W31" s="49">
        <f t="shared" si="32"/>
        <v>-1.0100000000000016</v>
      </c>
      <c r="X31" s="49">
        <f t="shared" si="7"/>
        <v>0</v>
      </c>
      <c r="Y31" s="49">
        <f t="shared" si="8"/>
        <v>-10</v>
      </c>
      <c r="Z31" s="3">
        <f t="shared" si="33"/>
        <v>0</v>
      </c>
      <c r="AA31" s="49">
        <f t="shared" si="21"/>
        <v>0</v>
      </c>
      <c r="AB31" s="49">
        <f t="shared" si="34"/>
        <v>-3</v>
      </c>
      <c r="AC31" s="49">
        <f t="shared" si="10"/>
        <v>0</v>
      </c>
      <c r="AD31" s="49">
        <f t="shared" si="11"/>
        <v>-3</v>
      </c>
      <c r="AE31" s="3">
        <f t="shared" si="35"/>
        <v>0</v>
      </c>
      <c r="AF31" s="49">
        <f t="shared" si="22"/>
        <v>0</v>
      </c>
      <c r="AG31" s="49">
        <f t="shared" si="36"/>
        <v>-0.8</v>
      </c>
      <c r="AH31" s="49">
        <f t="shared" si="12"/>
        <v>0</v>
      </c>
      <c r="AI31" s="49">
        <f t="shared" si="13"/>
        <v>-0.8</v>
      </c>
      <c r="AJ31" s="3">
        <f t="shared" si="23"/>
        <v>0</v>
      </c>
      <c r="AK31" s="49">
        <f t="shared" si="24"/>
        <v>0</v>
      </c>
      <c r="AL31" s="48">
        <f t="shared" si="25"/>
        <v>0</v>
      </c>
      <c r="AM31" s="48">
        <f t="shared" si="14"/>
        <v>0</v>
      </c>
      <c r="AN31" s="48">
        <f t="shared" si="37"/>
        <v>0</v>
      </c>
      <c r="AO31" s="48">
        <f t="shared" si="27"/>
        <v>-2000</v>
      </c>
      <c r="AP31" s="48">
        <f t="shared" si="15"/>
        <v>0</v>
      </c>
      <c r="AQ31" s="48">
        <f t="shared" si="28"/>
        <v>-1750.8</v>
      </c>
      <c r="AR31" s="48">
        <f t="shared" si="38"/>
        <v>-1750.8</v>
      </c>
      <c r="AS31" s="48">
        <f t="shared" si="39"/>
        <v>241.20000000000073</v>
      </c>
      <c r="AT31" s="48">
        <f t="shared" si="29"/>
        <v>-3750.8</v>
      </c>
      <c r="AU31" s="47" t="e">
        <f t="shared" si="16"/>
        <v>#N/A</v>
      </c>
      <c r="AV31" s="48">
        <f t="shared" si="17"/>
        <v>30</v>
      </c>
      <c r="AW31" s="49">
        <f t="shared" si="18"/>
        <v>8.3999999999999986</v>
      </c>
      <c r="AX31" s="49">
        <f t="shared" si="30"/>
        <v>21.6</v>
      </c>
      <c r="AY31" s="48">
        <f t="shared" si="19"/>
        <v>-584.77000000000044</v>
      </c>
    </row>
    <row r="32" spans="1:51" x14ac:dyDescent="0.25">
      <c r="D32" s="42" t="s">
        <v>79</v>
      </c>
      <c r="E32" s="42">
        <f>IF(option2Position&lt;&gt;0,1,0)</f>
        <v>0</v>
      </c>
      <c r="F32" s="42" t="str">
        <f>IF(E32=1,strike2,"")</f>
        <v/>
      </c>
      <c r="N32" s="10">
        <f t="shared" si="31"/>
        <v>8.6999999999999993</v>
      </c>
      <c r="O32" s="10">
        <f t="shared" si="0"/>
        <v>0</v>
      </c>
      <c r="P32" s="10">
        <f t="shared" si="1"/>
        <v>0</v>
      </c>
      <c r="Q32" s="10">
        <f t="shared" si="2"/>
        <v>0</v>
      </c>
      <c r="R32" s="1">
        <f t="shared" si="3"/>
        <v>-3100.93</v>
      </c>
      <c r="S32" s="1">
        <f t="shared" si="4"/>
        <v>-5000</v>
      </c>
      <c r="T32" s="1">
        <f t="shared" si="5"/>
        <v>-4800</v>
      </c>
      <c r="U32" s="1">
        <f t="shared" si="6"/>
        <v>-1280</v>
      </c>
      <c r="V32" s="2">
        <f t="shared" si="20"/>
        <v>-1714.8</v>
      </c>
      <c r="W32" s="3">
        <f t="shared" si="32"/>
        <v>-1.0100000000000016</v>
      </c>
      <c r="X32" s="3">
        <f t="shared" si="7"/>
        <v>0</v>
      </c>
      <c r="Y32" s="3">
        <f t="shared" si="8"/>
        <v>-10</v>
      </c>
      <c r="Z32" s="3">
        <f t="shared" si="33"/>
        <v>0</v>
      </c>
      <c r="AA32" s="3">
        <f t="shared" si="21"/>
        <v>0</v>
      </c>
      <c r="AB32" s="3">
        <f t="shared" si="34"/>
        <v>-3</v>
      </c>
      <c r="AC32" s="3">
        <f t="shared" si="10"/>
        <v>0</v>
      </c>
      <c r="AD32" s="3">
        <f t="shared" si="11"/>
        <v>-3</v>
      </c>
      <c r="AE32" s="3">
        <f t="shared" si="35"/>
        <v>0</v>
      </c>
      <c r="AF32" s="3">
        <f t="shared" si="22"/>
        <v>0</v>
      </c>
      <c r="AG32" s="3">
        <f t="shared" si="36"/>
        <v>-0.8</v>
      </c>
      <c r="AH32" s="3">
        <f t="shared" si="12"/>
        <v>0</v>
      </c>
      <c r="AI32" s="3">
        <f t="shared" si="13"/>
        <v>-0.8</v>
      </c>
      <c r="AJ32" s="3">
        <f t="shared" si="23"/>
        <v>0</v>
      </c>
      <c r="AK32" s="3">
        <f t="shared" si="24"/>
        <v>0</v>
      </c>
      <c r="AL32" s="2">
        <f t="shared" si="25"/>
        <v>0</v>
      </c>
      <c r="AM32" s="2">
        <f t="shared" si="14"/>
        <v>0</v>
      </c>
      <c r="AN32" s="2">
        <f t="shared" si="37"/>
        <v>0</v>
      </c>
      <c r="AO32" s="2">
        <f t="shared" si="27"/>
        <v>-2000</v>
      </c>
      <c r="AP32" s="2">
        <f t="shared" si="15"/>
        <v>0</v>
      </c>
      <c r="AQ32" s="2">
        <f t="shared" si="28"/>
        <v>-1714.8</v>
      </c>
      <c r="AR32" s="2">
        <f t="shared" si="38"/>
        <v>-1714.8</v>
      </c>
      <c r="AS32" s="2">
        <f t="shared" si="39"/>
        <v>241.20000000000073</v>
      </c>
      <c r="AT32" s="2">
        <f t="shared" si="29"/>
        <v>-3714.8</v>
      </c>
      <c r="AU32" s="1" t="e">
        <f t="shared" ref="AU32" si="40">IF(AX32=MIN(AX$3:AX$103),AT32,NA())</f>
        <v>#N/A</v>
      </c>
      <c r="AV32" s="2">
        <f t="shared" si="17"/>
        <v>30</v>
      </c>
      <c r="AW32" s="3">
        <f t="shared" si="18"/>
        <v>8.6999999999999993</v>
      </c>
      <c r="AX32" s="3">
        <f t="shared" si="30"/>
        <v>21.3</v>
      </c>
      <c r="AY32" s="2">
        <f t="shared" si="19"/>
        <v>-613.87000000000035</v>
      </c>
    </row>
    <row r="33" spans="4:51" x14ac:dyDescent="0.25">
      <c r="D33" s="42" t="s">
        <v>80</v>
      </c>
      <c r="E33" s="42">
        <f>IF(option3Position&lt;&gt;0,1,0)</f>
        <v>0</v>
      </c>
      <c r="F33" s="42" t="str">
        <f>IF(E33=1,strike3,"")</f>
        <v/>
      </c>
      <c r="N33" s="10">
        <f>N32+N$4</f>
        <v>9</v>
      </c>
      <c r="O33" s="10">
        <f t="shared" si="0"/>
        <v>0</v>
      </c>
      <c r="P33" s="10">
        <f t="shared" si="1"/>
        <v>0</v>
      </c>
      <c r="Q33" s="10">
        <f t="shared" si="2"/>
        <v>0</v>
      </c>
      <c r="R33" s="1">
        <f t="shared" si="3"/>
        <v>-3035.8299999999995</v>
      </c>
      <c r="S33" s="1">
        <f t="shared" si="4"/>
        <v>-5000</v>
      </c>
      <c r="T33" s="1">
        <f t="shared" si="5"/>
        <v>-4800</v>
      </c>
      <c r="U33" s="1">
        <f t="shared" si="6"/>
        <v>-1280</v>
      </c>
      <c r="V33" s="2">
        <f t="shared" si="20"/>
        <v>-1678.7999999999997</v>
      </c>
      <c r="W33" s="3">
        <f>W32</f>
        <v>-1.0100000000000016</v>
      </c>
      <c r="X33" s="3">
        <f t="shared" si="7"/>
        <v>0</v>
      </c>
      <c r="Y33" s="3">
        <f t="shared" si="8"/>
        <v>-10</v>
      </c>
      <c r="Z33" s="3">
        <f t="shared" si="33"/>
        <v>0</v>
      </c>
      <c r="AA33" s="3">
        <f t="shared" si="21"/>
        <v>0</v>
      </c>
      <c r="AB33" s="3">
        <f>AB32</f>
        <v>-3</v>
      </c>
      <c r="AC33" s="3">
        <f t="shared" si="10"/>
        <v>0</v>
      </c>
      <c r="AD33" s="3">
        <f t="shared" si="11"/>
        <v>-3</v>
      </c>
      <c r="AE33" s="3">
        <f t="shared" si="35"/>
        <v>0</v>
      </c>
      <c r="AF33" s="3">
        <f t="shared" si="22"/>
        <v>0</v>
      </c>
      <c r="AG33" s="3">
        <f>AG32</f>
        <v>-0.8</v>
      </c>
      <c r="AH33" s="3">
        <f t="shared" si="12"/>
        <v>0</v>
      </c>
      <c r="AI33" s="3">
        <f t="shared" si="13"/>
        <v>-0.8</v>
      </c>
      <c r="AJ33" s="3">
        <f t="shared" si="23"/>
        <v>0</v>
      </c>
      <c r="AK33" s="3">
        <f t="shared" si="24"/>
        <v>0</v>
      </c>
      <c r="AL33" s="2">
        <f t="shared" si="25"/>
        <v>0</v>
      </c>
      <c r="AM33" s="2">
        <f t="shared" si="14"/>
        <v>0</v>
      </c>
      <c r="AN33" s="2">
        <f t="shared" si="37"/>
        <v>0</v>
      </c>
      <c r="AO33" s="2">
        <f t="shared" si="27"/>
        <v>-2000</v>
      </c>
      <c r="AP33" s="2">
        <f t="shared" si="15"/>
        <v>0</v>
      </c>
      <c r="AQ33" s="2">
        <f t="shared" si="28"/>
        <v>-1678.7999999999997</v>
      </c>
      <c r="AR33" s="2">
        <f t="shared" si="38"/>
        <v>-1678.7999999999997</v>
      </c>
      <c r="AS33" s="2">
        <f>AS32</f>
        <v>241.20000000000073</v>
      </c>
      <c r="AT33" s="2">
        <f t="shared" si="29"/>
        <v>-3678.7999999999997</v>
      </c>
      <c r="AU33" s="1" t="e">
        <f t="shared" ref="AU33:AU64" si="41">IF(AX33=MIN(AX$3:AX$103),AT33,NA())</f>
        <v>#N/A</v>
      </c>
      <c r="AV33" s="2">
        <f t="shared" si="17"/>
        <v>30</v>
      </c>
      <c r="AW33" s="3">
        <f t="shared" si="18"/>
        <v>9</v>
      </c>
      <c r="AX33" s="3">
        <f t="shared" si="30"/>
        <v>21</v>
      </c>
      <c r="AY33" s="2">
        <f t="shared" si="19"/>
        <v>-642.97000000000025</v>
      </c>
    </row>
    <row r="34" spans="4:51" x14ac:dyDescent="0.25">
      <c r="D34" s="42" t="s">
        <v>86</v>
      </c>
      <c r="E34" s="42">
        <f>IF(stockPosition&gt;0,1,0)</f>
        <v>1</v>
      </c>
      <c r="N34" s="10">
        <f t="shared" si="31"/>
        <v>9.3000000000000007</v>
      </c>
      <c r="O34" s="10">
        <f t="shared" si="0"/>
        <v>0</v>
      </c>
      <c r="P34" s="10">
        <f t="shared" si="1"/>
        <v>0</v>
      </c>
      <c r="Q34" s="10">
        <f t="shared" si="2"/>
        <v>0</v>
      </c>
      <c r="R34" s="1">
        <f t="shared" si="3"/>
        <v>-2970.7299999999996</v>
      </c>
      <c r="S34" s="1">
        <f t="shared" si="4"/>
        <v>-5000</v>
      </c>
      <c r="T34" s="1">
        <f t="shared" si="5"/>
        <v>-4800</v>
      </c>
      <c r="U34" s="1">
        <f t="shared" si="6"/>
        <v>-1280</v>
      </c>
      <c r="V34" s="2">
        <f t="shared" si="20"/>
        <v>-1642.7999999999997</v>
      </c>
      <c r="W34" s="3">
        <f t="shared" si="32"/>
        <v>-1.0100000000000016</v>
      </c>
      <c r="X34" s="3">
        <f t="shared" si="7"/>
        <v>0</v>
      </c>
      <c r="Y34" s="3">
        <f t="shared" si="8"/>
        <v>-10</v>
      </c>
      <c r="Z34" s="3">
        <f t="shared" si="33"/>
        <v>0</v>
      </c>
      <c r="AA34" s="3">
        <f t="shared" si="21"/>
        <v>0</v>
      </c>
      <c r="AB34" s="3">
        <f t="shared" si="34"/>
        <v>-3</v>
      </c>
      <c r="AC34" s="3">
        <f t="shared" si="10"/>
        <v>0</v>
      </c>
      <c r="AD34" s="3">
        <f t="shared" si="11"/>
        <v>-3</v>
      </c>
      <c r="AE34" s="3">
        <f t="shared" si="35"/>
        <v>0</v>
      </c>
      <c r="AF34" s="3">
        <f t="shared" si="22"/>
        <v>0</v>
      </c>
      <c r="AG34" s="3">
        <f t="shared" si="36"/>
        <v>-0.8</v>
      </c>
      <c r="AH34" s="3">
        <f t="shared" si="12"/>
        <v>0</v>
      </c>
      <c r="AI34" s="3">
        <f t="shared" si="13"/>
        <v>-0.8</v>
      </c>
      <c r="AJ34" s="3">
        <f t="shared" si="23"/>
        <v>0</v>
      </c>
      <c r="AK34" s="3">
        <f t="shared" si="24"/>
        <v>0</v>
      </c>
      <c r="AL34" s="2">
        <f t="shared" si="25"/>
        <v>0</v>
      </c>
      <c r="AM34" s="2">
        <f t="shared" si="14"/>
        <v>0</v>
      </c>
      <c r="AN34" s="2">
        <f t="shared" si="37"/>
        <v>0</v>
      </c>
      <c r="AO34" s="2">
        <f t="shared" si="27"/>
        <v>-2000</v>
      </c>
      <c r="AP34" s="2">
        <f t="shared" si="15"/>
        <v>0</v>
      </c>
      <c r="AQ34" s="2">
        <f t="shared" si="28"/>
        <v>-1642.7999999999997</v>
      </c>
      <c r="AR34" s="2">
        <f t="shared" si="38"/>
        <v>-1642.7999999999997</v>
      </c>
      <c r="AS34" s="2">
        <f t="shared" si="39"/>
        <v>241.20000000000073</v>
      </c>
      <c r="AT34" s="2">
        <f t="shared" si="29"/>
        <v>-3642.7999999999997</v>
      </c>
      <c r="AU34" s="1" t="e">
        <f t="shared" si="41"/>
        <v>#N/A</v>
      </c>
      <c r="AV34" s="2">
        <f t="shared" si="17"/>
        <v>30</v>
      </c>
      <c r="AW34" s="3">
        <f t="shared" si="18"/>
        <v>9.3000000000000007</v>
      </c>
      <c r="AX34" s="3">
        <f t="shared" si="30"/>
        <v>20.7</v>
      </c>
      <c r="AY34" s="2">
        <f t="shared" si="19"/>
        <v>-672.07000000000016</v>
      </c>
    </row>
    <row r="35" spans="4:51" x14ac:dyDescent="0.25">
      <c r="N35" s="10">
        <f t="shared" si="31"/>
        <v>9.6000000000000014</v>
      </c>
      <c r="O35" s="10">
        <f t="shared" ref="O35:O66" si="42">IF(N35&gt;=strike1,1,0)</f>
        <v>0</v>
      </c>
      <c r="P35" s="10">
        <f t="shared" ref="P35:P66" si="43">IF(N35&gt;=strike2,1,0)</f>
        <v>0</v>
      </c>
      <c r="Q35" s="10">
        <f t="shared" ref="Q35:Q66" si="44">IF(N35&gt;=strike3,1,0)</f>
        <v>0</v>
      </c>
      <c r="R35" s="1">
        <f t="shared" ref="R35:R66" si="45">fullStockAllocation*(N35-stockPx)</f>
        <v>-2905.6299999999992</v>
      </c>
      <c r="S35" s="1">
        <f t="shared" ref="S35:S66" si="46">IF($N35&lt;strike1,-fullOption1*option1Px*contract1Size,($N35-strike1-option1Px)*fullOption1*contract1Size)</f>
        <v>-5000</v>
      </c>
      <c r="T35" s="1">
        <f t="shared" ref="T35:T66" si="47">IF($N35&lt;strike2,-fullOption2*option2Px*100,($N35-strike2-option2Px)*fullOption2*contract2Size)</f>
        <v>-4800</v>
      </c>
      <c r="U35" s="1">
        <f t="shared" ref="U35:U66" si="48">IF($N35&lt;strike3,-fullOption3*option3Px*100,($N35-strike3-option3Px)*fullOption3*contract3Size)</f>
        <v>-1280</v>
      </c>
      <c r="V35" s="2">
        <f t="shared" si="20"/>
        <v>-1606.7999999999997</v>
      </c>
      <c r="W35" s="3">
        <f t="shared" si="32"/>
        <v>-1.0100000000000016</v>
      </c>
      <c r="X35" s="3">
        <f t="shared" ref="X35:X66" si="49">IF(N35&lt;strike1,0,$N35-strike1)</f>
        <v>0</v>
      </c>
      <c r="Y35" s="3">
        <f t="shared" ref="Y35:Y66" si="50">IF($N35&lt;strike1,W35+(X35-$E$17),W35)</f>
        <v>-10</v>
      </c>
      <c r="Z35" s="3">
        <f t="shared" si="33"/>
        <v>0</v>
      </c>
      <c r="AA35" s="3">
        <f t="shared" si="21"/>
        <v>0</v>
      </c>
      <c r="AB35" s="3">
        <f t="shared" si="34"/>
        <v>-3</v>
      </c>
      <c r="AC35" s="3">
        <f t="shared" ref="AC35:AC66" si="51">IF($N35&lt;strike2,0,($N35-strike2))</f>
        <v>0</v>
      </c>
      <c r="AD35" s="3">
        <f t="shared" ref="AD35:AD66" si="52">IF($N35&lt;strike2,AB35+(AC35-$H$17),AB35)</f>
        <v>-3</v>
      </c>
      <c r="AE35" s="3">
        <f t="shared" si="35"/>
        <v>0</v>
      </c>
      <c r="AF35" s="3">
        <f t="shared" si="22"/>
        <v>0</v>
      </c>
      <c r="AG35" s="3">
        <f t="shared" si="36"/>
        <v>-0.8</v>
      </c>
      <c r="AH35" s="3">
        <f t="shared" ref="AH35:AH66" si="53">IF($N35&lt;strike3,0,($N35-strike3))</f>
        <v>0</v>
      </c>
      <c r="AI35" s="3">
        <f t="shared" ref="AI35:AI66" si="54">IF($N35&lt;strike3,AG35+(AH35-$K$17),AG35)</f>
        <v>-0.8</v>
      </c>
      <c r="AJ35" s="3">
        <f t="shared" si="23"/>
        <v>0</v>
      </c>
      <c r="AK35" s="3">
        <f t="shared" si="24"/>
        <v>0</v>
      </c>
      <c r="AL35" s="2">
        <f t="shared" si="25"/>
        <v>0</v>
      </c>
      <c r="AM35" s="2">
        <f t="shared" ref="AM35:AM66" si="55">AA35*contract1Size*option1Position+AF35*contract2Size*option2Position+AK35*contract3Size*option3Position</f>
        <v>0</v>
      </c>
      <c r="AN35" s="2">
        <f t="shared" si="37"/>
        <v>0</v>
      </c>
      <c r="AO35" s="2">
        <f t="shared" si="27"/>
        <v>-2000</v>
      </c>
      <c r="AP35" s="2">
        <f t="shared" ref="AP35:AP66" si="56">Z35*contract1Size*option1Position+AE35*contract2Size*option2Position+AJ35*contract3Size*option3Position</f>
        <v>0</v>
      </c>
      <c r="AQ35" s="2">
        <f t="shared" si="28"/>
        <v>-1606.7999999999997</v>
      </c>
      <c r="AR35" s="2">
        <f t="shared" si="38"/>
        <v>-1606.7999999999997</v>
      </c>
      <c r="AS35" s="2">
        <f t="shared" si="39"/>
        <v>241.20000000000073</v>
      </c>
      <c r="AT35" s="2">
        <f t="shared" si="29"/>
        <v>-3606.7999999999997</v>
      </c>
      <c r="AU35" s="1" t="e">
        <f t="shared" si="41"/>
        <v>#N/A</v>
      </c>
      <c r="AV35" s="2">
        <f t="shared" ref="AV35:AV66" si="57">presentPrice</f>
        <v>30</v>
      </c>
      <c r="AW35" s="3">
        <f t="shared" ref="AW35:AW66" si="58">N35+N$3</f>
        <v>9.6000000000000014</v>
      </c>
      <c r="AX35" s="3">
        <f t="shared" si="30"/>
        <v>20.399999999999999</v>
      </c>
      <c r="AY35" s="2">
        <f t="shared" ref="AY35:AY66" si="59">AT35-R35</f>
        <v>-701.17000000000053</v>
      </c>
    </row>
    <row r="36" spans="4:51" x14ac:dyDescent="0.25">
      <c r="N36" s="10">
        <f t="shared" si="31"/>
        <v>9.9000000000000021</v>
      </c>
      <c r="O36" s="10">
        <f t="shared" si="42"/>
        <v>0</v>
      </c>
      <c r="P36" s="10">
        <f t="shared" si="43"/>
        <v>0</v>
      </c>
      <c r="Q36" s="10">
        <f t="shared" si="44"/>
        <v>0</v>
      </c>
      <c r="R36" s="1">
        <f t="shared" si="45"/>
        <v>-2840.5299999999993</v>
      </c>
      <c r="S36" s="1">
        <f t="shared" si="46"/>
        <v>-5000</v>
      </c>
      <c r="T36" s="1">
        <f t="shared" si="47"/>
        <v>-4800</v>
      </c>
      <c r="U36" s="1">
        <f t="shared" si="48"/>
        <v>-1280</v>
      </c>
      <c r="V36" s="2">
        <f t="shared" ref="V36:V67" si="60">sharesOwned*(N36-stockPx)</f>
        <v>-1570.7999999999995</v>
      </c>
      <c r="W36" s="3">
        <f t="shared" si="32"/>
        <v>-1.0100000000000016</v>
      </c>
      <c r="X36" s="3">
        <f t="shared" si="49"/>
        <v>0</v>
      </c>
      <c r="Y36" s="3">
        <f t="shared" si="50"/>
        <v>-10</v>
      </c>
      <c r="Z36" s="3">
        <f t="shared" si="33"/>
        <v>0</v>
      </c>
      <c r="AA36" s="3">
        <f t="shared" si="21"/>
        <v>0</v>
      </c>
      <c r="AB36" s="3">
        <f t="shared" si="34"/>
        <v>-3</v>
      </c>
      <c r="AC36" s="3">
        <f t="shared" si="51"/>
        <v>0</v>
      </c>
      <c r="AD36" s="3">
        <f t="shared" si="52"/>
        <v>-3</v>
      </c>
      <c r="AE36" s="3">
        <f t="shared" si="35"/>
        <v>0</v>
      </c>
      <c r="AF36" s="3">
        <f t="shared" si="22"/>
        <v>0</v>
      </c>
      <c r="AG36" s="3">
        <f t="shared" si="36"/>
        <v>-0.8</v>
      </c>
      <c r="AH36" s="3">
        <f t="shared" si="53"/>
        <v>0</v>
      </c>
      <c r="AI36" s="3">
        <f t="shared" si="54"/>
        <v>-0.8</v>
      </c>
      <c r="AJ36" s="3">
        <f t="shared" si="23"/>
        <v>0</v>
      </c>
      <c r="AK36" s="3">
        <f t="shared" si="24"/>
        <v>0</v>
      </c>
      <c r="AL36" s="2">
        <f t="shared" ref="AL36:AL67" si="61">IF(V36&lt;0,0,V36)</f>
        <v>0</v>
      </c>
      <c r="AM36" s="2">
        <f t="shared" si="55"/>
        <v>0</v>
      </c>
      <c r="AN36" s="2">
        <f t="shared" si="37"/>
        <v>0</v>
      </c>
      <c r="AO36" s="2">
        <f t="shared" ref="AO36:AO67" si="62">Y36*contract1Size*option1Position+AD36*contract2Size*option2Position+AI36*contract3Size*option3Position</f>
        <v>-2000</v>
      </c>
      <c r="AP36" s="2">
        <f t="shared" si="56"/>
        <v>0</v>
      </c>
      <c r="AQ36" s="2">
        <f t="shared" ref="AQ36:AQ67" si="63">IF(N36&lt;stockPx,($N36-stockPx)*sharesOwned,0)</f>
        <v>-1570.7999999999995</v>
      </c>
      <c r="AR36" s="2">
        <f t="shared" si="38"/>
        <v>-1570.7999999999995</v>
      </c>
      <c r="AS36" s="2">
        <f t="shared" si="39"/>
        <v>241.20000000000073</v>
      </c>
      <c r="AT36" s="2">
        <f t="shared" si="29"/>
        <v>-3570.7999999999993</v>
      </c>
      <c r="AU36" s="1" t="e">
        <f t="shared" si="41"/>
        <v>#N/A</v>
      </c>
      <c r="AV36" s="2">
        <f t="shared" si="57"/>
        <v>30</v>
      </c>
      <c r="AW36" s="3">
        <f t="shared" si="58"/>
        <v>9.9000000000000021</v>
      </c>
      <c r="AX36" s="3">
        <f t="shared" si="30"/>
        <v>20.099999999999998</v>
      </c>
      <c r="AY36" s="2">
        <f t="shared" si="59"/>
        <v>-730.27</v>
      </c>
    </row>
    <row r="37" spans="4:51" x14ac:dyDescent="0.25">
      <c r="N37" s="10">
        <f t="shared" ref="N37:N68" si="64">N36+N$4</f>
        <v>10.200000000000003</v>
      </c>
      <c r="O37" s="10">
        <f t="shared" si="42"/>
        <v>0</v>
      </c>
      <c r="P37" s="10">
        <f t="shared" si="43"/>
        <v>0</v>
      </c>
      <c r="Q37" s="10">
        <f t="shared" si="44"/>
        <v>0</v>
      </c>
      <c r="R37" s="1">
        <f t="shared" si="45"/>
        <v>-2775.4299999999989</v>
      </c>
      <c r="S37" s="1">
        <f t="shared" si="46"/>
        <v>-5000</v>
      </c>
      <c r="T37" s="1">
        <f t="shared" si="47"/>
        <v>-4800</v>
      </c>
      <c r="U37" s="1">
        <f t="shared" si="48"/>
        <v>-1280</v>
      </c>
      <c r="V37" s="2">
        <f t="shared" si="60"/>
        <v>-1534.7999999999995</v>
      </c>
      <c r="W37" s="3">
        <f t="shared" si="32"/>
        <v>-1.0100000000000016</v>
      </c>
      <c r="X37" s="3">
        <f t="shared" si="49"/>
        <v>0</v>
      </c>
      <c r="Y37" s="3">
        <f t="shared" si="50"/>
        <v>-10</v>
      </c>
      <c r="Z37" s="3">
        <f t="shared" si="33"/>
        <v>0</v>
      </c>
      <c r="AA37" s="3">
        <f t="shared" si="21"/>
        <v>0</v>
      </c>
      <c r="AB37" s="3">
        <f t="shared" si="34"/>
        <v>-3</v>
      </c>
      <c r="AC37" s="3">
        <f t="shared" si="51"/>
        <v>0</v>
      </c>
      <c r="AD37" s="3">
        <f t="shared" si="52"/>
        <v>-3</v>
      </c>
      <c r="AE37" s="3">
        <f t="shared" si="35"/>
        <v>0</v>
      </c>
      <c r="AF37" s="3">
        <f t="shared" si="22"/>
        <v>0</v>
      </c>
      <c r="AG37" s="3">
        <f t="shared" si="36"/>
        <v>-0.8</v>
      </c>
      <c r="AH37" s="3">
        <f t="shared" si="53"/>
        <v>0</v>
      </c>
      <c r="AI37" s="3">
        <f t="shared" si="54"/>
        <v>-0.8</v>
      </c>
      <c r="AJ37" s="3">
        <f t="shared" si="23"/>
        <v>0</v>
      </c>
      <c r="AK37" s="3">
        <f t="shared" si="24"/>
        <v>0</v>
      </c>
      <c r="AL37" s="2">
        <f t="shared" si="61"/>
        <v>0</v>
      </c>
      <c r="AM37" s="2">
        <f t="shared" si="55"/>
        <v>0</v>
      </c>
      <c r="AN37" s="2">
        <f t="shared" si="37"/>
        <v>0</v>
      </c>
      <c r="AO37" s="2">
        <f t="shared" si="62"/>
        <v>-2000</v>
      </c>
      <c r="AP37" s="2">
        <f t="shared" si="56"/>
        <v>0</v>
      </c>
      <c r="AQ37" s="2">
        <f t="shared" si="63"/>
        <v>-1534.7999999999995</v>
      </c>
      <c r="AR37" s="2">
        <f t="shared" si="38"/>
        <v>-1534.7999999999995</v>
      </c>
      <c r="AS37" s="2">
        <f t="shared" si="39"/>
        <v>241.20000000000073</v>
      </c>
      <c r="AT37" s="2">
        <f t="shared" si="29"/>
        <v>-3534.7999999999993</v>
      </c>
      <c r="AU37" s="1" t="e">
        <f t="shared" si="41"/>
        <v>#N/A</v>
      </c>
      <c r="AV37" s="2">
        <f t="shared" si="57"/>
        <v>30</v>
      </c>
      <c r="AW37" s="3">
        <f t="shared" si="58"/>
        <v>10.200000000000003</v>
      </c>
      <c r="AX37" s="3">
        <f t="shared" si="30"/>
        <v>19.799999999999997</v>
      </c>
      <c r="AY37" s="2">
        <f t="shared" si="59"/>
        <v>-759.37000000000035</v>
      </c>
    </row>
    <row r="38" spans="4:51" x14ac:dyDescent="0.25">
      <c r="N38" s="10">
        <f t="shared" si="64"/>
        <v>10.500000000000004</v>
      </c>
      <c r="O38" s="10">
        <f t="shared" si="42"/>
        <v>0</v>
      </c>
      <c r="P38" s="10">
        <f t="shared" si="43"/>
        <v>0</v>
      </c>
      <c r="Q38" s="10">
        <f t="shared" si="44"/>
        <v>0</v>
      </c>
      <c r="R38" s="1">
        <f t="shared" si="45"/>
        <v>-2710.329999999999</v>
      </c>
      <c r="S38" s="1">
        <f t="shared" si="46"/>
        <v>-5000</v>
      </c>
      <c r="T38" s="1">
        <f t="shared" si="47"/>
        <v>-4800</v>
      </c>
      <c r="U38" s="1">
        <f t="shared" si="48"/>
        <v>-1280</v>
      </c>
      <c r="V38" s="2">
        <f t="shared" si="60"/>
        <v>-1498.7999999999993</v>
      </c>
      <c r="W38" s="3">
        <f t="shared" si="32"/>
        <v>-1.0100000000000016</v>
      </c>
      <c r="X38" s="3">
        <f t="shared" si="49"/>
        <v>0</v>
      </c>
      <c r="Y38" s="3">
        <f t="shared" si="50"/>
        <v>-10</v>
      </c>
      <c r="Z38" s="3">
        <f t="shared" si="33"/>
        <v>0</v>
      </c>
      <c r="AA38" s="3">
        <f t="shared" si="21"/>
        <v>0</v>
      </c>
      <c r="AB38" s="3">
        <f t="shared" si="34"/>
        <v>-3</v>
      </c>
      <c r="AC38" s="3">
        <f t="shared" si="51"/>
        <v>0</v>
      </c>
      <c r="AD38" s="3">
        <f t="shared" si="52"/>
        <v>-3</v>
      </c>
      <c r="AE38" s="3">
        <f t="shared" si="35"/>
        <v>0</v>
      </c>
      <c r="AF38" s="3">
        <f t="shared" si="22"/>
        <v>0</v>
      </c>
      <c r="AG38" s="3">
        <f t="shared" si="36"/>
        <v>-0.8</v>
      </c>
      <c r="AH38" s="3">
        <f t="shared" si="53"/>
        <v>0</v>
      </c>
      <c r="AI38" s="3">
        <f t="shared" si="54"/>
        <v>-0.8</v>
      </c>
      <c r="AJ38" s="3">
        <f t="shared" si="23"/>
        <v>0</v>
      </c>
      <c r="AK38" s="3">
        <f t="shared" si="24"/>
        <v>0</v>
      </c>
      <c r="AL38" s="2">
        <f t="shared" si="61"/>
        <v>0</v>
      </c>
      <c r="AM38" s="2">
        <f t="shared" si="55"/>
        <v>0</v>
      </c>
      <c r="AN38" s="2">
        <f t="shared" si="37"/>
        <v>0</v>
      </c>
      <c r="AO38" s="2">
        <f t="shared" si="62"/>
        <v>-2000</v>
      </c>
      <c r="AP38" s="2">
        <f t="shared" si="56"/>
        <v>0</v>
      </c>
      <c r="AQ38" s="2">
        <f t="shared" si="63"/>
        <v>-1498.7999999999993</v>
      </c>
      <c r="AR38" s="2">
        <f t="shared" si="38"/>
        <v>-1498.7999999999993</v>
      </c>
      <c r="AS38" s="2">
        <f t="shared" si="39"/>
        <v>241.20000000000073</v>
      </c>
      <c r="AT38" s="2">
        <f t="shared" si="29"/>
        <v>-3498.7999999999993</v>
      </c>
      <c r="AU38" s="1" t="e">
        <f t="shared" si="41"/>
        <v>#N/A</v>
      </c>
      <c r="AV38" s="2">
        <f t="shared" si="57"/>
        <v>30</v>
      </c>
      <c r="AW38" s="3">
        <f t="shared" si="58"/>
        <v>10.500000000000004</v>
      </c>
      <c r="AX38" s="3">
        <f t="shared" si="30"/>
        <v>19.499999999999996</v>
      </c>
      <c r="AY38" s="2">
        <f t="shared" si="59"/>
        <v>-788.47000000000025</v>
      </c>
    </row>
    <row r="39" spans="4:51" x14ac:dyDescent="0.25">
      <c r="N39" s="10">
        <f t="shared" si="64"/>
        <v>10.800000000000004</v>
      </c>
      <c r="O39" s="10">
        <f t="shared" si="42"/>
        <v>0</v>
      </c>
      <c r="P39" s="10">
        <f t="shared" si="43"/>
        <v>0</v>
      </c>
      <c r="Q39" s="10">
        <f t="shared" si="44"/>
        <v>0</v>
      </c>
      <c r="R39" s="1">
        <f t="shared" si="45"/>
        <v>-2645.2299999999987</v>
      </c>
      <c r="S39" s="1">
        <f t="shared" si="46"/>
        <v>-5000</v>
      </c>
      <c r="T39" s="1">
        <f t="shared" si="47"/>
        <v>-4800</v>
      </c>
      <c r="U39" s="1">
        <f t="shared" si="48"/>
        <v>-1280</v>
      </c>
      <c r="V39" s="2">
        <f t="shared" si="60"/>
        <v>-1462.7999999999993</v>
      </c>
      <c r="W39" s="3">
        <f t="shared" si="32"/>
        <v>-1.0100000000000016</v>
      </c>
      <c r="X39" s="3">
        <f t="shared" si="49"/>
        <v>0</v>
      </c>
      <c r="Y39" s="3">
        <f t="shared" si="50"/>
        <v>-10</v>
      </c>
      <c r="Z39" s="3">
        <f t="shared" si="33"/>
        <v>0</v>
      </c>
      <c r="AA39" s="3">
        <f t="shared" si="21"/>
        <v>0</v>
      </c>
      <c r="AB39" s="3">
        <f t="shared" si="34"/>
        <v>-3</v>
      </c>
      <c r="AC39" s="3">
        <f t="shared" si="51"/>
        <v>0</v>
      </c>
      <c r="AD39" s="3">
        <f t="shared" si="52"/>
        <v>-3</v>
      </c>
      <c r="AE39" s="3">
        <f t="shared" si="35"/>
        <v>0</v>
      </c>
      <c r="AF39" s="3">
        <f t="shared" si="22"/>
        <v>0</v>
      </c>
      <c r="AG39" s="3">
        <f t="shared" si="36"/>
        <v>-0.8</v>
      </c>
      <c r="AH39" s="3">
        <f t="shared" si="53"/>
        <v>0</v>
      </c>
      <c r="AI39" s="3">
        <f t="shared" si="54"/>
        <v>-0.8</v>
      </c>
      <c r="AJ39" s="3">
        <f t="shared" si="23"/>
        <v>0</v>
      </c>
      <c r="AK39" s="3">
        <f t="shared" si="24"/>
        <v>0</v>
      </c>
      <c r="AL39" s="2">
        <f t="shared" si="61"/>
        <v>0</v>
      </c>
      <c r="AM39" s="2">
        <f t="shared" si="55"/>
        <v>0</v>
      </c>
      <c r="AN39" s="2">
        <f t="shared" si="37"/>
        <v>0</v>
      </c>
      <c r="AO39" s="2">
        <f t="shared" si="62"/>
        <v>-2000</v>
      </c>
      <c r="AP39" s="2">
        <f t="shared" si="56"/>
        <v>0</v>
      </c>
      <c r="AQ39" s="2">
        <f t="shared" si="63"/>
        <v>-1462.7999999999993</v>
      </c>
      <c r="AR39" s="2">
        <f t="shared" si="38"/>
        <v>-1462.7999999999993</v>
      </c>
      <c r="AS39" s="2">
        <f t="shared" si="39"/>
        <v>241.20000000000073</v>
      </c>
      <c r="AT39" s="2">
        <f t="shared" si="29"/>
        <v>-3462.7999999999993</v>
      </c>
      <c r="AU39" s="1" t="e">
        <f t="shared" si="41"/>
        <v>#N/A</v>
      </c>
      <c r="AV39" s="2">
        <f t="shared" si="57"/>
        <v>30</v>
      </c>
      <c r="AW39" s="3">
        <f t="shared" si="58"/>
        <v>10.800000000000004</v>
      </c>
      <c r="AX39" s="3">
        <f t="shared" si="30"/>
        <v>19.199999999999996</v>
      </c>
      <c r="AY39" s="2">
        <f t="shared" si="59"/>
        <v>-817.57000000000062</v>
      </c>
    </row>
    <row r="40" spans="4:51" x14ac:dyDescent="0.25">
      <c r="N40" s="10">
        <f t="shared" si="64"/>
        <v>11.100000000000005</v>
      </c>
      <c r="O40" s="10">
        <f t="shared" si="42"/>
        <v>0</v>
      </c>
      <c r="P40" s="10">
        <f t="shared" si="43"/>
        <v>0</v>
      </c>
      <c r="Q40" s="10">
        <f t="shared" si="44"/>
        <v>0</v>
      </c>
      <c r="R40" s="1">
        <f t="shared" si="45"/>
        <v>-2580.1299999999987</v>
      </c>
      <c r="S40" s="1">
        <f t="shared" si="46"/>
        <v>-5000</v>
      </c>
      <c r="T40" s="1">
        <f t="shared" si="47"/>
        <v>-4800</v>
      </c>
      <c r="U40" s="1">
        <f t="shared" si="48"/>
        <v>-1280</v>
      </c>
      <c r="V40" s="2">
        <f t="shared" si="60"/>
        <v>-1426.7999999999993</v>
      </c>
      <c r="W40" s="3">
        <f t="shared" si="32"/>
        <v>-1.0100000000000016</v>
      </c>
      <c r="X40" s="3">
        <f t="shared" si="49"/>
        <v>0</v>
      </c>
      <c r="Y40" s="3">
        <f t="shared" si="50"/>
        <v>-10</v>
      </c>
      <c r="Z40" s="3">
        <f t="shared" si="33"/>
        <v>0</v>
      </c>
      <c r="AA40" s="3">
        <f t="shared" si="21"/>
        <v>0</v>
      </c>
      <c r="AB40" s="3">
        <f t="shared" si="34"/>
        <v>-3</v>
      </c>
      <c r="AC40" s="3">
        <f t="shared" si="51"/>
        <v>0</v>
      </c>
      <c r="AD40" s="3">
        <f t="shared" si="52"/>
        <v>-3</v>
      </c>
      <c r="AE40" s="3">
        <f t="shared" si="35"/>
        <v>0</v>
      </c>
      <c r="AF40" s="3">
        <f t="shared" si="22"/>
        <v>0</v>
      </c>
      <c r="AG40" s="3">
        <f t="shared" si="36"/>
        <v>-0.8</v>
      </c>
      <c r="AH40" s="3">
        <f t="shared" si="53"/>
        <v>0</v>
      </c>
      <c r="AI40" s="3">
        <f t="shared" si="54"/>
        <v>-0.8</v>
      </c>
      <c r="AJ40" s="3">
        <f t="shared" si="23"/>
        <v>0</v>
      </c>
      <c r="AK40" s="3">
        <f t="shared" si="24"/>
        <v>0</v>
      </c>
      <c r="AL40" s="2">
        <f t="shared" si="61"/>
        <v>0</v>
      </c>
      <c r="AM40" s="2">
        <f t="shared" si="55"/>
        <v>0</v>
      </c>
      <c r="AN40" s="2">
        <f t="shared" si="37"/>
        <v>0</v>
      </c>
      <c r="AO40" s="2">
        <f t="shared" si="62"/>
        <v>-2000</v>
      </c>
      <c r="AP40" s="2">
        <f t="shared" si="56"/>
        <v>0</v>
      </c>
      <c r="AQ40" s="2">
        <f t="shared" si="63"/>
        <v>-1426.7999999999993</v>
      </c>
      <c r="AR40" s="2">
        <f t="shared" si="38"/>
        <v>-1426.7999999999993</v>
      </c>
      <c r="AS40" s="2">
        <f t="shared" si="39"/>
        <v>241.20000000000073</v>
      </c>
      <c r="AT40" s="2">
        <f t="shared" si="29"/>
        <v>-3426.7999999999993</v>
      </c>
      <c r="AU40" s="1" t="e">
        <f t="shared" si="41"/>
        <v>#N/A</v>
      </c>
      <c r="AV40" s="2">
        <f t="shared" si="57"/>
        <v>30</v>
      </c>
      <c r="AW40" s="3">
        <f t="shared" si="58"/>
        <v>11.100000000000005</v>
      </c>
      <c r="AX40" s="3">
        <f t="shared" si="30"/>
        <v>18.899999999999995</v>
      </c>
      <c r="AY40" s="2">
        <f t="shared" si="59"/>
        <v>-846.67000000000053</v>
      </c>
    </row>
    <row r="41" spans="4:51" x14ac:dyDescent="0.25">
      <c r="N41" s="10">
        <f t="shared" si="64"/>
        <v>11.400000000000006</v>
      </c>
      <c r="O41" s="10">
        <f t="shared" si="42"/>
        <v>0</v>
      </c>
      <c r="P41" s="10">
        <f t="shared" si="43"/>
        <v>0</v>
      </c>
      <c r="Q41" s="10">
        <f t="shared" si="44"/>
        <v>0</v>
      </c>
      <c r="R41" s="1">
        <f t="shared" si="45"/>
        <v>-2515.0299999999984</v>
      </c>
      <c r="S41" s="1">
        <f t="shared" si="46"/>
        <v>-5000</v>
      </c>
      <c r="T41" s="1">
        <f t="shared" si="47"/>
        <v>-4800</v>
      </c>
      <c r="U41" s="1">
        <f t="shared" si="48"/>
        <v>-1280</v>
      </c>
      <c r="V41" s="2">
        <f t="shared" si="60"/>
        <v>-1390.799999999999</v>
      </c>
      <c r="W41" s="3">
        <f t="shared" si="32"/>
        <v>-1.0100000000000016</v>
      </c>
      <c r="X41" s="3">
        <f t="shared" si="49"/>
        <v>0</v>
      </c>
      <c r="Y41" s="3">
        <f t="shared" si="50"/>
        <v>-10</v>
      </c>
      <c r="Z41" s="3">
        <f t="shared" si="33"/>
        <v>0</v>
      </c>
      <c r="AA41" s="3">
        <f t="shared" si="21"/>
        <v>0</v>
      </c>
      <c r="AB41" s="3">
        <f t="shared" si="34"/>
        <v>-3</v>
      </c>
      <c r="AC41" s="3">
        <f t="shared" si="51"/>
        <v>0</v>
      </c>
      <c r="AD41" s="3">
        <f t="shared" si="52"/>
        <v>-3</v>
      </c>
      <c r="AE41" s="3">
        <f t="shared" si="35"/>
        <v>0</v>
      </c>
      <c r="AF41" s="3">
        <f t="shared" si="22"/>
        <v>0</v>
      </c>
      <c r="AG41" s="3">
        <f t="shared" si="36"/>
        <v>-0.8</v>
      </c>
      <c r="AH41" s="3">
        <f t="shared" si="53"/>
        <v>0</v>
      </c>
      <c r="AI41" s="3">
        <f t="shared" si="54"/>
        <v>-0.8</v>
      </c>
      <c r="AJ41" s="3">
        <f t="shared" si="23"/>
        <v>0</v>
      </c>
      <c r="AK41" s="3">
        <f t="shared" si="24"/>
        <v>0</v>
      </c>
      <c r="AL41" s="2">
        <f t="shared" si="61"/>
        <v>0</v>
      </c>
      <c r="AM41" s="2">
        <f t="shared" si="55"/>
        <v>0</v>
      </c>
      <c r="AN41" s="2">
        <f t="shared" si="37"/>
        <v>0</v>
      </c>
      <c r="AO41" s="2">
        <f t="shared" si="62"/>
        <v>-2000</v>
      </c>
      <c r="AP41" s="2">
        <f t="shared" si="56"/>
        <v>0</v>
      </c>
      <c r="AQ41" s="2">
        <f t="shared" si="63"/>
        <v>-1390.799999999999</v>
      </c>
      <c r="AR41" s="2">
        <f t="shared" si="38"/>
        <v>-1390.799999999999</v>
      </c>
      <c r="AS41" s="2">
        <f t="shared" si="39"/>
        <v>241.20000000000073</v>
      </c>
      <c r="AT41" s="2">
        <f t="shared" si="29"/>
        <v>-3390.7999999999993</v>
      </c>
      <c r="AU41" s="1" t="e">
        <f t="shared" si="41"/>
        <v>#N/A</v>
      </c>
      <c r="AV41" s="2">
        <f t="shared" si="57"/>
        <v>30</v>
      </c>
      <c r="AW41" s="3">
        <f t="shared" si="58"/>
        <v>11.400000000000006</v>
      </c>
      <c r="AX41" s="3">
        <f t="shared" si="30"/>
        <v>18.599999999999994</v>
      </c>
      <c r="AY41" s="2">
        <f t="shared" si="59"/>
        <v>-875.77000000000089</v>
      </c>
    </row>
    <row r="42" spans="4:51" x14ac:dyDescent="0.25">
      <c r="N42" s="10">
        <f t="shared" si="64"/>
        <v>11.700000000000006</v>
      </c>
      <c r="O42" s="10">
        <f t="shared" si="42"/>
        <v>0</v>
      </c>
      <c r="P42" s="10">
        <f t="shared" si="43"/>
        <v>0</v>
      </c>
      <c r="Q42" s="10">
        <f t="shared" si="44"/>
        <v>0</v>
      </c>
      <c r="R42" s="1">
        <f t="shared" si="45"/>
        <v>-2449.9299999999985</v>
      </c>
      <c r="S42" s="1">
        <f t="shared" si="46"/>
        <v>-5000</v>
      </c>
      <c r="T42" s="1">
        <f t="shared" si="47"/>
        <v>-4800</v>
      </c>
      <c r="U42" s="1">
        <f t="shared" si="48"/>
        <v>-1280</v>
      </c>
      <c r="V42" s="2">
        <f t="shared" si="60"/>
        <v>-1354.799999999999</v>
      </c>
      <c r="W42" s="3">
        <f t="shared" si="32"/>
        <v>-1.0100000000000016</v>
      </c>
      <c r="X42" s="3">
        <f t="shared" si="49"/>
        <v>0</v>
      </c>
      <c r="Y42" s="3">
        <f t="shared" si="50"/>
        <v>-10</v>
      </c>
      <c r="Z42" s="3">
        <f t="shared" si="33"/>
        <v>0</v>
      </c>
      <c r="AA42" s="3">
        <f t="shared" si="21"/>
        <v>0</v>
      </c>
      <c r="AB42" s="3">
        <f t="shared" si="34"/>
        <v>-3</v>
      </c>
      <c r="AC42" s="3">
        <f t="shared" si="51"/>
        <v>0</v>
      </c>
      <c r="AD42" s="3">
        <f t="shared" si="52"/>
        <v>-3</v>
      </c>
      <c r="AE42" s="3">
        <f t="shared" si="35"/>
        <v>0</v>
      </c>
      <c r="AF42" s="3">
        <f t="shared" si="22"/>
        <v>0</v>
      </c>
      <c r="AG42" s="3">
        <f t="shared" si="36"/>
        <v>-0.8</v>
      </c>
      <c r="AH42" s="3">
        <f t="shared" si="53"/>
        <v>0</v>
      </c>
      <c r="AI42" s="3">
        <f t="shared" si="54"/>
        <v>-0.8</v>
      </c>
      <c r="AJ42" s="3">
        <f t="shared" si="23"/>
        <v>0</v>
      </c>
      <c r="AK42" s="3">
        <f t="shared" si="24"/>
        <v>0</v>
      </c>
      <c r="AL42" s="2">
        <f t="shared" si="61"/>
        <v>0</v>
      </c>
      <c r="AM42" s="2">
        <f t="shared" si="55"/>
        <v>0</v>
      </c>
      <c r="AN42" s="2">
        <f t="shared" si="37"/>
        <v>0</v>
      </c>
      <c r="AO42" s="2">
        <f t="shared" si="62"/>
        <v>-2000</v>
      </c>
      <c r="AP42" s="2">
        <f t="shared" si="56"/>
        <v>0</v>
      </c>
      <c r="AQ42" s="2">
        <f t="shared" si="63"/>
        <v>-1354.799999999999</v>
      </c>
      <c r="AR42" s="2">
        <f t="shared" si="38"/>
        <v>-1354.799999999999</v>
      </c>
      <c r="AS42" s="2">
        <f t="shared" si="39"/>
        <v>241.20000000000073</v>
      </c>
      <c r="AT42" s="2">
        <f t="shared" si="29"/>
        <v>-3354.7999999999993</v>
      </c>
      <c r="AU42" s="1" t="e">
        <f t="shared" si="41"/>
        <v>#N/A</v>
      </c>
      <c r="AV42" s="2">
        <f t="shared" si="57"/>
        <v>30</v>
      </c>
      <c r="AW42" s="3">
        <f t="shared" si="58"/>
        <v>11.700000000000006</v>
      </c>
      <c r="AX42" s="3">
        <f t="shared" si="30"/>
        <v>18.299999999999994</v>
      </c>
      <c r="AY42" s="2">
        <f t="shared" si="59"/>
        <v>-904.8700000000008</v>
      </c>
    </row>
    <row r="43" spans="4:51" x14ac:dyDescent="0.25">
      <c r="N43" s="10">
        <f t="shared" si="64"/>
        <v>12.000000000000007</v>
      </c>
      <c r="O43" s="10">
        <f t="shared" si="42"/>
        <v>0</v>
      </c>
      <c r="P43" s="10">
        <f t="shared" si="43"/>
        <v>0</v>
      </c>
      <c r="Q43" s="10">
        <f t="shared" si="44"/>
        <v>0</v>
      </c>
      <c r="R43" s="1">
        <f t="shared" si="45"/>
        <v>-2384.8299999999981</v>
      </c>
      <c r="S43" s="1">
        <f t="shared" si="46"/>
        <v>-5000</v>
      </c>
      <c r="T43" s="1">
        <f t="shared" si="47"/>
        <v>-4800</v>
      </c>
      <c r="U43" s="1">
        <f t="shared" si="48"/>
        <v>-1280</v>
      </c>
      <c r="V43" s="2">
        <f t="shared" si="60"/>
        <v>-1318.799999999999</v>
      </c>
      <c r="W43" s="3">
        <f t="shared" si="32"/>
        <v>-1.0100000000000016</v>
      </c>
      <c r="X43" s="3">
        <f t="shared" si="49"/>
        <v>0</v>
      </c>
      <c r="Y43" s="3">
        <f t="shared" si="50"/>
        <v>-10</v>
      </c>
      <c r="Z43" s="3">
        <f t="shared" si="33"/>
        <v>0</v>
      </c>
      <c r="AA43" s="3">
        <f t="shared" si="21"/>
        <v>0</v>
      </c>
      <c r="AB43" s="3">
        <f t="shared" si="34"/>
        <v>-3</v>
      </c>
      <c r="AC43" s="3">
        <f t="shared" si="51"/>
        <v>0</v>
      </c>
      <c r="AD43" s="3">
        <f t="shared" si="52"/>
        <v>-3</v>
      </c>
      <c r="AE43" s="3">
        <f t="shared" si="35"/>
        <v>0</v>
      </c>
      <c r="AF43" s="3">
        <f t="shared" si="22"/>
        <v>0</v>
      </c>
      <c r="AG43" s="3">
        <f t="shared" si="36"/>
        <v>-0.8</v>
      </c>
      <c r="AH43" s="3">
        <f t="shared" si="53"/>
        <v>0</v>
      </c>
      <c r="AI43" s="3">
        <f t="shared" si="54"/>
        <v>-0.8</v>
      </c>
      <c r="AJ43" s="3">
        <f t="shared" si="23"/>
        <v>0</v>
      </c>
      <c r="AK43" s="3">
        <f t="shared" si="24"/>
        <v>0</v>
      </c>
      <c r="AL43" s="2">
        <f t="shared" si="61"/>
        <v>0</v>
      </c>
      <c r="AM43" s="2">
        <f t="shared" si="55"/>
        <v>0</v>
      </c>
      <c r="AN43" s="2">
        <f t="shared" si="37"/>
        <v>0</v>
      </c>
      <c r="AO43" s="2">
        <f t="shared" si="62"/>
        <v>-2000</v>
      </c>
      <c r="AP43" s="2">
        <f t="shared" si="56"/>
        <v>0</v>
      </c>
      <c r="AQ43" s="2">
        <f t="shared" si="63"/>
        <v>-1318.799999999999</v>
      </c>
      <c r="AR43" s="2">
        <f t="shared" si="38"/>
        <v>-1318.799999999999</v>
      </c>
      <c r="AS43" s="2">
        <f t="shared" si="39"/>
        <v>241.20000000000073</v>
      </c>
      <c r="AT43" s="2">
        <f t="shared" si="29"/>
        <v>-3318.7999999999993</v>
      </c>
      <c r="AU43" s="1" t="e">
        <f t="shared" si="41"/>
        <v>#N/A</v>
      </c>
      <c r="AV43" s="2">
        <f t="shared" si="57"/>
        <v>30</v>
      </c>
      <c r="AW43" s="3">
        <f t="shared" si="58"/>
        <v>12.000000000000007</v>
      </c>
      <c r="AX43" s="3">
        <f t="shared" si="30"/>
        <v>17.999999999999993</v>
      </c>
      <c r="AY43" s="2">
        <f t="shared" si="59"/>
        <v>-933.97000000000116</v>
      </c>
    </row>
    <row r="44" spans="4:51" x14ac:dyDescent="0.25">
      <c r="N44" s="10">
        <f t="shared" si="64"/>
        <v>12.300000000000008</v>
      </c>
      <c r="O44" s="10">
        <f t="shared" si="42"/>
        <v>0</v>
      </c>
      <c r="P44" s="10">
        <f t="shared" si="43"/>
        <v>0</v>
      </c>
      <c r="Q44" s="10">
        <f t="shared" si="44"/>
        <v>0</v>
      </c>
      <c r="R44" s="1">
        <f t="shared" si="45"/>
        <v>-2319.7299999999977</v>
      </c>
      <c r="S44" s="1">
        <f t="shared" si="46"/>
        <v>-5000</v>
      </c>
      <c r="T44" s="1">
        <f t="shared" si="47"/>
        <v>-4800</v>
      </c>
      <c r="U44" s="1">
        <f t="shared" si="48"/>
        <v>-1280</v>
      </c>
      <c r="V44" s="2">
        <f t="shared" si="60"/>
        <v>-1282.7999999999988</v>
      </c>
      <c r="W44" s="3">
        <f t="shared" si="32"/>
        <v>-1.0100000000000016</v>
      </c>
      <c r="X44" s="3">
        <f t="shared" si="49"/>
        <v>0</v>
      </c>
      <c r="Y44" s="3">
        <f t="shared" si="50"/>
        <v>-10</v>
      </c>
      <c r="Z44" s="3">
        <f t="shared" si="33"/>
        <v>0</v>
      </c>
      <c r="AA44" s="3">
        <f t="shared" si="21"/>
        <v>0</v>
      </c>
      <c r="AB44" s="3">
        <f t="shared" si="34"/>
        <v>-3</v>
      </c>
      <c r="AC44" s="3">
        <f t="shared" si="51"/>
        <v>0</v>
      </c>
      <c r="AD44" s="3">
        <f t="shared" si="52"/>
        <v>-3</v>
      </c>
      <c r="AE44" s="3">
        <f t="shared" si="35"/>
        <v>0</v>
      </c>
      <c r="AF44" s="3">
        <f t="shared" si="22"/>
        <v>0</v>
      </c>
      <c r="AG44" s="3">
        <f t="shared" si="36"/>
        <v>-0.8</v>
      </c>
      <c r="AH44" s="3">
        <f t="shared" si="53"/>
        <v>0</v>
      </c>
      <c r="AI44" s="3">
        <f t="shared" si="54"/>
        <v>-0.8</v>
      </c>
      <c r="AJ44" s="3">
        <f t="shared" si="23"/>
        <v>0</v>
      </c>
      <c r="AK44" s="3">
        <f t="shared" si="24"/>
        <v>0</v>
      </c>
      <c r="AL44" s="2">
        <f t="shared" si="61"/>
        <v>0</v>
      </c>
      <c r="AM44" s="2">
        <f t="shared" si="55"/>
        <v>0</v>
      </c>
      <c r="AN44" s="2">
        <f t="shared" si="37"/>
        <v>0</v>
      </c>
      <c r="AO44" s="2">
        <f t="shared" si="62"/>
        <v>-2000</v>
      </c>
      <c r="AP44" s="2">
        <f t="shared" si="56"/>
        <v>0</v>
      </c>
      <c r="AQ44" s="2">
        <f t="shared" si="63"/>
        <v>-1282.7999999999988</v>
      </c>
      <c r="AR44" s="2">
        <f t="shared" si="38"/>
        <v>-1282.7999999999988</v>
      </c>
      <c r="AS44" s="2">
        <f t="shared" si="39"/>
        <v>241.20000000000073</v>
      </c>
      <c r="AT44" s="2">
        <f t="shared" si="29"/>
        <v>-3282.7999999999988</v>
      </c>
      <c r="AU44" s="1" t="e">
        <f t="shared" si="41"/>
        <v>#N/A</v>
      </c>
      <c r="AV44" s="2">
        <f t="shared" si="57"/>
        <v>30</v>
      </c>
      <c r="AW44" s="3">
        <f t="shared" si="58"/>
        <v>12.300000000000008</v>
      </c>
      <c r="AX44" s="3">
        <f t="shared" si="30"/>
        <v>17.699999999999992</v>
      </c>
      <c r="AY44" s="2">
        <f t="shared" si="59"/>
        <v>-963.07000000000107</v>
      </c>
    </row>
    <row r="45" spans="4:51" x14ac:dyDescent="0.25">
      <c r="N45" s="10">
        <f t="shared" si="64"/>
        <v>12.600000000000009</v>
      </c>
      <c r="O45" s="10">
        <f t="shared" si="42"/>
        <v>0</v>
      </c>
      <c r="P45" s="10">
        <f t="shared" si="43"/>
        <v>0</v>
      </c>
      <c r="Q45" s="10">
        <f t="shared" si="44"/>
        <v>0</v>
      </c>
      <c r="R45" s="1">
        <f t="shared" si="45"/>
        <v>-2254.6299999999978</v>
      </c>
      <c r="S45" s="1">
        <f t="shared" si="46"/>
        <v>-5000</v>
      </c>
      <c r="T45" s="1">
        <f t="shared" si="47"/>
        <v>-4800</v>
      </c>
      <c r="U45" s="1">
        <f t="shared" si="48"/>
        <v>-1280</v>
      </c>
      <c r="V45" s="2">
        <f t="shared" si="60"/>
        <v>-1246.7999999999988</v>
      </c>
      <c r="W45" s="3">
        <f t="shared" si="32"/>
        <v>-1.0100000000000016</v>
      </c>
      <c r="X45" s="3">
        <f t="shared" si="49"/>
        <v>0</v>
      </c>
      <c r="Y45" s="3">
        <f t="shared" si="50"/>
        <v>-10</v>
      </c>
      <c r="Z45" s="3">
        <f t="shared" si="33"/>
        <v>0</v>
      </c>
      <c r="AA45" s="3">
        <f t="shared" si="21"/>
        <v>0</v>
      </c>
      <c r="AB45" s="3">
        <f t="shared" si="34"/>
        <v>-3</v>
      </c>
      <c r="AC45" s="3">
        <f t="shared" si="51"/>
        <v>0</v>
      </c>
      <c r="AD45" s="3">
        <f t="shared" si="52"/>
        <v>-3</v>
      </c>
      <c r="AE45" s="3">
        <f t="shared" si="35"/>
        <v>0</v>
      </c>
      <c r="AF45" s="3">
        <f t="shared" si="22"/>
        <v>0</v>
      </c>
      <c r="AG45" s="3">
        <f t="shared" si="36"/>
        <v>-0.8</v>
      </c>
      <c r="AH45" s="3">
        <f t="shared" si="53"/>
        <v>0</v>
      </c>
      <c r="AI45" s="3">
        <f t="shared" si="54"/>
        <v>-0.8</v>
      </c>
      <c r="AJ45" s="3">
        <f t="shared" si="23"/>
        <v>0</v>
      </c>
      <c r="AK45" s="3">
        <f t="shared" si="24"/>
        <v>0</v>
      </c>
      <c r="AL45" s="2">
        <f t="shared" si="61"/>
        <v>0</v>
      </c>
      <c r="AM45" s="2">
        <f t="shared" si="55"/>
        <v>0</v>
      </c>
      <c r="AN45" s="2">
        <f t="shared" si="37"/>
        <v>0</v>
      </c>
      <c r="AO45" s="2">
        <f t="shared" si="62"/>
        <v>-2000</v>
      </c>
      <c r="AP45" s="2">
        <f t="shared" si="56"/>
        <v>0</v>
      </c>
      <c r="AQ45" s="2">
        <f t="shared" si="63"/>
        <v>-1246.7999999999988</v>
      </c>
      <c r="AR45" s="2">
        <f t="shared" si="38"/>
        <v>-1246.7999999999988</v>
      </c>
      <c r="AS45" s="2">
        <f t="shared" si="39"/>
        <v>241.20000000000073</v>
      </c>
      <c r="AT45" s="2">
        <f t="shared" si="29"/>
        <v>-3246.7999999999988</v>
      </c>
      <c r="AU45" s="1" t="e">
        <f t="shared" si="41"/>
        <v>#N/A</v>
      </c>
      <c r="AV45" s="2">
        <f t="shared" si="57"/>
        <v>30</v>
      </c>
      <c r="AW45" s="3">
        <f t="shared" si="58"/>
        <v>12.600000000000009</v>
      </c>
      <c r="AX45" s="3">
        <f t="shared" si="30"/>
        <v>17.399999999999991</v>
      </c>
      <c r="AY45" s="2">
        <f t="shared" si="59"/>
        <v>-992.17000000000098</v>
      </c>
    </row>
    <row r="46" spans="4:51" x14ac:dyDescent="0.25">
      <c r="N46" s="10">
        <f t="shared" si="64"/>
        <v>12.900000000000009</v>
      </c>
      <c r="O46" s="10">
        <f t="shared" si="42"/>
        <v>0</v>
      </c>
      <c r="P46" s="10">
        <f t="shared" si="43"/>
        <v>0</v>
      </c>
      <c r="Q46" s="10">
        <f t="shared" si="44"/>
        <v>0</v>
      </c>
      <c r="R46" s="1">
        <f t="shared" si="45"/>
        <v>-2189.5299999999975</v>
      </c>
      <c r="S46" s="1">
        <f t="shared" si="46"/>
        <v>-5000</v>
      </c>
      <c r="T46" s="1">
        <f t="shared" si="47"/>
        <v>-4800</v>
      </c>
      <c r="U46" s="1">
        <f t="shared" si="48"/>
        <v>-1280</v>
      </c>
      <c r="V46" s="2">
        <f t="shared" si="60"/>
        <v>-1210.7999999999988</v>
      </c>
      <c r="W46" s="3">
        <f t="shared" si="32"/>
        <v>-1.0100000000000016</v>
      </c>
      <c r="X46" s="3">
        <f t="shared" si="49"/>
        <v>0</v>
      </c>
      <c r="Y46" s="3">
        <f t="shared" si="50"/>
        <v>-10</v>
      </c>
      <c r="Z46" s="3">
        <f t="shared" si="33"/>
        <v>0</v>
      </c>
      <c r="AA46" s="3">
        <f t="shared" si="21"/>
        <v>0</v>
      </c>
      <c r="AB46" s="3">
        <f t="shared" si="34"/>
        <v>-3</v>
      </c>
      <c r="AC46" s="3">
        <f t="shared" si="51"/>
        <v>0</v>
      </c>
      <c r="AD46" s="3">
        <f t="shared" si="52"/>
        <v>-3</v>
      </c>
      <c r="AE46" s="3">
        <f t="shared" si="35"/>
        <v>0</v>
      </c>
      <c r="AF46" s="3">
        <f t="shared" si="22"/>
        <v>0</v>
      </c>
      <c r="AG46" s="3">
        <f t="shared" si="36"/>
        <v>-0.8</v>
      </c>
      <c r="AH46" s="3">
        <f t="shared" si="53"/>
        <v>0</v>
      </c>
      <c r="AI46" s="3">
        <f t="shared" si="54"/>
        <v>-0.8</v>
      </c>
      <c r="AJ46" s="3">
        <f t="shared" si="23"/>
        <v>0</v>
      </c>
      <c r="AK46" s="3">
        <f t="shared" si="24"/>
        <v>0</v>
      </c>
      <c r="AL46" s="2">
        <f t="shared" si="61"/>
        <v>0</v>
      </c>
      <c r="AM46" s="2">
        <f t="shared" si="55"/>
        <v>0</v>
      </c>
      <c r="AN46" s="2">
        <f t="shared" si="37"/>
        <v>0</v>
      </c>
      <c r="AO46" s="2">
        <f t="shared" si="62"/>
        <v>-2000</v>
      </c>
      <c r="AP46" s="2">
        <f t="shared" si="56"/>
        <v>0</v>
      </c>
      <c r="AQ46" s="2">
        <f t="shared" si="63"/>
        <v>-1210.7999999999988</v>
      </c>
      <c r="AR46" s="2">
        <f t="shared" si="38"/>
        <v>-1210.7999999999988</v>
      </c>
      <c r="AS46" s="2">
        <f t="shared" si="39"/>
        <v>241.20000000000073</v>
      </c>
      <c r="AT46" s="2">
        <f t="shared" si="29"/>
        <v>-3210.7999999999988</v>
      </c>
      <c r="AU46" s="1" t="e">
        <f t="shared" si="41"/>
        <v>#N/A</v>
      </c>
      <c r="AV46" s="2">
        <f t="shared" si="57"/>
        <v>30</v>
      </c>
      <c r="AW46" s="3">
        <f t="shared" si="58"/>
        <v>12.900000000000009</v>
      </c>
      <c r="AX46" s="3">
        <f t="shared" si="30"/>
        <v>17.099999999999991</v>
      </c>
      <c r="AY46" s="2">
        <f t="shared" si="59"/>
        <v>-1021.2700000000013</v>
      </c>
    </row>
    <row r="47" spans="4:51" x14ac:dyDescent="0.25">
      <c r="N47" s="10">
        <f t="shared" si="64"/>
        <v>13.20000000000001</v>
      </c>
      <c r="O47" s="10">
        <f t="shared" si="42"/>
        <v>0</v>
      </c>
      <c r="P47" s="10">
        <f t="shared" si="43"/>
        <v>0</v>
      </c>
      <c r="Q47" s="10">
        <f t="shared" si="44"/>
        <v>0</v>
      </c>
      <c r="R47" s="1">
        <f t="shared" si="45"/>
        <v>-2124.4299999999976</v>
      </c>
      <c r="S47" s="1">
        <f t="shared" si="46"/>
        <v>-5000</v>
      </c>
      <c r="T47" s="1">
        <f t="shared" si="47"/>
        <v>-4800</v>
      </c>
      <c r="U47" s="1">
        <f t="shared" si="48"/>
        <v>-1280</v>
      </c>
      <c r="V47" s="2">
        <f t="shared" si="60"/>
        <v>-1174.7999999999986</v>
      </c>
      <c r="W47" s="3">
        <f t="shared" si="32"/>
        <v>-1.0100000000000016</v>
      </c>
      <c r="X47" s="3">
        <f t="shared" si="49"/>
        <v>0</v>
      </c>
      <c r="Y47" s="3">
        <f t="shared" si="50"/>
        <v>-10</v>
      </c>
      <c r="Z47" s="3">
        <f t="shared" si="33"/>
        <v>0</v>
      </c>
      <c r="AA47" s="3">
        <f t="shared" si="21"/>
        <v>0</v>
      </c>
      <c r="AB47" s="3">
        <f t="shared" si="34"/>
        <v>-3</v>
      </c>
      <c r="AC47" s="3">
        <f t="shared" si="51"/>
        <v>0</v>
      </c>
      <c r="AD47" s="3">
        <f t="shared" si="52"/>
        <v>-3</v>
      </c>
      <c r="AE47" s="3">
        <f t="shared" si="35"/>
        <v>0</v>
      </c>
      <c r="AF47" s="3">
        <f t="shared" si="22"/>
        <v>0</v>
      </c>
      <c r="AG47" s="3">
        <f t="shared" si="36"/>
        <v>-0.8</v>
      </c>
      <c r="AH47" s="3">
        <f t="shared" si="53"/>
        <v>0</v>
      </c>
      <c r="AI47" s="3">
        <f t="shared" si="54"/>
        <v>-0.8</v>
      </c>
      <c r="AJ47" s="3">
        <f t="shared" si="23"/>
        <v>0</v>
      </c>
      <c r="AK47" s="3">
        <f t="shared" si="24"/>
        <v>0</v>
      </c>
      <c r="AL47" s="2">
        <f t="shared" si="61"/>
        <v>0</v>
      </c>
      <c r="AM47" s="2">
        <f t="shared" si="55"/>
        <v>0</v>
      </c>
      <c r="AN47" s="2">
        <f t="shared" si="37"/>
        <v>0</v>
      </c>
      <c r="AO47" s="2">
        <f t="shared" si="62"/>
        <v>-2000</v>
      </c>
      <c r="AP47" s="2">
        <f t="shared" si="56"/>
        <v>0</v>
      </c>
      <c r="AQ47" s="2">
        <f t="shared" si="63"/>
        <v>-1174.7999999999986</v>
      </c>
      <c r="AR47" s="2">
        <f t="shared" si="38"/>
        <v>-1174.7999999999986</v>
      </c>
      <c r="AS47" s="2">
        <f t="shared" si="39"/>
        <v>241.20000000000073</v>
      </c>
      <c r="AT47" s="2">
        <f t="shared" si="29"/>
        <v>-3174.7999999999984</v>
      </c>
      <c r="AU47" s="1" t="e">
        <f t="shared" si="41"/>
        <v>#N/A</v>
      </c>
      <c r="AV47" s="2">
        <f t="shared" si="57"/>
        <v>30</v>
      </c>
      <c r="AW47" s="3">
        <f t="shared" si="58"/>
        <v>13.20000000000001</v>
      </c>
      <c r="AX47" s="3">
        <f t="shared" si="30"/>
        <v>16.79999999999999</v>
      </c>
      <c r="AY47" s="2">
        <f t="shared" si="59"/>
        <v>-1050.3700000000008</v>
      </c>
    </row>
    <row r="48" spans="4:51" x14ac:dyDescent="0.25">
      <c r="N48" s="10">
        <f t="shared" si="64"/>
        <v>13.500000000000011</v>
      </c>
      <c r="O48" s="10">
        <f t="shared" si="42"/>
        <v>0</v>
      </c>
      <c r="P48" s="10">
        <f t="shared" si="43"/>
        <v>0</v>
      </c>
      <c r="Q48" s="10">
        <f t="shared" si="44"/>
        <v>0</v>
      </c>
      <c r="R48" s="1">
        <f t="shared" si="45"/>
        <v>-2059.3299999999972</v>
      </c>
      <c r="S48" s="1">
        <f t="shared" si="46"/>
        <v>-5000</v>
      </c>
      <c r="T48" s="1">
        <f t="shared" si="47"/>
        <v>-4800</v>
      </c>
      <c r="U48" s="1">
        <f t="shared" si="48"/>
        <v>-1280</v>
      </c>
      <c r="V48" s="2">
        <f t="shared" si="60"/>
        <v>-1138.7999999999986</v>
      </c>
      <c r="W48" s="3">
        <f t="shared" si="32"/>
        <v>-1.0100000000000016</v>
      </c>
      <c r="X48" s="3">
        <f t="shared" si="49"/>
        <v>0</v>
      </c>
      <c r="Y48" s="3">
        <f t="shared" si="50"/>
        <v>-10</v>
      </c>
      <c r="Z48" s="3">
        <f t="shared" si="33"/>
        <v>0</v>
      </c>
      <c r="AA48" s="3">
        <f t="shared" si="21"/>
        <v>0</v>
      </c>
      <c r="AB48" s="3">
        <f t="shared" si="34"/>
        <v>-3</v>
      </c>
      <c r="AC48" s="3">
        <f t="shared" si="51"/>
        <v>0</v>
      </c>
      <c r="AD48" s="3">
        <f t="shared" si="52"/>
        <v>-3</v>
      </c>
      <c r="AE48" s="3">
        <f t="shared" si="35"/>
        <v>0</v>
      </c>
      <c r="AF48" s="3">
        <f t="shared" si="22"/>
        <v>0</v>
      </c>
      <c r="AG48" s="3">
        <f t="shared" si="36"/>
        <v>-0.8</v>
      </c>
      <c r="AH48" s="3">
        <f t="shared" si="53"/>
        <v>0</v>
      </c>
      <c r="AI48" s="3">
        <f t="shared" si="54"/>
        <v>-0.8</v>
      </c>
      <c r="AJ48" s="3">
        <f t="shared" si="23"/>
        <v>0</v>
      </c>
      <c r="AK48" s="3">
        <f t="shared" si="24"/>
        <v>0</v>
      </c>
      <c r="AL48" s="2">
        <f t="shared" si="61"/>
        <v>0</v>
      </c>
      <c r="AM48" s="2">
        <f t="shared" si="55"/>
        <v>0</v>
      </c>
      <c r="AN48" s="2">
        <f t="shared" si="37"/>
        <v>0</v>
      </c>
      <c r="AO48" s="2">
        <f t="shared" si="62"/>
        <v>-2000</v>
      </c>
      <c r="AP48" s="2">
        <f t="shared" si="56"/>
        <v>0</v>
      </c>
      <c r="AQ48" s="2">
        <f t="shared" si="63"/>
        <v>-1138.7999999999986</v>
      </c>
      <c r="AR48" s="2">
        <f t="shared" si="38"/>
        <v>-1138.7999999999986</v>
      </c>
      <c r="AS48" s="2">
        <f t="shared" si="39"/>
        <v>241.20000000000073</v>
      </c>
      <c r="AT48" s="2">
        <f t="shared" si="29"/>
        <v>-3138.7999999999984</v>
      </c>
      <c r="AU48" s="1" t="e">
        <f t="shared" si="41"/>
        <v>#N/A</v>
      </c>
      <c r="AV48" s="2">
        <f t="shared" si="57"/>
        <v>30</v>
      </c>
      <c r="AW48" s="3">
        <f t="shared" si="58"/>
        <v>13.500000000000011</v>
      </c>
      <c r="AX48" s="3">
        <f t="shared" si="30"/>
        <v>16.499999999999989</v>
      </c>
      <c r="AY48" s="2">
        <f t="shared" si="59"/>
        <v>-1079.4700000000012</v>
      </c>
    </row>
    <row r="49" spans="14:51" x14ac:dyDescent="0.25">
      <c r="N49" s="10">
        <f t="shared" si="64"/>
        <v>13.800000000000011</v>
      </c>
      <c r="O49" s="10">
        <f t="shared" si="42"/>
        <v>0</v>
      </c>
      <c r="P49" s="10">
        <f t="shared" si="43"/>
        <v>0</v>
      </c>
      <c r="Q49" s="10">
        <f t="shared" si="44"/>
        <v>0</v>
      </c>
      <c r="R49" s="1">
        <f t="shared" si="45"/>
        <v>-1994.2299999999973</v>
      </c>
      <c r="S49" s="1">
        <f t="shared" si="46"/>
        <v>-5000</v>
      </c>
      <c r="T49" s="1">
        <f t="shared" si="47"/>
        <v>-4800</v>
      </c>
      <c r="U49" s="1">
        <f t="shared" si="48"/>
        <v>-1280</v>
      </c>
      <c r="V49" s="2">
        <f t="shared" si="60"/>
        <v>-1102.7999999999984</v>
      </c>
      <c r="W49" s="3">
        <f t="shared" si="32"/>
        <v>-1.0100000000000016</v>
      </c>
      <c r="X49" s="3">
        <f t="shared" si="49"/>
        <v>0</v>
      </c>
      <c r="Y49" s="3">
        <f t="shared" si="50"/>
        <v>-10</v>
      </c>
      <c r="Z49" s="3">
        <f t="shared" si="33"/>
        <v>0</v>
      </c>
      <c r="AA49" s="3">
        <f t="shared" si="21"/>
        <v>0</v>
      </c>
      <c r="AB49" s="3">
        <f t="shared" si="34"/>
        <v>-3</v>
      </c>
      <c r="AC49" s="3">
        <f t="shared" si="51"/>
        <v>0</v>
      </c>
      <c r="AD49" s="3">
        <f t="shared" si="52"/>
        <v>-3</v>
      </c>
      <c r="AE49" s="3">
        <f t="shared" si="35"/>
        <v>0</v>
      </c>
      <c r="AF49" s="3">
        <f t="shared" si="22"/>
        <v>0</v>
      </c>
      <c r="AG49" s="3">
        <f t="shared" si="36"/>
        <v>-0.8</v>
      </c>
      <c r="AH49" s="3">
        <f t="shared" si="53"/>
        <v>0</v>
      </c>
      <c r="AI49" s="3">
        <f t="shared" si="54"/>
        <v>-0.8</v>
      </c>
      <c r="AJ49" s="3">
        <f t="shared" si="23"/>
        <v>0</v>
      </c>
      <c r="AK49" s="3">
        <f t="shared" si="24"/>
        <v>0</v>
      </c>
      <c r="AL49" s="2">
        <f t="shared" si="61"/>
        <v>0</v>
      </c>
      <c r="AM49" s="2">
        <f t="shared" si="55"/>
        <v>0</v>
      </c>
      <c r="AN49" s="2">
        <f t="shared" si="37"/>
        <v>0</v>
      </c>
      <c r="AO49" s="2">
        <f t="shared" si="62"/>
        <v>-2000</v>
      </c>
      <c r="AP49" s="2">
        <f t="shared" si="56"/>
        <v>0</v>
      </c>
      <c r="AQ49" s="2">
        <f t="shared" si="63"/>
        <v>-1102.7999999999984</v>
      </c>
      <c r="AR49" s="2">
        <f t="shared" si="38"/>
        <v>-1102.7999999999984</v>
      </c>
      <c r="AS49" s="2">
        <f t="shared" si="39"/>
        <v>241.20000000000073</v>
      </c>
      <c r="AT49" s="2">
        <f t="shared" si="29"/>
        <v>-3102.7999999999984</v>
      </c>
      <c r="AU49" s="1" t="e">
        <f t="shared" si="41"/>
        <v>#N/A</v>
      </c>
      <c r="AV49" s="2">
        <f t="shared" si="57"/>
        <v>30</v>
      </c>
      <c r="AW49" s="3">
        <f t="shared" si="58"/>
        <v>13.800000000000011</v>
      </c>
      <c r="AX49" s="3">
        <f t="shared" si="30"/>
        <v>16.199999999999989</v>
      </c>
      <c r="AY49" s="2">
        <f t="shared" si="59"/>
        <v>-1108.5700000000011</v>
      </c>
    </row>
    <row r="50" spans="14:51" x14ac:dyDescent="0.25">
      <c r="N50" s="10">
        <f t="shared" si="64"/>
        <v>14.100000000000012</v>
      </c>
      <c r="O50" s="10">
        <f t="shared" si="42"/>
        <v>1</v>
      </c>
      <c r="P50" s="10">
        <f t="shared" si="43"/>
        <v>0</v>
      </c>
      <c r="Q50" s="10">
        <f t="shared" si="44"/>
        <v>0</v>
      </c>
      <c r="R50" s="1">
        <f t="shared" si="45"/>
        <v>-1929.1299999999969</v>
      </c>
      <c r="S50" s="1">
        <f t="shared" si="46"/>
        <v>-4949.9999999999945</v>
      </c>
      <c r="T50" s="1">
        <f t="shared" si="47"/>
        <v>-4800</v>
      </c>
      <c r="U50" s="1">
        <f t="shared" si="48"/>
        <v>-1280</v>
      </c>
      <c r="V50" s="2">
        <f t="shared" si="60"/>
        <v>-1066.7999999999984</v>
      </c>
      <c r="W50" s="3">
        <f t="shared" si="32"/>
        <v>-1.0100000000000016</v>
      </c>
      <c r="X50" s="3">
        <f t="shared" si="49"/>
        <v>0.10000000000001208</v>
      </c>
      <c r="Y50" s="3">
        <f t="shared" si="50"/>
        <v>-1.0100000000000016</v>
      </c>
      <c r="Z50" s="3">
        <f t="shared" si="33"/>
        <v>-8.8899999999999864</v>
      </c>
      <c r="AA50" s="3">
        <f t="shared" si="21"/>
        <v>0</v>
      </c>
      <c r="AB50" s="3">
        <f t="shared" si="34"/>
        <v>-3</v>
      </c>
      <c r="AC50" s="3">
        <f t="shared" si="51"/>
        <v>0</v>
      </c>
      <c r="AD50" s="3">
        <f t="shared" si="52"/>
        <v>-3</v>
      </c>
      <c r="AE50" s="3">
        <f t="shared" si="35"/>
        <v>0</v>
      </c>
      <c r="AF50" s="3">
        <f t="shared" si="22"/>
        <v>0</v>
      </c>
      <c r="AG50" s="3">
        <f t="shared" si="36"/>
        <v>-0.8</v>
      </c>
      <c r="AH50" s="3">
        <f t="shared" si="53"/>
        <v>0</v>
      </c>
      <c r="AI50" s="3">
        <f t="shared" si="54"/>
        <v>-0.8</v>
      </c>
      <c r="AJ50" s="3">
        <f t="shared" si="23"/>
        <v>0</v>
      </c>
      <c r="AK50" s="3">
        <f t="shared" si="24"/>
        <v>0</v>
      </c>
      <c r="AL50" s="2">
        <f t="shared" si="61"/>
        <v>0</v>
      </c>
      <c r="AM50" s="2">
        <f t="shared" si="55"/>
        <v>0</v>
      </c>
      <c r="AN50" s="2">
        <f t="shared" si="37"/>
        <v>0</v>
      </c>
      <c r="AO50" s="2">
        <f t="shared" si="62"/>
        <v>-202.00000000000031</v>
      </c>
      <c r="AP50" s="2">
        <f t="shared" si="56"/>
        <v>-1777.9999999999973</v>
      </c>
      <c r="AQ50" s="2">
        <f t="shared" si="63"/>
        <v>-1066.7999999999984</v>
      </c>
      <c r="AR50" s="2">
        <f t="shared" si="38"/>
        <v>-2844.7999999999956</v>
      </c>
      <c r="AS50" s="2">
        <f t="shared" si="39"/>
        <v>241.20000000000073</v>
      </c>
      <c r="AT50" s="2">
        <f t="shared" si="29"/>
        <v>-3046.7999999999961</v>
      </c>
      <c r="AU50" s="1" t="e">
        <f t="shared" si="41"/>
        <v>#N/A</v>
      </c>
      <c r="AV50" s="2">
        <f t="shared" si="57"/>
        <v>30</v>
      </c>
      <c r="AW50" s="3">
        <f t="shared" si="58"/>
        <v>14.100000000000012</v>
      </c>
      <c r="AX50" s="3">
        <f t="shared" si="30"/>
        <v>15.899999999999988</v>
      </c>
      <c r="AY50" s="2">
        <f t="shared" si="59"/>
        <v>-1117.6699999999992</v>
      </c>
    </row>
    <row r="51" spans="14:51" x14ac:dyDescent="0.25">
      <c r="N51" s="10">
        <f t="shared" si="64"/>
        <v>14.400000000000013</v>
      </c>
      <c r="O51" s="10">
        <f t="shared" si="42"/>
        <v>1</v>
      </c>
      <c r="P51" s="10">
        <f t="shared" si="43"/>
        <v>0</v>
      </c>
      <c r="Q51" s="10">
        <f t="shared" si="44"/>
        <v>0</v>
      </c>
      <c r="R51" s="1">
        <f t="shared" si="45"/>
        <v>-1864.0299999999968</v>
      </c>
      <c r="S51" s="1">
        <f t="shared" si="46"/>
        <v>-4799.9999999999936</v>
      </c>
      <c r="T51" s="1">
        <f t="shared" si="47"/>
        <v>-4800</v>
      </c>
      <c r="U51" s="1">
        <f t="shared" si="48"/>
        <v>-1280</v>
      </c>
      <c r="V51" s="2">
        <f t="shared" si="60"/>
        <v>-1030.7999999999984</v>
      </c>
      <c r="W51" s="3">
        <f t="shared" si="32"/>
        <v>-1.0100000000000016</v>
      </c>
      <c r="X51" s="3">
        <f t="shared" si="49"/>
        <v>0.40000000000001279</v>
      </c>
      <c r="Y51" s="3">
        <f t="shared" si="50"/>
        <v>-1.0100000000000016</v>
      </c>
      <c r="Z51" s="3">
        <f t="shared" si="33"/>
        <v>-8.5899999999999856</v>
      </c>
      <c r="AA51" s="3">
        <f t="shared" si="21"/>
        <v>0</v>
      </c>
      <c r="AB51" s="3">
        <f t="shared" si="34"/>
        <v>-3</v>
      </c>
      <c r="AC51" s="3">
        <f t="shared" si="51"/>
        <v>0</v>
      </c>
      <c r="AD51" s="3">
        <f t="shared" si="52"/>
        <v>-3</v>
      </c>
      <c r="AE51" s="3">
        <f t="shared" si="35"/>
        <v>0</v>
      </c>
      <c r="AF51" s="3">
        <f t="shared" si="22"/>
        <v>0</v>
      </c>
      <c r="AG51" s="3">
        <f t="shared" si="36"/>
        <v>-0.8</v>
      </c>
      <c r="AH51" s="3">
        <f t="shared" si="53"/>
        <v>0</v>
      </c>
      <c r="AI51" s="3">
        <f t="shared" si="54"/>
        <v>-0.8</v>
      </c>
      <c r="AJ51" s="3">
        <f t="shared" si="23"/>
        <v>0</v>
      </c>
      <c r="AK51" s="3">
        <f t="shared" si="24"/>
        <v>0</v>
      </c>
      <c r="AL51" s="2">
        <f t="shared" si="61"/>
        <v>0</v>
      </c>
      <c r="AM51" s="2">
        <f t="shared" si="55"/>
        <v>0</v>
      </c>
      <c r="AN51" s="2">
        <f t="shared" si="37"/>
        <v>0</v>
      </c>
      <c r="AO51" s="2">
        <f t="shared" si="62"/>
        <v>-202.00000000000031</v>
      </c>
      <c r="AP51" s="2">
        <f t="shared" si="56"/>
        <v>-1717.999999999997</v>
      </c>
      <c r="AQ51" s="2">
        <f t="shared" si="63"/>
        <v>-1030.7999999999984</v>
      </c>
      <c r="AR51" s="2">
        <f t="shared" si="38"/>
        <v>-2748.7999999999956</v>
      </c>
      <c r="AS51" s="2">
        <f t="shared" si="39"/>
        <v>241.20000000000073</v>
      </c>
      <c r="AT51" s="2">
        <f t="shared" si="29"/>
        <v>-2950.7999999999961</v>
      </c>
      <c r="AU51" s="1" t="e">
        <f t="shared" si="41"/>
        <v>#N/A</v>
      </c>
      <c r="AV51" s="2">
        <f t="shared" si="57"/>
        <v>30</v>
      </c>
      <c r="AW51" s="3">
        <f t="shared" si="58"/>
        <v>14.400000000000013</v>
      </c>
      <c r="AX51" s="3">
        <f t="shared" si="30"/>
        <v>15.599999999999987</v>
      </c>
      <c r="AY51" s="2">
        <f t="shared" si="59"/>
        <v>-1086.7699999999993</v>
      </c>
    </row>
    <row r="52" spans="14:51" x14ac:dyDescent="0.25">
      <c r="N52" s="10">
        <f t="shared" si="64"/>
        <v>14.700000000000014</v>
      </c>
      <c r="O52" s="10">
        <f t="shared" si="42"/>
        <v>1</v>
      </c>
      <c r="P52" s="10">
        <f t="shared" si="43"/>
        <v>0</v>
      </c>
      <c r="Q52" s="10">
        <f t="shared" si="44"/>
        <v>0</v>
      </c>
      <c r="R52" s="1">
        <f t="shared" si="45"/>
        <v>-1798.9299999999967</v>
      </c>
      <c r="S52" s="1">
        <f t="shared" si="46"/>
        <v>-4649.9999999999927</v>
      </c>
      <c r="T52" s="1">
        <f t="shared" si="47"/>
        <v>-4800</v>
      </c>
      <c r="U52" s="1">
        <f t="shared" si="48"/>
        <v>-1280</v>
      </c>
      <c r="V52" s="2">
        <f t="shared" si="60"/>
        <v>-994.79999999999814</v>
      </c>
      <c r="W52" s="3">
        <f t="shared" si="32"/>
        <v>-1.0100000000000016</v>
      </c>
      <c r="X52" s="3">
        <f t="shared" si="49"/>
        <v>0.7000000000000135</v>
      </c>
      <c r="Y52" s="3">
        <f t="shared" si="50"/>
        <v>-1.0100000000000016</v>
      </c>
      <c r="Z52" s="3">
        <f t="shared" si="33"/>
        <v>-8.2899999999999849</v>
      </c>
      <c r="AA52" s="3">
        <f t="shared" si="21"/>
        <v>0</v>
      </c>
      <c r="AB52" s="3">
        <f t="shared" si="34"/>
        <v>-3</v>
      </c>
      <c r="AC52" s="3">
        <f t="shared" si="51"/>
        <v>0</v>
      </c>
      <c r="AD52" s="3">
        <f t="shared" si="52"/>
        <v>-3</v>
      </c>
      <c r="AE52" s="3">
        <f t="shared" si="35"/>
        <v>0</v>
      </c>
      <c r="AF52" s="3">
        <f t="shared" si="22"/>
        <v>0</v>
      </c>
      <c r="AG52" s="3">
        <f t="shared" si="36"/>
        <v>-0.8</v>
      </c>
      <c r="AH52" s="3">
        <f t="shared" si="53"/>
        <v>0</v>
      </c>
      <c r="AI52" s="3">
        <f t="shared" si="54"/>
        <v>-0.8</v>
      </c>
      <c r="AJ52" s="3">
        <f t="shared" si="23"/>
        <v>0</v>
      </c>
      <c r="AK52" s="3">
        <f t="shared" si="24"/>
        <v>0</v>
      </c>
      <c r="AL52" s="2">
        <f t="shared" si="61"/>
        <v>0</v>
      </c>
      <c r="AM52" s="2">
        <f t="shared" si="55"/>
        <v>0</v>
      </c>
      <c r="AN52" s="2">
        <f t="shared" si="37"/>
        <v>0</v>
      </c>
      <c r="AO52" s="2">
        <f t="shared" si="62"/>
        <v>-202.00000000000031</v>
      </c>
      <c r="AP52" s="2">
        <f t="shared" si="56"/>
        <v>-1657.999999999997</v>
      </c>
      <c r="AQ52" s="2">
        <f t="shared" si="63"/>
        <v>-994.79999999999814</v>
      </c>
      <c r="AR52" s="2">
        <f t="shared" si="38"/>
        <v>-2652.7999999999952</v>
      </c>
      <c r="AS52" s="2">
        <f t="shared" si="39"/>
        <v>241.20000000000073</v>
      </c>
      <c r="AT52" s="2">
        <f t="shared" si="29"/>
        <v>-2854.7999999999956</v>
      </c>
      <c r="AU52" s="1" t="e">
        <f t="shared" si="41"/>
        <v>#N/A</v>
      </c>
      <c r="AV52" s="2">
        <f t="shared" si="57"/>
        <v>30</v>
      </c>
      <c r="AW52" s="3">
        <f t="shared" si="58"/>
        <v>14.700000000000014</v>
      </c>
      <c r="AX52" s="3">
        <f t="shared" si="30"/>
        <v>15.299999999999986</v>
      </c>
      <c r="AY52" s="2">
        <f t="shared" si="59"/>
        <v>-1055.869999999999</v>
      </c>
    </row>
    <row r="53" spans="14:51" x14ac:dyDescent="0.25">
      <c r="N53" s="10">
        <f t="shared" si="64"/>
        <v>15.000000000000014</v>
      </c>
      <c r="O53" s="10">
        <f t="shared" si="42"/>
        <v>1</v>
      </c>
      <c r="P53" s="10">
        <f t="shared" si="43"/>
        <v>0</v>
      </c>
      <c r="Q53" s="10">
        <f t="shared" si="44"/>
        <v>0</v>
      </c>
      <c r="R53" s="1">
        <f t="shared" si="45"/>
        <v>-1733.8299999999965</v>
      </c>
      <c r="S53" s="1">
        <f t="shared" si="46"/>
        <v>-4499.9999999999927</v>
      </c>
      <c r="T53" s="1">
        <f t="shared" si="47"/>
        <v>-4800</v>
      </c>
      <c r="U53" s="1">
        <f t="shared" si="48"/>
        <v>-1280</v>
      </c>
      <c r="V53" s="2">
        <f t="shared" si="60"/>
        <v>-958.79999999999814</v>
      </c>
      <c r="W53" s="3">
        <f t="shared" si="32"/>
        <v>-1.0100000000000016</v>
      </c>
      <c r="X53" s="3">
        <f t="shared" si="49"/>
        <v>1.0000000000000142</v>
      </c>
      <c r="Y53" s="3">
        <f t="shared" si="50"/>
        <v>-1.0100000000000016</v>
      </c>
      <c r="Z53" s="3">
        <f t="shared" si="33"/>
        <v>-7.9899999999999842</v>
      </c>
      <c r="AA53" s="3">
        <f t="shared" si="21"/>
        <v>0</v>
      </c>
      <c r="AB53" s="3">
        <f t="shared" si="34"/>
        <v>-3</v>
      </c>
      <c r="AC53" s="3">
        <f t="shared" si="51"/>
        <v>0</v>
      </c>
      <c r="AD53" s="3">
        <f t="shared" si="52"/>
        <v>-3</v>
      </c>
      <c r="AE53" s="3">
        <f t="shared" si="35"/>
        <v>0</v>
      </c>
      <c r="AF53" s="3">
        <f t="shared" si="22"/>
        <v>0</v>
      </c>
      <c r="AG53" s="3">
        <f t="shared" si="36"/>
        <v>-0.8</v>
      </c>
      <c r="AH53" s="3">
        <f t="shared" si="53"/>
        <v>0</v>
      </c>
      <c r="AI53" s="3">
        <f t="shared" si="54"/>
        <v>-0.8</v>
      </c>
      <c r="AJ53" s="3">
        <f t="shared" si="23"/>
        <v>0</v>
      </c>
      <c r="AK53" s="3">
        <f t="shared" si="24"/>
        <v>0</v>
      </c>
      <c r="AL53" s="2">
        <f t="shared" si="61"/>
        <v>0</v>
      </c>
      <c r="AM53" s="2">
        <f t="shared" si="55"/>
        <v>0</v>
      </c>
      <c r="AN53" s="2">
        <f t="shared" si="37"/>
        <v>0</v>
      </c>
      <c r="AO53" s="2">
        <f t="shared" si="62"/>
        <v>-202.00000000000031</v>
      </c>
      <c r="AP53" s="2">
        <f t="shared" si="56"/>
        <v>-1597.9999999999968</v>
      </c>
      <c r="AQ53" s="2">
        <f t="shared" si="63"/>
        <v>-958.79999999999814</v>
      </c>
      <c r="AR53" s="2">
        <f t="shared" si="38"/>
        <v>-2556.7999999999947</v>
      </c>
      <c r="AS53" s="2">
        <f t="shared" si="39"/>
        <v>241.20000000000073</v>
      </c>
      <c r="AT53" s="2">
        <f t="shared" si="29"/>
        <v>-2758.7999999999952</v>
      </c>
      <c r="AU53" s="1" t="e">
        <f t="shared" si="41"/>
        <v>#N/A</v>
      </c>
      <c r="AV53" s="2">
        <f t="shared" si="57"/>
        <v>30</v>
      </c>
      <c r="AW53" s="3">
        <f t="shared" si="58"/>
        <v>15.000000000000014</v>
      </c>
      <c r="AX53" s="3">
        <f t="shared" si="30"/>
        <v>14.999999999999986</v>
      </c>
      <c r="AY53" s="2">
        <f t="shared" si="59"/>
        <v>-1024.9699999999987</v>
      </c>
    </row>
    <row r="54" spans="14:51" x14ac:dyDescent="0.25">
      <c r="N54" s="10">
        <f t="shared" si="64"/>
        <v>15.300000000000015</v>
      </c>
      <c r="O54" s="10">
        <f t="shared" si="42"/>
        <v>1</v>
      </c>
      <c r="P54" s="10">
        <f t="shared" si="43"/>
        <v>0</v>
      </c>
      <c r="Q54" s="10">
        <f t="shared" si="44"/>
        <v>0</v>
      </c>
      <c r="R54" s="1">
        <f t="shared" si="45"/>
        <v>-1668.7299999999964</v>
      </c>
      <c r="S54" s="1">
        <f t="shared" si="46"/>
        <v>-4349.9999999999927</v>
      </c>
      <c r="T54" s="1">
        <f t="shared" si="47"/>
        <v>-4800</v>
      </c>
      <c r="U54" s="1">
        <f t="shared" si="48"/>
        <v>-1280</v>
      </c>
      <c r="V54" s="2">
        <f t="shared" si="60"/>
        <v>-922.79999999999802</v>
      </c>
      <c r="W54" s="3">
        <f t="shared" si="32"/>
        <v>-1.0100000000000016</v>
      </c>
      <c r="X54" s="3">
        <f t="shared" si="49"/>
        <v>1.3000000000000149</v>
      </c>
      <c r="Y54" s="3">
        <f t="shared" si="50"/>
        <v>-1.0100000000000016</v>
      </c>
      <c r="Z54" s="3">
        <f t="shared" si="33"/>
        <v>-7.6899999999999835</v>
      </c>
      <c r="AA54" s="3">
        <f t="shared" si="21"/>
        <v>0</v>
      </c>
      <c r="AB54" s="3">
        <f t="shared" si="34"/>
        <v>-3</v>
      </c>
      <c r="AC54" s="3">
        <f t="shared" si="51"/>
        <v>0</v>
      </c>
      <c r="AD54" s="3">
        <f t="shared" si="52"/>
        <v>-3</v>
      </c>
      <c r="AE54" s="3">
        <f t="shared" si="35"/>
        <v>0</v>
      </c>
      <c r="AF54" s="3">
        <f t="shared" si="22"/>
        <v>0</v>
      </c>
      <c r="AG54" s="3">
        <f t="shared" si="36"/>
        <v>-0.8</v>
      </c>
      <c r="AH54" s="3">
        <f t="shared" si="53"/>
        <v>0</v>
      </c>
      <c r="AI54" s="3">
        <f t="shared" si="54"/>
        <v>-0.8</v>
      </c>
      <c r="AJ54" s="3">
        <f t="shared" si="23"/>
        <v>0</v>
      </c>
      <c r="AK54" s="3">
        <f t="shared" si="24"/>
        <v>0</v>
      </c>
      <c r="AL54" s="2">
        <f t="shared" si="61"/>
        <v>0</v>
      </c>
      <c r="AM54" s="2">
        <f t="shared" si="55"/>
        <v>0</v>
      </c>
      <c r="AN54" s="2">
        <f t="shared" si="37"/>
        <v>0</v>
      </c>
      <c r="AO54" s="2">
        <f t="shared" si="62"/>
        <v>-202.00000000000031</v>
      </c>
      <c r="AP54" s="2">
        <f t="shared" si="56"/>
        <v>-1537.9999999999968</v>
      </c>
      <c r="AQ54" s="2">
        <f t="shared" si="63"/>
        <v>-922.79999999999802</v>
      </c>
      <c r="AR54" s="2">
        <f t="shared" si="38"/>
        <v>-2460.7999999999947</v>
      </c>
      <c r="AS54" s="2">
        <f t="shared" si="39"/>
        <v>241.20000000000073</v>
      </c>
      <c r="AT54" s="2">
        <f t="shared" si="29"/>
        <v>-2662.7999999999952</v>
      </c>
      <c r="AU54" s="1" t="e">
        <f t="shared" si="41"/>
        <v>#N/A</v>
      </c>
      <c r="AV54" s="2">
        <f t="shared" si="57"/>
        <v>30</v>
      </c>
      <c r="AW54" s="3">
        <f t="shared" si="58"/>
        <v>15.300000000000015</v>
      </c>
      <c r="AX54" s="3">
        <f t="shared" si="30"/>
        <v>14.699999999999985</v>
      </c>
      <c r="AY54" s="2">
        <f t="shared" si="59"/>
        <v>-994.0699999999988</v>
      </c>
    </row>
    <row r="55" spans="14:51" x14ac:dyDescent="0.25">
      <c r="N55" s="10">
        <f t="shared" si="64"/>
        <v>15.600000000000016</v>
      </c>
      <c r="O55" s="10">
        <f t="shared" si="42"/>
        <v>1</v>
      </c>
      <c r="P55" s="10">
        <f t="shared" si="43"/>
        <v>0</v>
      </c>
      <c r="Q55" s="10">
        <f t="shared" si="44"/>
        <v>0</v>
      </c>
      <c r="R55" s="1">
        <f t="shared" si="45"/>
        <v>-1603.6299999999962</v>
      </c>
      <c r="S55" s="1">
        <f t="shared" si="46"/>
        <v>-4199.9999999999918</v>
      </c>
      <c r="T55" s="1">
        <f t="shared" si="47"/>
        <v>-4800</v>
      </c>
      <c r="U55" s="1">
        <f t="shared" si="48"/>
        <v>-1280</v>
      </c>
      <c r="V55" s="2">
        <f t="shared" si="60"/>
        <v>-886.79999999999791</v>
      </c>
      <c r="W55" s="3">
        <f t="shared" si="32"/>
        <v>-1.0100000000000016</v>
      </c>
      <c r="X55" s="3">
        <f t="shared" si="49"/>
        <v>1.6000000000000156</v>
      </c>
      <c r="Y55" s="3">
        <f t="shared" si="50"/>
        <v>-1.0100000000000016</v>
      </c>
      <c r="Z55" s="3">
        <f t="shared" si="33"/>
        <v>-7.3899999999999828</v>
      </c>
      <c r="AA55" s="3">
        <f t="shared" si="21"/>
        <v>0</v>
      </c>
      <c r="AB55" s="3">
        <f t="shared" si="34"/>
        <v>-3</v>
      </c>
      <c r="AC55" s="3">
        <f t="shared" si="51"/>
        <v>0</v>
      </c>
      <c r="AD55" s="3">
        <f t="shared" si="52"/>
        <v>-3</v>
      </c>
      <c r="AE55" s="3">
        <f t="shared" si="35"/>
        <v>0</v>
      </c>
      <c r="AF55" s="3">
        <f t="shared" si="22"/>
        <v>0</v>
      </c>
      <c r="AG55" s="3">
        <f t="shared" si="36"/>
        <v>-0.8</v>
      </c>
      <c r="AH55" s="3">
        <f t="shared" si="53"/>
        <v>0</v>
      </c>
      <c r="AI55" s="3">
        <f t="shared" si="54"/>
        <v>-0.8</v>
      </c>
      <c r="AJ55" s="3">
        <f t="shared" si="23"/>
        <v>0</v>
      </c>
      <c r="AK55" s="3">
        <f t="shared" si="24"/>
        <v>0</v>
      </c>
      <c r="AL55" s="2">
        <f t="shared" si="61"/>
        <v>0</v>
      </c>
      <c r="AM55" s="2">
        <f t="shared" si="55"/>
        <v>0</v>
      </c>
      <c r="AN55" s="2">
        <f t="shared" si="37"/>
        <v>0</v>
      </c>
      <c r="AO55" s="2">
        <f t="shared" si="62"/>
        <v>-202.00000000000031</v>
      </c>
      <c r="AP55" s="2">
        <f t="shared" si="56"/>
        <v>-1477.9999999999966</v>
      </c>
      <c r="AQ55" s="2">
        <f t="shared" si="63"/>
        <v>-886.79999999999791</v>
      </c>
      <c r="AR55" s="2">
        <f t="shared" si="38"/>
        <v>-2364.7999999999947</v>
      </c>
      <c r="AS55" s="2">
        <f t="shared" si="39"/>
        <v>241.20000000000073</v>
      </c>
      <c r="AT55" s="2">
        <f>AO55+AN55+AR55</f>
        <v>-2566.7999999999952</v>
      </c>
      <c r="AU55" s="1" t="e">
        <f t="shared" si="41"/>
        <v>#N/A</v>
      </c>
      <c r="AV55" s="2">
        <f t="shared" si="57"/>
        <v>30</v>
      </c>
      <c r="AW55" s="3">
        <f t="shared" si="58"/>
        <v>15.600000000000016</v>
      </c>
      <c r="AX55" s="3">
        <f t="shared" si="30"/>
        <v>14.399999999999984</v>
      </c>
      <c r="AY55" s="2">
        <f t="shared" si="59"/>
        <v>-963.16999999999894</v>
      </c>
    </row>
    <row r="56" spans="14:51" x14ac:dyDescent="0.25">
      <c r="N56" s="10">
        <f t="shared" si="64"/>
        <v>15.900000000000016</v>
      </c>
      <c r="O56" s="10">
        <f t="shared" si="42"/>
        <v>1</v>
      </c>
      <c r="P56" s="10">
        <f t="shared" si="43"/>
        <v>0</v>
      </c>
      <c r="Q56" s="10">
        <f t="shared" si="44"/>
        <v>0</v>
      </c>
      <c r="R56" s="1">
        <f t="shared" si="45"/>
        <v>-1538.5299999999961</v>
      </c>
      <c r="S56" s="1">
        <f t="shared" si="46"/>
        <v>-4049.9999999999914</v>
      </c>
      <c r="T56" s="1">
        <f t="shared" si="47"/>
        <v>-4800</v>
      </c>
      <c r="U56" s="1">
        <f t="shared" si="48"/>
        <v>-1280</v>
      </c>
      <c r="V56" s="2">
        <f t="shared" si="60"/>
        <v>-850.79999999999791</v>
      </c>
      <c r="W56" s="3">
        <f t="shared" si="32"/>
        <v>-1.0100000000000016</v>
      </c>
      <c r="X56" s="3">
        <f t="shared" si="49"/>
        <v>1.9000000000000163</v>
      </c>
      <c r="Y56" s="3">
        <f t="shared" si="50"/>
        <v>-1.0100000000000016</v>
      </c>
      <c r="Z56" s="3">
        <f t="shared" si="33"/>
        <v>-7.0899999999999821</v>
      </c>
      <c r="AA56" s="3">
        <f t="shared" si="21"/>
        <v>0</v>
      </c>
      <c r="AB56" s="3">
        <f t="shared" si="34"/>
        <v>-3</v>
      </c>
      <c r="AC56" s="3">
        <f t="shared" si="51"/>
        <v>0</v>
      </c>
      <c r="AD56" s="3">
        <f t="shared" si="52"/>
        <v>-3</v>
      </c>
      <c r="AE56" s="3">
        <f t="shared" si="35"/>
        <v>0</v>
      </c>
      <c r="AF56" s="3">
        <f t="shared" si="22"/>
        <v>0</v>
      </c>
      <c r="AG56" s="3">
        <f t="shared" si="36"/>
        <v>-0.8</v>
      </c>
      <c r="AH56" s="3">
        <f t="shared" si="53"/>
        <v>0</v>
      </c>
      <c r="AI56" s="3">
        <f t="shared" si="54"/>
        <v>-0.8</v>
      </c>
      <c r="AJ56" s="3">
        <f t="shared" si="23"/>
        <v>0</v>
      </c>
      <c r="AK56" s="3">
        <f t="shared" si="24"/>
        <v>0</v>
      </c>
      <c r="AL56" s="2">
        <f t="shared" si="61"/>
        <v>0</v>
      </c>
      <c r="AM56" s="2">
        <f t="shared" si="55"/>
        <v>0</v>
      </c>
      <c r="AN56" s="2">
        <f t="shared" si="37"/>
        <v>0</v>
      </c>
      <c r="AO56" s="2">
        <f t="shared" si="62"/>
        <v>-202.00000000000031</v>
      </c>
      <c r="AP56" s="2">
        <f t="shared" si="56"/>
        <v>-1417.9999999999964</v>
      </c>
      <c r="AQ56" s="2">
        <f t="shared" si="63"/>
        <v>-850.79999999999791</v>
      </c>
      <c r="AR56" s="2">
        <f t="shared" si="38"/>
        <v>-2268.7999999999943</v>
      </c>
      <c r="AS56" s="2">
        <f t="shared" si="39"/>
        <v>241.20000000000073</v>
      </c>
      <c r="AT56" s="2">
        <f>AO56+AN56+AR56</f>
        <v>-2470.7999999999947</v>
      </c>
      <c r="AU56" s="1" t="e">
        <f t="shared" si="41"/>
        <v>#N/A</v>
      </c>
      <c r="AV56" s="2">
        <f t="shared" si="57"/>
        <v>30</v>
      </c>
      <c r="AW56" s="3">
        <f t="shared" si="58"/>
        <v>15.900000000000016</v>
      </c>
      <c r="AX56" s="3">
        <f t="shared" si="30"/>
        <v>14.099999999999984</v>
      </c>
      <c r="AY56" s="2">
        <f t="shared" si="59"/>
        <v>-932.26999999999862</v>
      </c>
    </row>
    <row r="57" spans="14:51" x14ac:dyDescent="0.25">
      <c r="N57" s="10">
        <f t="shared" si="64"/>
        <v>16.200000000000017</v>
      </c>
      <c r="O57" s="10">
        <f t="shared" si="42"/>
        <v>1</v>
      </c>
      <c r="P57" s="10">
        <f t="shared" si="43"/>
        <v>0</v>
      </c>
      <c r="Q57" s="10">
        <f t="shared" si="44"/>
        <v>0</v>
      </c>
      <c r="R57" s="1">
        <f t="shared" si="45"/>
        <v>-1473.429999999996</v>
      </c>
      <c r="S57" s="1">
        <f t="shared" si="46"/>
        <v>-3899.9999999999914</v>
      </c>
      <c r="T57" s="1">
        <f t="shared" si="47"/>
        <v>-4800</v>
      </c>
      <c r="U57" s="1">
        <f t="shared" si="48"/>
        <v>-1280</v>
      </c>
      <c r="V57" s="2">
        <f t="shared" si="60"/>
        <v>-814.79999999999779</v>
      </c>
      <c r="W57" s="3">
        <f t="shared" si="32"/>
        <v>-1.0100000000000016</v>
      </c>
      <c r="X57" s="3">
        <f t="shared" si="49"/>
        <v>2.2000000000000171</v>
      </c>
      <c r="Y57" s="3">
        <f t="shared" si="50"/>
        <v>-1.0100000000000016</v>
      </c>
      <c r="Z57" s="3">
        <f>IF(O57=1,IF(X57&lt;$E$17,X57-$E$17,0),0)</f>
        <v>-6.7899999999999814</v>
      </c>
      <c r="AA57" s="3">
        <f t="shared" si="21"/>
        <v>0</v>
      </c>
      <c r="AB57" s="3">
        <f t="shared" si="34"/>
        <v>-3</v>
      </c>
      <c r="AC57" s="3">
        <f t="shared" si="51"/>
        <v>0</v>
      </c>
      <c r="AD57" s="3">
        <f t="shared" si="52"/>
        <v>-3</v>
      </c>
      <c r="AE57" s="3">
        <f t="shared" si="35"/>
        <v>0</v>
      </c>
      <c r="AF57" s="3">
        <f t="shared" si="22"/>
        <v>0</v>
      </c>
      <c r="AG57" s="3">
        <f t="shared" si="36"/>
        <v>-0.8</v>
      </c>
      <c r="AH57" s="3">
        <f t="shared" si="53"/>
        <v>0</v>
      </c>
      <c r="AI57" s="3">
        <f t="shared" si="54"/>
        <v>-0.8</v>
      </c>
      <c r="AJ57" s="3">
        <f t="shared" si="23"/>
        <v>0</v>
      </c>
      <c r="AK57" s="3">
        <f t="shared" si="24"/>
        <v>0</v>
      </c>
      <c r="AL57" s="2">
        <f t="shared" si="61"/>
        <v>0</v>
      </c>
      <c r="AM57" s="2">
        <f t="shared" si="55"/>
        <v>0</v>
      </c>
      <c r="AN57" s="2">
        <f t="shared" si="37"/>
        <v>0</v>
      </c>
      <c r="AO57" s="2">
        <f t="shared" si="62"/>
        <v>-202.00000000000031</v>
      </c>
      <c r="AP57" s="2">
        <f>Z57*contract1Size*option1Position+AE57*contract2Size*option2Position+AJ57*contract3Size*option3Position</f>
        <v>-1357.9999999999964</v>
      </c>
      <c r="AQ57" s="2">
        <f t="shared" si="63"/>
        <v>-814.79999999999779</v>
      </c>
      <c r="AR57" s="2">
        <f>AP57+AQ57</f>
        <v>-2172.7999999999943</v>
      </c>
      <c r="AS57" s="2">
        <f t="shared" si="39"/>
        <v>241.20000000000073</v>
      </c>
      <c r="AT57" s="2">
        <f>AO57+AN57+AR57</f>
        <v>-2374.7999999999947</v>
      </c>
      <c r="AU57" s="1" t="e">
        <f t="shared" si="41"/>
        <v>#N/A</v>
      </c>
      <c r="AV57" s="2">
        <f t="shared" si="57"/>
        <v>30</v>
      </c>
      <c r="AW57" s="3">
        <f t="shared" si="58"/>
        <v>16.200000000000017</v>
      </c>
      <c r="AX57" s="3">
        <f t="shared" si="30"/>
        <v>13.799999999999983</v>
      </c>
      <c r="AY57" s="2">
        <f t="shared" si="59"/>
        <v>-901.36999999999875</v>
      </c>
    </row>
    <row r="58" spans="14:51" x14ac:dyDescent="0.25">
      <c r="N58" s="10">
        <f t="shared" si="64"/>
        <v>16.500000000000018</v>
      </c>
      <c r="O58" s="10">
        <f t="shared" si="42"/>
        <v>1</v>
      </c>
      <c r="P58" s="10">
        <f t="shared" si="43"/>
        <v>0</v>
      </c>
      <c r="Q58" s="10">
        <f t="shared" si="44"/>
        <v>0</v>
      </c>
      <c r="R58" s="1">
        <f t="shared" si="45"/>
        <v>-1408.3299999999958</v>
      </c>
      <c r="S58" s="1">
        <f t="shared" si="46"/>
        <v>-3749.9999999999914</v>
      </c>
      <c r="T58" s="1">
        <f t="shared" si="47"/>
        <v>-4800</v>
      </c>
      <c r="U58" s="1">
        <f t="shared" si="48"/>
        <v>-1280</v>
      </c>
      <c r="V58" s="2">
        <f t="shared" si="60"/>
        <v>-778.79999999999768</v>
      </c>
      <c r="W58" s="3">
        <f t="shared" si="32"/>
        <v>-1.0100000000000016</v>
      </c>
      <c r="X58" s="3">
        <f t="shared" si="49"/>
        <v>2.5000000000000178</v>
      </c>
      <c r="Y58" s="3">
        <f t="shared" si="50"/>
        <v>-1.0100000000000016</v>
      </c>
      <c r="Z58" s="3">
        <f t="shared" ref="Z58:Z103" si="65">IF(O58=1,IF(X58&lt;$E$17,X58-$E$17,0),0)</f>
        <v>-6.4899999999999807</v>
      </c>
      <c r="AA58" s="3">
        <f t="shared" si="21"/>
        <v>0</v>
      </c>
      <c r="AB58" s="3">
        <f t="shared" si="34"/>
        <v>-3</v>
      </c>
      <c r="AC58" s="3">
        <f t="shared" si="51"/>
        <v>0</v>
      </c>
      <c r="AD58" s="3">
        <f t="shared" si="52"/>
        <v>-3</v>
      </c>
      <c r="AE58" s="3">
        <f t="shared" si="35"/>
        <v>0</v>
      </c>
      <c r="AF58" s="3">
        <f t="shared" si="22"/>
        <v>0</v>
      </c>
      <c r="AG58" s="3">
        <f t="shared" si="36"/>
        <v>-0.8</v>
      </c>
      <c r="AH58" s="3">
        <f t="shared" si="53"/>
        <v>0</v>
      </c>
      <c r="AI58" s="3">
        <f t="shared" si="54"/>
        <v>-0.8</v>
      </c>
      <c r="AJ58" s="3">
        <f t="shared" si="23"/>
        <v>0</v>
      </c>
      <c r="AK58" s="3">
        <f t="shared" si="24"/>
        <v>0</v>
      </c>
      <c r="AL58" s="2">
        <f t="shared" si="61"/>
        <v>0</v>
      </c>
      <c r="AM58" s="2">
        <f t="shared" si="55"/>
        <v>0</v>
      </c>
      <c r="AN58" s="2">
        <f t="shared" si="37"/>
        <v>0</v>
      </c>
      <c r="AO58" s="2">
        <f t="shared" si="62"/>
        <v>-202.00000000000031</v>
      </c>
      <c r="AP58" s="2">
        <f t="shared" si="56"/>
        <v>-1297.9999999999961</v>
      </c>
      <c r="AQ58" s="2">
        <f t="shared" si="63"/>
        <v>-778.79999999999768</v>
      </c>
      <c r="AR58" s="2">
        <f t="shared" si="38"/>
        <v>-2076.7999999999938</v>
      </c>
      <c r="AS58" s="2">
        <f t="shared" si="39"/>
        <v>241.20000000000073</v>
      </c>
      <c r="AT58" s="2">
        <f t="shared" si="29"/>
        <v>-2278.7999999999943</v>
      </c>
      <c r="AU58" s="1" t="e">
        <f t="shared" si="41"/>
        <v>#N/A</v>
      </c>
      <c r="AV58" s="2">
        <f t="shared" si="57"/>
        <v>30</v>
      </c>
      <c r="AW58" s="3">
        <f t="shared" si="58"/>
        <v>16.500000000000018</v>
      </c>
      <c r="AX58" s="3">
        <f t="shared" si="30"/>
        <v>13.499999999999982</v>
      </c>
      <c r="AY58" s="2">
        <f t="shared" si="59"/>
        <v>-870.46999999999844</v>
      </c>
    </row>
    <row r="59" spans="14:51" x14ac:dyDescent="0.25">
      <c r="N59" s="10">
        <f t="shared" si="64"/>
        <v>16.800000000000018</v>
      </c>
      <c r="O59" s="10">
        <f t="shared" si="42"/>
        <v>1</v>
      </c>
      <c r="P59" s="10">
        <f t="shared" si="43"/>
        <v>0</v>
      </c>
      <c r="Q59" s="10">
        <f t="shared" si="44"/>
        <v>0</v>
      </c>
      <c r="R59" s="1">
        <f t="shared" si="45"/>
        <v>-1343.2299999999957</v>
      </c>
      <c r="S59" s="1">
        <f t="shared" si="46"/>
        <v>-3599.9999999999909</v>
      </c>
      <c r="T59" s="1">
        <f t="shared" si="47"/>
        <v>-4800</v>
      </c>
      <c r="U59" s="1">
        <f t="shared" si="48"/>
        <v>-1280</v>
      </c>
      <c r="V59" s="2">
        <f t="shared" si="60"/>
        <v>-742.79999999999757</v>
      </c>
      <c r="W59" s="3">
        <f t="shared" si="32"/>
        <v>-1.0100000000000016</v>
      </c>
      <c r="X59" s="3">
        <f t="shared" si="49"/>
        <v>2.8000000000000185</v>
      </c>
      <c r="Y59" s="3">
        <f t="shared" si="50"/>
        <v>-1.0100000000000016</v>
      </c>
      <c r="Z59" s="3">
        <f t="shared" si="65"/>
        <v>-6.18999999999998</v>
      </c>
      <c r="AA59" s="3">
        <f t="shared" si="21"/>
        <v>0</v>
      </c>
      <c r="AB59" s="3">
        <f t="shared" si="34"/>
        <v>-3</v>
      </c>
      <c r="AC59" s="3">
        <f t="shared" si="51"/>
        <v>0</v>
      </c>
      <c r="AD59" s="3">
        <f t="shared" si="52"/>
        <v>-3</v>
      </c>
      <c r="AE59" s="3">
        <f t="shared" si="35"/>
        <v>0</v>
      </c>
      <c r="AF59" s="3">
        <f t="shared" si="22"/>
        <v>0</v>
      </c>
      <c r="AG59" s="3">
        <f t="shared" si="36"/>
        <v>-0.8</v>
      </c>
      <c r="AH59" s="3">
        <f t="shared" si="53"/>
        <v>0</v>
      </c>
      <c r="AI59" s="3">
        <f t="shared" si="54"/>
        <v>-0.8</v>
      </c>
      <c r="AJ59" s="3">
        <f t="shared" si="23"/>
        <v>0</v>
      </c>
      <c r="AK59" s="3">
        <f t="shared" si="24"/>
        <v>0</v>
      </c>
      <c r="AL59" s="2">
        <f t="shared" si="61"/>
        <v>0</v>
      </c>
      <c r="AM59" s="2">
        <f t="shared" si="55"/>
        <v>0</v>
      </c>
      <c r="AN59" s="2">
        <f t="shared" si="37"/>
        <v>0</v>
      </c>
      <c r="AO59" s="2">
        <f t="shared" si="62"/>
        <v>-202.00000000000031</v>
      </c>
      <c r="AP59" s="2">
        <f t="shared" si="56"/>
        <v>-1237.9999999999959</v>
      </c>
      <c r="AQ59" s="2">
        <f t="shared" si="63"/>
        <v>-742.79999999999757</v>
      </c>
      <c r="AR59" s="2">
        <f t="shared" si="38"/>
        <v>-1980.7999999999934</v>
      </c>
      <c r="AS59" s="2">
        <f t="shared" si="39"/>
        <v>241.20000000000073</v>
      </c>
      <c r="AT59" s="2">
        <f t="shared" si="29"/>
        <v>-2182.7999999999938</v>
      </c>
      <c r="AU59" s="1" t="e">
        <f t="shared" si="41"/>
        <v>#N/A</v>
      </c>
      <c r="AV59" s="2">
        <f t="shared" si="57"/>
        <v>30</v>
      </c>
      <c r="AW59" s="3">
        <f t="shared" si="58"/>
        <v>16.800000000000018</v>
      </c>
      <c r="AX59" s="3">
        <f t="shared" si="30"/>
        <v>13.199999999999982</v>
      </c>
      <c r="AY59" s="2">
        <f t="shared" si="59"/>
        <v>-839.56999999999812</v>
      </c>
    </row>
    <row r="60" spans="14:51" x14ac:dyDescent="0.25">
      <c r="N60" s="10">
        <f t="shared" si="64"/>
        <v>17.100000000000019</v>
      </c>
      <c r="O60" s="10">
        <f t="shared" si="42"/>
        <v>1</v>
      </c>
      <c r="P60" s="10">
        <f t="shared" si="43"/>
        <v>0</v>
      </c>
      <c r="Q60" s="10">
        <f t="shared" si="44"/>
        <v>0</v>
      </c>
      <c r="R60" s="1">
        <f t="shared" si="45"/>
        <v>-1278.1299999999956</v>
      </c>
      <c r="S60" s="1">
        <f t="shared" si="46"/>
        <v>-3449.99999999999</v>
      </c>
      <c r="T60" s="1">
        <f t="shared" si="47"/>
        <v>-4800</v>
      </c>
      <c r="U60" s="1">
        <f t="shared" si="48"/>
        <v>-1280</v>
      </c>
      <c r="V60" s="2">
        <f t="shared" si="60"/>
        <v>-706.79999999999745</v>
      </c>
      <c r="W60" s="3">
        <f t="shared" si="32"/>
        <v>-1.0100000000000016</v>
      </c>
      <c r="X60" s="3">
        <f t="shared" si="49"/>
        <v>3.1000000000000192</v>
      </c>
      <c r="Y60" s="3">
        <f t="shared" si="50"/>
        <v>-1.0100000000000016</v>
      </c>
      <c r="Z60" s="3">
        <f t="shared" si="65"/>
        <v>-5.8899999999999793</v>
      </c>
      <c r="AA60" s="3">
        <f t="shared" si="21"/>
        <v>0</v>
      </c>
      <c r="AB60" s="3">
        <f t="shared" si="34"/>
        <v>-3</v>
      </c>
      <c r="AC60" s="3">
        <f t="shared" si="51"/>
        <v>0</v>
      </c>
      <c r="AD60" s="3">
        <f t="shared" si="52"/>
        <v>-3</v>
      </c>
      <c r="AE60" s="3">
        <f t="shared" si="35"/>
        <v>0</v>
      </c>
      <c r="AF60" s="3">
        <f t="shared" si="22"/>
        <v>0</v>
      </c>
      <c r="AG60" s="3">
        <f t="shared" si="36"/>
        <v>-0.8</v>
      </c>
      <c r="AH60" s="3">
        <f t="shared" si="53"/>
        <v>0</v>
      </c>
      <c r="AI60" s="3">
        <f t="shared" si="54"/>
        <v>-0.8</v>
      </c>
      <c r="AJ60" s="3">
        <f t="shared" si="23"/>
        <v>0</v>
      </c>
      <c r="AK60" s="3">
        <f t="shared" si="24"/>
        <v>0</v>
      </c>
      <c r="AL60" s="2">
        <f t="shared" si="61"/>
        <v>0</v>
      </c>
      <c r="AM60" s="2">
        <f t="shared" si="55"/>
        <v>0</v>
      </c>
      <c r="AN60" s="2">
        <f t="shared" si="37"/>
        <v>0</v>
      </c>
      <c r="AO60" s="2">
        <f t="shared" si="62"/>
        <v>-202.00000000000031</v>
      </c>
      <c r="AP60" s="2">
        <f t="shared" si="56"/>
        <v>-1177.9999999999959</v>
      </c>
      <c r="AQ60" s="2">
        <f t="shared" si="63"/>
        <v>-706.79999999999745</v>
      </c>
      <c r="AR60" s="2">
        <f t="shared" si="38"/>
        <v>-1884.7999999999934</v>
      </c>
      <c r="AS60" s="2">
        <f t="shared" si="39"/>
        <v>241.20000000000073</v>
      </c>
      <c r="AT60" s="2">
        <f t="shared" si="29"/>
        <v>-2086.7999999999938</v>
      </c>
      <c r="AU60" s="1" t="e">
        <f t="shared" si="41"/>
        <v>#N/A</v>
      </c>
      <c r="AV60" s="2">
        <f t="shared" si="57"/>
        <v>30</v>
      </c>
      <c r="AW60" s="3">
        <f t="shared" si="58"/>
        <v>17.100000000000019</v>
      </c>
      <c r="AX60" s="3">
        <f t="shared" si="30"/>
        <v>12.899999999999981</v>
      </c>
      <c r="AY60" s="2">
        <f t="shared" si="59"/>
        <v>-808.66999999999825</v>
      </c>
    </row>
    <row r="61" spans="14:51" x14ac:dyDescent="0.25">
      <c r="N61" s="10">
        <f t="shared" si="64"/>
        <v>17.40000000000002</v>
      </c>
      <c r="O61" s="10">
        <f t="shared" si="42"/>
        <v>1</v>
      </c>
      <c r="P61" s="10">
        <f t="shared" si="43"/>
        <v>0</v>
      </c>
      <c r="Q61" s="10">
        <f t="shared" si="44"/>
        <v>0</v>
      </c>
      <c r="R61" s="1">
        <f t="shared" si="45"/>
        <v>-1213.0299999999954</v>
      </c>
      <c r="S61" s="1">
        <f t="shared" si="46"/>
        <v>-3299.99999999999</v>
      </c>
      <c r="T61" s="1">
        <f t="shared" si="47"/>
        <v>-4800</v>
      </c>
      <c r="U61" s="1">
        <f t="shared" si="48"/>
        <v>-1280</v>
      </c>
      <c r="V61" s="2">
        <f t="shared" si="60"/>
        <v>-670.79999999999745</v>
      </c>
      <c r="W61" s="3">
        <f t="shared" si="32"/>
        <v>-1.0100000000000016</v>
      </c>
      <c r="X61" s="3">
        <f t="shared" si="49"/>
        <v>3.4000000000000199</v>
      </c>
      <c r="Y61" s="3">
        <f t="shared" si="50"/>
        <v>-1.0100000000000016</v>
      </c>
      <c r="Z61" s="3">
        <f t="shared" si="65"/>
        <v>-5.5899999999999785</v>
      </c>
      <c r="AA61" s="3">
        <f t="shared" si="21"/>
        <v>0</v>
      </c>
      <c r="AB61" s="3">
        <f t="shared" si="34"/>
        <v>-3</v>
      </c>
      <c r="AC61" s="3">
        <f t="shared" si="51"/>
        <v>0</v>
      </c>
      <c r="AD61" s="3">
        <f t="shared" si="52"/>
        <v>-3</v>
      </c>
      <c r="AE61" s="3">
        <f t="shared" si="35"/>
        <v>0</v>
      </c>
      <c r="AF61" s="3">
        <f t="shared" si="22"/>
        <v>0</v>
      </c>
      <c r="AG61" s="3">
        <f t="shared" si="36"/>
        <v>-0.8</v>
      </c>
      <c r="AH61" s="3">
        <f t="shared" si="53"/>
        <v>0</v>
      </c>
      <c r="AI61" s="3">
        <f t="shared" si="54"/>
        <v>-0.8</v>
      </c>
      <c r="AJ61" s="3">
        <f t="shared" si="23"/>
        <v>0</v>
      </c>
      <c r="AK61" s="3">
        <f t="shared" si="24"/>
        <v>0</v>
      </c>
      <c r="AL61" s="2">
        <f t="shared" si="61"/>
        <v>0</v>
      </c>
      <c r="AM61" s="2">
        <f t="shared" si="55"/>
        <v>0</v>
      </c>
      <c r="AN61" s="2">
        <f t="shared" si="37"/>
        <v>0</v>
      </c>
      <c r="AO61" s="2">
        <f t="shared" si="62"/>
        <v>-202.00000000000031</v>
      </c>
      <c r="AP61" s="2">
        <f t="shared" si="56"/>
        <v>-1117.9999999999957</v>
      </c>
      <c r="AQ61" s="2">
        <f t="shared" si="63"/>
        <v>-670.79999999999745</v>
      </c>
      <c r="AR61" s="2">
        <f t="shared" si="38"/>
        <v>-1788.7999999999931</v>
      </c>
      <c r="AS61" s="2">
        <f t="shared" si="39"/>
        <v>241.20000000000073</v>
      </c>
      <c r="AT61" s="2">
        <f t="shared" si="29"/>
        <v>-1990.7999999999934</v>
      </c>
      <c r="AU61" s="1" t="e">
        <f t="shared" si="41"/>
        <v>#N/A</v>
      </c>
      <c r="AV61" s="2">
        <f t="shared" si="57"/>
        <v>30</v>
      </c>
      <c r="AW61" s="3">
        <f t="shared" si="58"/>
        <v>17.40000000000002</v>
      </c>
      <c r="AX61" s="3">
        <f t="shared" si="30"/>
        <v>12.59999999999998</v>
      </c>
      <c r="AY61" s="2">
        <f t="shared" si="59"/>
        <v>-777.76999999999794</v>
      </c>
    </row>
    <row r="62" spans="14:51" x14ac:dyDescent="0.25">
      <c r="N62" s="10">
        <f t="shared" si="64"/>
        <v>17.700000000000021</v>
      </c>
      <c r="O62" s="10">
        <f t="shared" si="42"/>
        <v>1</v>
      </c>
      <c r="P62" s="10">
        <f t="shared" si="43"/>
        <v>0</v>
      </c>
      <c r="Q62" s="10">
        <f t="shared" si="44"/>
        <v>0</v>
      </c>
      <c r="R62" s="1">
        <f t="shared" si="45"/>
        <v>-1147.9299999999953</v>
      </c>
      <c r="S62" s="1">
        <f t="shared" si="46"/>
        <v>-3149.9999999999895</v>
      </c>
      <c r="T62" s="1">
        <f t="shared" si="47"/>
        <v>-4800</v>
      </c>
      <c r="U62" s="1">
        <f t="shared" si="48"/>
        <v>-1280</v>
      </c>
      <c r="V62" s="2">
        <f t="shared" si="60"/>
        <v>-634.79999999999734</v>
      </c>
      <c r="W62" s="3">
        <f t="shared" si="32"/>
        <v>-1.0100000000000016</v>
      </c>
      <c r="X62" s="3">
        <f t="shared" si="49"/>
        <v>3.7000000000000206</v>
      </c>
      <c r="Y62" s="3">
        <f t="shared" si="50"/>
        <v>-1.0100000000000016</v>
      </c>
      <c r="Z62" s="3">
        <f t="shared" si="65"/>
        <v>-5.2899999999999778</v>
      </c>
      <c r="AA62" s="3">
        <f t="shared" si="21"/>
        <v>0</v>
      </c>
      <c r="AB62" s="3">
        <f t="shared" si="34"/>
        <v>-3</v>
      </c>
      <c r="AC62" s="3">
        <f t="shared" si="51"/>
        <v>0</v>
      </c>
      <c r="AD62" s="3">
        <f t="shared" si="52"/>
        <v>-3</v>
      </c>
      <c r="AE62" s="3">
        <f t="shared" si="35"/>
        <v>0</v>
      </c>
      <c r="AF62" s="3">
        <f t="shared" si="22"/>
        <v>0</v>
      </c>
      <c r="AG62" s="3">
        <f t="shared" si="36"/>
        <v>-0.8</v>
      </c>
      <c r="AH62" s="3">
        <f t="shared" si="53"/>
        <v>0</v>
      </c>
      <c r="AI62" s="3">
        <f t="shared" si="54"/>
        <v>-0.8</v>
      </c>
      <c r="AJ62" s="3">
        <f t="shared" si="23"/>
        <v>0</v>
      </c>
      <c r="AK62" s="3">
        <f t="shared" si="24"/>
        <v>0</v>
      </c>
      <c r="AL62" s="2">
        <f t="shared" si="61"/>
        <v>0</v>
      </c>
      <c r="AM62" s="2">
        <f t="shared" si="55"/>
        <v>0</v>
      </c>
      <c r="AN62" s="2">
        <f t="shared" si="37"/>
        <v>0</v>
      </c>
      <c r="AO62" s="2">
        <f t="shared" si="62"/>
        <v>-202.00000000000031</v>
      </c>
      <c r="AP62" s="2">
        <f t="shared" si="56"/>
        <v>-1057.9999999999955</v>
      </c>
      <c r="AQ62" s="2">
        <f t="shared" si="63"/>
        <v>-634.79999999999734</v>
      </c>
      <c r="AR62" s="2">
        <f t="shared" si="38"/>
        <v>-1692.7999999999929</v>
      </c>
      <c r="AS62" s="2">
        <f t="shared" si="39"/>
        <v>241.20000000000073</v>
      </c>
      <c r="AT62" s="2">
        <f t="shared" si="29"/>
        <v>-1894.7999999999931</v>
      </c>
      <c r="AU62" s="1" t="e">
        <f t="shared" si="41"/>
        <v>#N/A</v>
      </c>
      <c r="AV62" s="2">
        <f t="shared" si="57"/>
        <v>30</v>
      </c>
      <c r="AW62" s="3">
        <f t="shared" si="58"/>
        <v>17.700000000000021</v>
      </c>
      <c r="AX62" s="3">
        <f t="shared" si="30"/>
        <v>12.299999999999979</v>
      </c>
      <c r="AY62" s="2">
        <f t="shared" si="59"/>
        <v>-746.86999999999784</v>
      </c>
    </row>
    <row r="63" spans="14:51" x14ac:dyDescent="0.25">
      <c r="N63" s="10">
        <f t="shared" si="64"/>
        <v>18.000000000000021</v>
      </c>
      <c r="O63" s="10">
        <f t="shared" si="42"/>
        <v>1</v>
      </c>
      <c r="P63" s="10">
        <f t="shared" si="43"/>
        <v>0</v>
      </c>
      <c r="Q63" s="10">
        <f t="shared" si="44"/>
        <v>0</v>
      </c>
      <c r="R63" s="1">
        <f t="shared" si="45"/>
        <v>-1082.8299999999949</v>
      </c>
      <c r="S63" s="1">
        <f t="shared" si="46"/>
        <v>-2999.9999999999895</v>
      </c>
      <c r="T63" s="1">
        <f t="shared" si="47"/>
        <v>-4800</v>
      </c>
      <c r="U63" s="1">
        <f t="shared" si="48"/>
        <v>-1280</v>
      </c>
      <c r="V63" s="2">
        <f t="shared" si="60"/>
        <v>-598.79999999999723</v>
      </c>
      <c r="W63" s="3">
        <f t="shared" si="32"/>
        <v>-1.0100000000000016</v>
      </c>
      <c r="X63" s="3">
        <f t="shared" si="49"/>
        <v>4.0000000000000213</v>
      </c>
      <c r="Y63" s="3">
        <f t="shared" si="50"/>
        <v>-1.0100000000000016</v>
      </c>
      <c r="Z63" s="3">
        <f t="shared" si="65"/>
        <v>-4.9899999999999771</v>
      </c>
      <c r="AA63" s="3">
        <f t="shared" si="21"/>
        <v>0</v>
      </c>
      <c r="AB63" s="3">
        <f t="shared" si="34"/>
        <v>-3</v>
      </c>
      <c r="AC63" s="3">
        <f t="shared" si="51"/>
        <v>0</v>
      </c>
      <c r="AD63" s="3">
        <f t="shared" si="52"/>
        <v>-3</v>
      </c>
      <c r="AE63" s="3">
        <f t="shared" si="35"/>
        <v>0</v>
      </c>
      <c r="AF63" s="3">
        <f t="shared" si="22"/>
        <v>0</v>
      </c>
      <c r="AG63" s="3">
        <f t="shared" si="36"/>
        <v>-0.8</v>
      </c>
      <c r="AH63" s="3">
        <f t="shared" si="53"/>
        <v>0</v>
      </c>
      <c r="AI63" s="3">
        <f t="shared" si="54"/>
        <v>-0.8</v>
      </c>
      <c r="AJ63" s="3">
        <f t="shared" si="23"/>
        <v>0</v>
      </c>
      <c r="AK63" s="3">
        <f t="shared" si="24"/>
        <v>0</v>
      </c>
      <c r="AL63" s="2">
        <f t="shared" si="61"/>
        <v>0</v>
      </c>
      <c r="AM63" s="2">
        <f t="shared" si="55"/>
        <v>0</v>
      </c>
      <c r="AN63" s="2">
        <f t="shared" si="37"/>
        <v>0</v>
      </c>
      <c r="AO63" s="2">
        <f t="shared" si="62"/>
        <v>-202.00000000000031</v>
      </c>
      <c r="AP63" s="2">
        <f t="shared" si="56"/>
        <v>-997.99999999999545</v>
      </c>
      <c r="AQ63" s="2">
        <f t="shared" si="63"/>
        <v>-598.79999999999723</v>
      </c>
      <c r="AR63" s="2">
        <f t="shared" si="38"/>
        <v>-1596.7999999999927</v>
      </c>
      <c r="AS63" s="2">
        <f t="shared" si="39"/>
        <v>241.20000000000073</v>
      </c>
      <c r="AT63" s="2">
        <f t="shared" si="29"/>
        <v>-1798.7999999999929</v>
      </c>
      <c r="AU63" s="1" t="e">
        <f t="shared" si="41"/>
        <v>#N/A</v>
      </c>
      <c r="AV63" s="2">
        <f t="shared" si="57"/>
        <v>30</v>
      </c>
      <c r="AW63" s="3">
        <f t="shared" si="58"/>
        <v>18.000000000000021</v>
      </c>
      <c r="AX63" s="3">
        <f t="shared" si="30"/>
        <v>11.999999999999979</v>
      </c>
      <c r="AY63" s="2">
        <f t="shared" si="59"/>
        <v>-715.96999999999798</v>
      </c>
    </row>
    <row r="64" spans="14:51" x14ac:dyDescent="0.25">
      <c r="N64" s="10">
        <f t="shared" si="64"/>
        <v>18.300000000000022</v>
      </c>
      <c r="O64" s="10">
        <f t="shared" si="42"/>
        <v>1</v>
      </c>
      <c r="P64" s="10">
        <f t="shared" si="43"/>
        <v>0</v>
      </c>
      <c r="Q64" s="10">
        <f t="shared" si="44"/>
        <v>0</v>
      </c>
      <c r="R64" s="1">
        <f t="shared" si="45"/>
        <v>-1017.7299999999949</v>
      </c>
      <c r="S64" s="1">
        <f t="shared" si="46"/>
        <v>-2849.9999999999891</v>
      </c>
      <c r="T64" s="1">
        <f t="shared" si="47"/>
        <v>-4800</v>
      </c>
      <c r="U64" s="1">
        <f t="shared" si="48"/>
        <v>-1280</v>
      </c>
      <c r="V64" s="2">
        <f t="shared" si="60"/>
        <v>-562.79999999999723</v>
      </c>
      <c r="W64" s="3">
        <f t="shared" si="32"/>
        <v>-1.0100000000000016</v>
      </c>
      <c r="X64" s="3">
        <f t="shared" si="49"/>
        <v>4.300000000000022</v>
      </c>
      <c r="Y64" s="3">
        <f t="shared" si="50"/>
        <v>-1.0100000000000016</v>
      </c>
      <c r="Z64" s="3">
        <f t="shared" si="65"/>
        <v>-4.6899999999999764</v>
      </c>
      <c r="AA64" s="3">
        <f t="shared" si="21"/>
        <v>0</v>
      </c>
      <c r="AB64" s="3">
        <f t="shared" si="34"/>
        <v>-3</v>
      </c>
      <c r="AC64" s="3">
        <f t="shared" si="51"/>
        <v>0</v>
      </c>
      <c r="AD64" s="3">
        <f t="shared" si="52"/>
        <v>-3</v>
      </c>
      <c r="AE64" s="3">
        <f t="shared" si="35"/>
        <v>0</v>
      </c>
      <c r="AF64" s="3">
        <f t="shared" si="22"/>
        <v>0</v>
      </c>
      <c r="AG64" s="3">
        <f t="shared" si="36"/>
        <v>-0.8</v>
      </c>
      <c r="AH64" s="3">
        <f t="shared" si="53"/>
        <v>0</v>
      </c>
      <c r="AI64" s="3">
        <f t="shared" si="54"/>
        <v>-0.8</v>
      </c>
      <c r="AJ64" s="3">
        <f t="shared" si="23"/>
        <v>0</v>
      </c>
      <c r="AK64" s="3">
        <f t="shared" si="24"/>
        <v>0</v>
      </c>
      <c r="AL64" s="2">
        <f t="shared" si="61"/>
        <v>0</v>
      </c>
      <c r="AM64" s="2">
        <f t="shared" si="55"/>
        <v>0</v>
      </c>
      <c r="AN64" s="2">
        <f t="shared" si="37"/>
        <v>0</v>
      </c>
      <c r="AO64" s="2">
        <f t="shared" si="62"/>
        <v>-202.00000000000031</v>
      </c>
      <c r="AP64" s="2">
        <f t="shared" si="56"/>
        <v>-937.99999999999523</v>
      </c>
      <c r="AQ64" s="2">
        <f t="shared" si="63"/>
        <v>-562.79999999999723</v>
      </c>
      <c r="AR64" s="2">
        <f t="shared" si="38"/>
        <v>-1500.7999999999925</v>
      </c>
      <c r="AS64" s="2">
        <f t="shared" si="39"/>
        <v>241.20000000000073</v>
      </c>
      <c r="AT64" s="2">
        <f t="shared" si="29"/>
        <v>-1702.7999999999927</v>
      </c>
      <c r="AU64" s="1" t="e">
        <f t="shared" si="41"/>
        <v>#N/A</v>
      </c>
      <c r="AV64" s="2">
        <f t="shared" si="57"/>
        <v>30</v>
      </c>
      <c r="AW64" s="3">
        <f t="shared" si="58"/>
        <v>18.300000000000022</v>
      </c>
      <c r="AX64" s="3">
        <f t="shared" si="30"/>
        <v>11.699999999999978</v>
      </c>
      <c r="AY64" s="2">
        <f t="shared" si="59"/>
        <v>-685.06999999999778</v>
      </c>
    </row>
    <row r="65" spans="14:51" x14ac:dyDescent="0.25">
      <c r="N65" s="10">
        <f t="shared" si="64"/>
        <v>18.600000000000023</v>
      </c>
      <c r="O65" s="10">
        <f t="shared" si="42"/>
        <v>1</v>
      </c>
      <c r="P65" s="10">
        <f t="shared" si="43"/>
        <v>0</v>
      </c>
      <c r="Q65" s="10">
        <f t="shared" si="44"/>
        <v>0</v>
      </c>
      <c r="R65" s="1">
        <f t="shared" si="45"/>
        <v>-952.62999999999477</v>
      </c>
      <c r="S65" s="1">
        <f t="shared" si="46"/>
        <v>-2699.9999999999886</v>
      </c>
      <c r="T65" s="1">
        <f t="shared" si="47"/>
        <v>-4800</v>
      </c>
      <c r="U65" s="1">
        <f t="shared" si="48"/>
        <v>-1280</v>
      </c>
      <c r="V65" s="2">
        <f t="shared" si="60"/>
        <v>-526.79999999999711</v>
      </c>
      <c r="W65" s="3">
        <f t="shared" si="32"/>
        <v>-1.0100000000000016</v>
      </c>
      <c r="X65" s="3">
        <f t="shared" si="49"/>
        <v>4.6000000000000227</v>
      </c>
      <c r="Y65" s="3">
        <f t="shared" si="50"/>
        <v>-1.0100000000000016</v>
      </c>
      <c r="Z65" s="3">
        <f t="shared" si="65"/>
        <v>-4.3899999999999757</v>
      </c>
      <c r="AA65" s="3">
        <f t="shared" si="21"/>
        <v>0</v>
      </c>
      <c r="AB65" s="3">
        <f t="shared" si="34"/>
        <v>-3</v>
      </c>
      <c r="AC65" s="3">
        <f t="shared" si="51"/>
        <v>0</v>
      </c>
      <c r="AD65" s="3">
        <f t="shared" si="52"/>
        <v>-3</v>
      </c>
      <c r="AE65" s="3">
        <f t="shared" si="35"/>
        <v>0</v>
      </c>
      <c r="AF65" s="3">
        <f t="shared" si="22"/>
        <v>0</v>
      </c>
      <c r="AG65" s="3">
        <f t="shared" si="36"/>
        <v>-0.8</v>
      </c>
      <c r="AH65" s="3">
        <f t="shared" si="53"/>
        <v>0</v>
      </c>
      <c r="AI65" s="3">
        <f t="shared" si="54"/>
        <v>-0.8</v>
      </c>
      <c r="AJ65" s="3">
        <f t="shared" si="23"/>
        <v>0</v>
      </c>
      <c r="AK65" s="3">
        <f t="shared" si="24"/>
        <v>0</v>
      </c>
      <c r="AL65" s="2">
        <f t="shared" si="61"/>
        <v>0</v>
      </c>
      <c r="AM65" s="2">
        <f t="shared" si="55"/>
        <v>0</v>
      </c>
      <c r="AN65" s="2">
        <f t="shared" si="37"/>
        <v>0</v>
      </c>
      <c r="AO65" s="2">
        <f t="shared" si="62"/>
        <v>-202.00000000000031</v>
      </c>
      <c r="AP65" s="2">
        <f t="shared" si="56"/>
        <v>-877.99999999999511</v>
      </c>
      <c r="AQ65" s="2">
        <f t="shared" si="63"/>
        <v>-526.79999999999711</v>
      </c>
      <c r="AR65" s="2">
        <f t="shared" si="38"/>
        <v>-1404.7999999999922</v>
      </c>
      <c r="AS65" s="2">
        <f t="shared" si="39"/>
        <v>241.20000000000073</v>
      </c>
      <c r="AT65" s="2">
        <f t="shared" si="29"/>
        <v>-1606.7999999999925</v>
      </c>
      <c r="AU65" s="1" t="e">
        <f t="shared" ref="AU65:AU96" si="66">IF(AX65=MIN(AX$3:AX$103),AT65,NA())</f>
        <v>#N/A</v>
      </c>
      <c r="AV65" s="2">
        <f t="shared" si="57"/>
        <v>30</v>
      </c>
      <c r="AW65" s="3">
        <f t="shared" si="58"/>
        <v>18.600000000000023</v>
      </c>
      <c r="AX65" s="3">
        <f t="shared" si="30"/>
        <v>11.399999999999977</v>
      </c>
      <c r="AY65" s="2">
        <f t="shared" si="59"/>
        <v>-654.16999999999769</v>
      </c>
    </row>
    <row r="66" spans="14:51" x14ac:dyDescent="0.25">
      <c r="N66" s="10">
        <f t="shared" si="64"/>
        <v>18.900000000000023</v>
      </c>
      <c r="O66" s="10">
        <f t="shared" si="42"/>
        <v>1</v>
      </c>
      <c r="P66" s="10">
        <f t="shared" si="43"/>
        <v>0</v>
      </c>
      <c r="Q66" s="10">
        <f t="shared" si="44"/>
        <v>0</v>
      </c>
      <c r="R66" s="1">
        <f t="shared" si="45"/>
        <v>-887.52999999999452</v>
      </c>
      <c r="S66" s="1">
        <f t="shared" si="46"/>
        <v>-2549.9999999999882</v>
      </c>
      <c r="T66" s="1">
        <f t="shared" si="47"/>
        <v>-4800</v>
      </c>
      <c r="U66" s="1">
        <f t="shared" si="48"/>
        <v>-1280</v>
      </c>
      <c r="V66" s="2">
        <f t="shared" si="60"/>
        <v>-490.799999999997</v>
      </c>
      <c r="W66" s="3">
        <f t="shared" si="32"/>
        <v>-1.0100000000000016</v>
      </c>
      <c r="X66" s="3">
        <f t="shared" si="49"/>
        <v>4.9000000000000234</v>
      </c>
      <c r="Y66" s="3">
        <f t="shared" si="50"/>
        <v>-1.0100000000000016</v>
      </c>
      <c r="Z66" s="3">
        <f t="shared" si="65"/>
        <v>-4.089999999999975</v>
      </c>
      <c r="AA66" s="3">
        <f t="shared" si="21"/>
        <v>0</v>
      </c>
      <c r="AB66" s="3">
        <f t="shared" si="34"/>
        <v>-3</v>
      </c>
      <c r="AC66" s="3">
        <f t="shared" si="51"/>
        <v>0</v>
      </c>
      <c r="AD66" s="3">
        <f t="shared" si="52"/>
        <v>-3</v>
      </c>
      <c r="AE66" s="3">
        <f t="shared" si="35"/>
        <v>0</v>
      </c>
      <c r="AF66" s="3">
        <f t="shared" si="22"/>
        <v>0</v>
      </c>
      <c r="AG66" s="3">
        <f t="shared" si="36"/>
        <v>-0.8</v>
      </c>
      <c r="AH66" s="3">
        <f t="shared" si="53"/>
        <v>0</v>
      </c>
      <c r="AI66" s="3">
        <f t="shared" si="54"/>
        <v>-0.8</v>
      </c>
      <c r="AJ66" s="3">
        <f t="shared" si="23"/>
        <v>0</v>
      </c>
      <c r="AK66" s="3">
        <f t="shared" si="24"/>
        <v>0</v>
      </c>
      <c r="AL66" s="2">
        <f t="shared" si="61"/>
        <v>0</v>
      </c>
      <c r="AM66" s="2">
        <f t="shared" si="55"/>
        <v>0</v>
      </c>
      <c r="AN66" s="2">
        <f t="shared" si="37"/>
        <v>0</v>
      </c>
      <c r="AO66" s="2">
        <f t="shared" si="62"/>
        <v>-202.00000000000031</v>
      </c>
      <c r="AP66" s="2">
        <f t="shared" si="56"/>
        <v>-817.999999999995</v>
      </c>
      <c r="AQ66" s="2">
        <f t="shared" si="63"/>
        <v>-490.799999999997</v>
      </c>
      <c r="AR66" s="2">
        <f t="shared" si="38"/>
        <v>-1308.799999999992</v>
      </c>
      <c r="AS66" s="2">
        <f t="shared" si="39"/>
        <v>241.20000000000073</v>
      </c>
      <c r="AT66" s="2">
        <f t="shared" si="29"/>
        <v>-1510.7999999999922</v>
      </c>
      <c r="AU66" s="1" t="e">
        <f t="shared" si="66"/>
        <v>#N/A</v>
      </c>
      <c r="AV66" s="2">
        <f t="shared" si="57"/>
        <v>30</v>
      </c>
      <c r="AW66" s="3">
        <f t="shared" si="58"/>
        <v>18.900000000000023</v>
      </c>
      <c r="AX66" s="3">
        <f t="shared" si="30"/>
        <v>11.099999999999977</v>
      </c>
      <c r="AY66" s="2">
        <f t="shared" si="59"/>
        <v>-623.26999999999771</v>
      </c>
    </row>
    <row r="67" spans="14:51" x14ac:dyDescent="0.25">
      <c r="N67" s="10">
        <f t="shared" si="64"/>
        <v>19.200000000000024</v>
      </c>
      <c r="O67" s="10">
        <f t="shared" ref="O67:O98" si="67">IF(N67&gt;=strike1,1,0)</f>
        <v>1</v>
      </c>
      <c r="P67" s="10">
        <f t="shared" ref="P67:P103" si="68">IF(N67&gt;=strike2,1,0)</f>
        <v>0</v>
      </c>
      <c r="Q67" s="10">
        <f t="shared" ref="Q67:Q103" si="69">IF(N67&gt;=strike3,1,0)</f>
        <v>0</v>
      </c>
      <c r="R67" s="1">
        <f t="shared" ref="R67:R98" si="70">fullStockAllocation*(N67-stockPx)</f>
        <v>-822.42999999999438</v>
      </c>
      <c r="S67" s="1">
        <f t="shared" ref="S67:S103" si="71">IF($N67&lt;strike1,-fullOption1*option1Px*contract1Size,($N67-strike1-option1Px)*fullOption1*contract1Size)</f>
        <v>-2399.9999999999877</v>
      </c>
      <c r="T67" s="1">
        <f t="shared" ref="T67:T103" si="72">IF($N67&lt;strike2,-fullOption2*option2Px*100,($N67-strike2-option2Px)*fullOption2*contract2Size)</f>
        <v>-4800</v>
      </c>
      <c r="U67" s="1">
        <f t="shared" ref="U67:U103" si="73">IF($N67&lt;strike3,-fullOption3*option3Px*100,($N67-strike3-option3Px)*fullOption3*contract3Size)</f>
        <v>-1280</v>
      </c>
      <c r="V67" s="2">
        <f t="shared" si="60"/>
        <v>-454.79999999999688</v>
      </c>
      <c r="W67" s="3">
        <f t="shared" si="32"/>
        <v>-1.0100000000000016</v>
      </c>
      <c r="X67" s="3">
        <f t="shared" ref="X67:X103" si="74">IF(N67&lt;strike1,0,$N67-strike1)</f>
        <v>5.2000000000000242</v>
      </c>
      <c r="Y67" s="3">
        <f t="shared" ref="Y67:Y98" si="75">IF($N67&lt;strike1,W67+(X67-$E$17),W67)</f>
        <v>-1.0100000000000016</v>
      </c>
      <c r="Z67" s="3">
        <f t="shared" si="65"/>
        <v>-3.7899999999999743</v>
      </c>
      <c r="AA67" s="3">
        <f t="shared" si="21"/>
        <v>0</v>
      </c>
      <c r="AB67" s="3">
        <f t="shared" si="34"/>
        <v>-3</v>
      </c>
      <c r="AC67" s="3">
        <f t="shared" ref="AC67:AC103" si="76">IF($N67&lt;strike2,0,($N67-strike2))</f>
        <v>0</v>
      </c>
      <c r="AD67" s="3">
        <f t="shared" ref="AD67:AD98" si="77">IF($N67&lt;strike2,AB67+(AC67-$H$17),AB67)</f>
        <v>-3</v>
      </c>
      <c r="AE67" s="3">
        <f t="shared" si="35"/>
        <v>0</v>
      </c>
      <c r="AF67" s="3">
        <f t="shared" si="22"/>
        <v>0</v>
      </c>
      <c r="AG67" s="3">
        <f t="shared" si="36"/>
        <v>-0.8</v>
      </c>
      <c r="AH67" s="3">
        <f t="shared" ref="AH67:AH103" si="78">IF($N67&lt;strike3,0,($N67-strike3))</f>
        <v>0</v>
      </c>
      <c r="AI67" s="3">
        <f t="shared" ref="AI67:AI98" si="79">IF($N67&lt;strike3,AG67+(AH67-$K$17),AG67)</f>
        <v>-0.8</v>
      </c>
      <c r="AJ67" s="3">
        <f t="shared" si="23"/>
        <v>0</v>
      </c>
      <c r="AK67" s="3">
        <f t="shared" si="24"/>
        <v>0</v>
      </c>
      <c r="AL67" s="2">
        <f t="shared" si="61"/>
        <v>0</v>
      </c>
      <c r="AM67" s="2">
        <f t="shared" ref="AM67:AM103" si="80">AA67*contract1Size*option1Position+AF67*contract2Size*option2Position+AK67*contract3Size*option3Position</f>
        <v>0</v>
      </c>
      <c r="AN67" s="2">
        <f t="shared" si="37"/>
        <v>0</v>
      </c>
      <c r="AO67" s="2">
        <f t="shared" si="62"/>
        <v>-202.00000000000031</v>
      </c>
      <c r="AP67" s="2">
        <f t="shared" ref="AP67:AP103" si="81">Z67*contract1Size*option1Position+AE67*contract2Size*option2Position+AJ67*contract3Size*option3Position</f>
        <v>-757.99999999999488</v>
      </c>
      <c r="AQ67" s="2">
        <f t="shared" si="63"/>
        <v>-454.79999999999688</v>
      </c>
      <c r="AR67" s="2">
        <f t="shared" si="38"/>
        <v>-1212.7999999999918</v>
      </c>
      <c r="AS67" s="2">
        <f t="shared" si="39"/>
        <v>241.20000000000073</v>
      </c>
      <c r="AT67" s="2">
        <f t="shared" si="29"/>
        <v>-1414.799999999992</v>
      </c>
      <c r="AU67" s="1" t="e">
        <f t="shared" si="66"/>
        <v>#N/A</v>
      </c>
      <c r="AV67" s="2">
        <f t="shared" ref="AV67:AV103" si="82">presentPrice</f>
        <v>30</v>
      </c>
      <c r="AW67" s="3">
        <f t="shared" ref="AW67:AW103" si="83">N67+N$3</f>
        <v>19.200000000000024</v>
      </c>
      <c r="AX67" s="3">
        <f t="shared" si="30"/>
        <v>10.799999999999976</v>
      </c>
      <c r="AY67" s="2">
        <f t="shared" ref="AY67:AY103" si="84">AT67-R67</f>
        <v>-592.36999999999762</v>
      </c>
    </row>
    <row r="68" spans="14:51" x14ac:dyDescent="0.25">
      <c r="N68" s="10">
        <f t="shared" si="64"/>
        <v>19.500000000000025</v>
      </c>
      <c r="O68" s="10">
        <f t="shared" si="67"/>
        <v>1</v>
      </c>
      <c r="P68" s="10">
        <f t="shared" si="68"/>
        <v>0</v>
      </c>
      <c r="Q68" s="10">
        <f t="shared" si="69"/>
        <v>0</v>
      </c>
      <c r="R68" s="1">
        <f t="shared" si="70"/>
        <v>-757.32999999999424</v>
      </c>
      <c r="S68" s="1">
        <f t="shared" si="71"/>
        <v>-2249.9999999999877</v>
      </c>
      <c r="T68" s="1">
        <f t="shared" si="72"/>
        <v>-4800</v>
      </c>
      <c r="U68" s="1">
        <f t="shared" si="73"/>
        <v>-1280</v>
      </c>
      <c r="V68" s="2">
        <f t="shared" ref="V68:V103" si="85">sharesOwned*(N68-stockPx)</f>
        <v>-418.79999999999683</v>
      </c>
      <c r="W68" s="3">
        <f t="shared" si="32"/>
        <v>-1.0100000000000016</v>
      </c>
      <c r="X68" s="3">
        <f t="shared" si="74"/>
        <v>5.5000000000000249</v>
      </c>
      <c r="Y68" s="3">
        <f t="shared" si="75"/>
        <v>-1.0100000000000016</v>
      </c>
      <c r="Z68" s="3">
        <f t="shared" si="65"/>
        <v>-3.4899999999999736</v>
      </c>
      <c r="AA68" s="3">
        <f t="shared" ref="AA68:AA103" si="86">IF(X68&gt;$E$17,X68-$E$17,0)</f>
        <v>0</v>
      </c>
      <c r="AB68" s="3">
        <f t="shared" si="34"/>
        <v>-3</v>
      </c>
      <c r="AC68" s="3">
        <f t="shared" si="76"/>
        <v>0</v>
      </c>
      <c r="AD68" s="3">
        <f t="shared" si="77"/>
        <v>-3</v>
      </c>
      <c r="AE68" s="3">
        <f t="shared" si="35"/>
        <v>0</v>
      </c>
      <c r="AF68" s="3">
        <f t="shared" ref="AF68:AF103" si="87">IF(AC68&gt;$H$17,AC68-$H$17,0)</f>
        <v>0</v>
      </c>
      <c r="AG68" s="3">
        <f t="shared" si="36"/>
        <v>-0.8</v>
      </c>
      <c r="AH68" s="3">
        <f t="shared" si="78"/>
        <v>0</v>
      </c>
      <c r="AI68" s="3">
        <f t="shared" si="79"/>
        <v>-0.8</v>
      </c>
      <c r="AJ68" s="3">
        <f t="shared" ref="AJ68:AJ103" si="88">IF(Q69=1,IF(AH68&lt;=$K$17,AH68-$K$17,0),0)</f>
        <v>0</v>
      </c>
      <c r="AK68" s="3">
        <f t="shared" ref="AK68:AK103" si="89">IF(AH68&gt;$K$17,AH68-$K$17,0)</f>
        <v>0</v>
      </c>
      <c r="AL68" s="2">
        <f t="shared" ref="AL68:AL103" si="90">IF(V68&lt;0,0,V68)</f>
        <v>0</v>
      </c>
      <c r="AM68" s="2">
        <f t="shared" si="80"/>
        <v>0</v>
      </c>
      <c r="AN68" s="2">
        <f t="shared" si="37"/>
        <v>0</v>
      </c>
      <c r="AO68" s="2">
        <f t="shared" ref="AO68:AO103" si="91">Y68*contract1Size*option1Position+AD68*contract2Size*option2Position+AI68*contract3Size*option3Position</f>
        <v>-202.00000000000031</v>
      </c>
      <c r="AP68" s="2">
        <f t="shared" si="81"/>
        <v>-697.99999999999477</v>
      </c>
      <c r="AQ68" s="2">
        <f t="shared" ref="AQ68:AQ103" si="92">IF(N68&lt;stockPx,($N68-stockPx)*sharesOwned,0)</f>
        <v>-418.79999999999683</v>
      </c>
      <c r="AR68" s="2">
        <f t="shared" si="38"/>
        <v>-1116.7999999999915</v>
      </c>
      <c r="AS68" s="2">
        <f t="shared" si="39"/>
        <v>241.20000000000073</v>
      </c>
      <c r="AT68" s="2">
        <f t="shared" ref="AT68:AT102" si="93">AO68+AN68+AR68</f>
        <v>-1318.7999999999918</v>
      </c>
      <c r="AU68" s="1" t="e">
        <f t="shared" si="66"/>
        <v>#N/A</v>
      </c>
      <c r="AV68" s="2">
        <f t="shared" si="82"/>
        <v>30</v>
      </c>
      <c r="AW68" s="3">
        <f t="shared" si="83"/>
        <v>19.500000000000025</v>
      </c>
      <c r="AX68" s="3">
        <f t="shared" ref="AX68:AX103" si="94">ABS(AV68-AW68)</f>
        <v>10.499999999999975</v>
      </c>
      <c r="AY68" s="2">
        <f t="shared" si="84"/>
        <v>-561.46999999999753</v>
      </c>
    </row>
    <row r="69" spans="14:51" x14ac:dyDescent="0.25">
      <c r="N69" s="10">
        <f t="shared" ref="N69:N102" si="95">N68+N$4</f>
        <v>19.800000000000026</v>
      </c>
      <c r="O69" s="10">
        <f t="shared" si="67"/>
        <v>1</v>
      </c>
      <c r="P69" s="10">
        <f t="shared" si="68"/>
        <v>0</v>
      </c>
      <c r="Q69" s="10">
        <f t="shared" si="69"/>
        <v>0</v>
      </c>
      <c r="R69" s="1">
        <f t="shared" si="70"/>
        <v>-692.22999999999411</v>
      </c>
      <c r="S69" s="1">
        <f t="shared" si="71"/>
        <v>-2099.9999999999873</v>
      </c>
      <c r="T69" s="1">
        <f t="shared" si="72"/>
        <v>-4800</v>
      </c>
      <c r="U69" s="1">
        <f t="shared" si="73"/>
        <v>-1280</v>
      </c>
      <c r="V69" s="2">
        <f t="shared" si="85"/>
        <v>-382.79999999999677</v>
      </c>
      <c r="W69" s="3">
        <f t="shared" ref="W69:W103" si="96">W68</f>
        <v>-1.0100000000000016</v>
      </c>
      <c r="X69" s="3">
        <f t="shared" si="74"/>
        <v>5.8000000000000256</v>
      </c>
      <c r="Y69" s="3">
        <f t="shared" si="75"/>
        <v>-1.0100000000000016</v>
      </c>
      <c r="Z69" s="3">
        <f t="shared" si="65"/>
        <v>-3.1899999999999729</v>
      </c>
      <c r="AA69" s="3">
        <f t="shared" si="86"/>
        <v>0</v>
      </c>
      <c r="AB69" s="3">
        <f t="shared" ref="AB69:AB103" si="97">AB68</f>
        <v>-3</v>
      </c>
      <c r="AC69" s="3">
        <f t="shared" si="76"/>
        <v>0</v>
      </c>
      <c r="AD69" s="3">
        <f t="shared" si="77"/>
        <v>-3</v>
      </c>
      <c r="AE69" s="3">
        <f t="shared" ref="AE69:AE103" si="98">IF(P69=1,IF(AC69&lt;=$H$17,AC69-$H$17,0),0)</f>
        <v>0</v>
      </c>
      <c r="AF69" s="3">
        <f t="shared" si="87"/>
        <v>0</v>
      </c>
      <c r="AG69" s="3">
        <f t="shared" ref="AG69:AG103" si="99">AG68</f>
        <v>-0.8</v>
      </c>
      <c r="AH69" s="3">
        <f t="shared" si="78"/>
        <v>0</v>
      </c>
      <c r="AI69" s="3">
        <f t="shared" si="79"/>
        <v>-0.8</v>
      </c>
      <c r="AJ69" s="3">
        <f t="shared" si="88"/>
        <v>0</v>
      </c>
      <c r="AK69" s="3">
        <f t="shared" si="89"/>
        <v>0</v>
      </c>
      <c r="AL69" s="2">
        <f t="shared" si="90"/>
        <v>0</v>
      </c>
      <c r="AM69" s="2">
        <f t="shared" si="80"/>
        <v>0</v>
      </c>
      <c r="AN69" s="2">
        <f t="shared" ref="AN69:AN102" si="100">AL69+AM69</f>
        <v>0</v>
      </c>
      <c r="AO69" s="2">
        <f t="shared" si="91"/>
        <v>-202.00000000000031</v>
      </c>
      <c r="AP69" s="2">
        <f t="shared" si="81"/>
        <v>-637.99999999999454</v>
      </c>
      <c r="AQ69" s="2">
        <f t="shared" si="92"/>
        <v>-382.79999999999677</v>
      </c>
      <c r="AR69" s="2">
        <f t="shared" ref="AR69:AR103" si="101">AP69+AQ69</f>
        <v>-1020.7999999999913</v>
      </c>
      <c r="AS69" s="2">
        <f t="shared" ref="AS69:AS102" si="102">AS68</f>
        <v>241.20000000000073</v>
      </c>
      <c r="AT69" s="2">
        <f t="shared" si="93"/>
        <v>-1222.7999999999915</v>
      </c>
      <c r="AU69" s="1" t="e">
        <f t="shared" si="66"/>
        <v>#N/A</v>
      </c>
      <c r="AV69" s="2">
        <f t="shared" si="82"/>
        <v>30</v>
      </c>
      <c r="AW69" s="3">
        <f t="shared" si="83"/>
        <v>19.800000000000026</v>
      </c>
      <c r="AX69" s="3">
        <f t="shared" si="94"/>
        <v>10.199999999999974</v>
      </c>
      <c r="AY69" s="2">
        <f t="shared" si="84"/>
        <v>-530.56999999999744</v>
      </c>
    </row>
    <row r="70" spans="14:51" x14ac:dyDescent="0.25">
      <c r="N70" s="10">
        <f t="shared" si="95"/>
        <v>20.100000000000026</v>
      </c>
      <c r="O70" s="10">
        <f t="shared" si="67"/>
        <v>1</v>
      </c>
      <c r="P70" s="10">
        <f t="shared" si="68"/>
        <v>0</v>
      </c>
      <c r="Q70" s="10">
        <f t="shared" si="69"/>
        <v>0</v>
      </c>
      <c r="R70" s="1">
        <f t="shared" si="70"/>
        <v>-627.12999999999397</v>
      </c>
      <c r="S70" s="1">
        <f t="shared" si="71"/>
        <v>-1949.9999999999868</v>
      </c>
      <c r="T70" s="1">
        <f t="shared" si="72"/>
        <v>-4800</v>
      </c>
      <c r="U70" s="1">
        <f t="shared" si="73"/>
        <v>-1280</v>
      </c>
      <c r="V70" s="2">
        <f t="shared" si="85"/>
        <v>-346.79999999999666</v>
      </c>
      <c r="W70" s="3">
        <f t="shared" si="96"/>
        <v>-1.0100000000000016</v>
      </c>
      <c r="X70" s="3">
        <f t="shared" si="74"/>
        <v>6.1000000000000263</v>
      </c>
      <c r="Y70" s="3">
        <f t="shared" si="75"/>
        <v>-1.0100000000000016</v>
      </c>
      <c r="Z70" s="3">
        <f t="shared" si="65"/>
        <v>-2.8899999999999721</v>
      </c>
      <c r="AA70" s="3">
        <f t="shared" si="86"/>
        <v>0</v>
      </c>
      <c r="AB70" s="3">
        <f t="shared" si="97"/>
        <v>-3</v>
      </c>
      <c r="AC70" s="3">
        <f t="shared" si="76"/>
        <v>0</v>
      </c>
      <c r="AD70" s="3">
        <f t="shared" si="77"/>
        <v>-3</v>
      </c>
      <c r="AE70" s="3">
        <f t="shared" si="98"/>
        <v>0</v>
      </c>
      <c r="AF70" s="3">
        <f t="shared" si="87"/>
        <v>0</v>
      </c>
      <c r="AG70" s="3">
        <f t="shared" si="99"/>
        <v>-0.8</v>
      </c>
      <c r="AH70" s="3">
        <f t="shared" si="78"/>
        <v>0</v>
      </c>
      <c r="AI70" s="3">
        <f t="shared" si="79"/>
        <v>-0.8</v>
      </c>
      <c r="AJ70" s="3">
        <f t="shared" si="88"/>
        <v>0</v>
      </c>
      <c r="AK70" s="3">
        <f t="shared" si="89"/>
        <v>0</v>
      </c>
      <c r="AL70" s="2">
        <f t="shared" si="90"/>
        <v>0</v>
      </c>
      <c r="AM70" s="2">
        <f t="shared" si="80"/>
        <v>0</v>
      </c>
      <c r="AN70" s="2">
        <f t="shared" si="100"/>
        <v>0</v>
      </c>
      <c r="AO70" s="2">
        <f t="shared" si="91"/>
        <v>-202.00000000000031</v>
      </c>
      <c r="AP70" s="2">
        <f t="shared" si="81"/>
        <v>-577.99999999999443</v>
      </c>
      <c r="AQ70" s="2">
        <f t="shared" si="92"/>
        <v>-346.79999999999666</v>
      </c>
      <c r="AR70" s="2">
        <f t="shared" si="101"/>
        <v>-924.79999999999109</v>
      </c>
      <c r="AS70" s="2">
        <f t="shared" si="102"/>
        <v>241.20000000000073</v>
      </c>
      <c r="AT70" s="2">
        <f t="shared" si="93"/>
        <v>-1126.7999999999913</v>
      </c>
      <c r="AU70" s="1" t="e">
        <f t="shared" si="66"/>
        <v>#N/A</v>
      </c>
      <c r="AV70" s="2">
        <f t="shared" si="82"/>
        <v>30</v>
      </c>
      <c r="AW70" s="3">
        <f t="shared" si="83"/>
        <v>20.100000000000026</v>
      </c>
      <c r="AX70" s="3">
        <f t="shared" si="94"/>
        <v>9.8999999999999737</v>
      </c>
      <c r="AY70" s="2">
        <f t="shared" si="84"/>
        <v>-499.66999999999734</v>
      </c>
    </row>
    <row r="71" spans="14:51" x14ac:dyDescent="0.25">
      <c r="N71" s="10">
        <f t="shared" si="95"/>
        <v>20.400000000000027</v>
      </c>
      <c r="O71" s="10">
        <f t="shared" si="67"/>
        <v>1</v>
      </c>
      <c r="P71" s="10">
        <f t="shared" si="68"/>
        <v>0</v>
      </c>
      <c r="Q71" s="10">
        <f t="shared" si="69"/>
        <v>0</v>
      </c>
      <c r="R71" s="1">
        <f t="shared" si="70"/>
        <v>-562.02999999999383</v>
      </c>
      <c r="S71" s="1">
        <f t="shared" si="71"/>
        <v>-1799.9999999999866</v>
      </c>
      <c r="T71" s="1">
        <f t="shared" si="72"/>
        <v>-4800</v>
      </c>
      <c r="U71" s="1">
        <f t="shared" si="73"/>
        <v>-1280</v>
      </c>
      <c r="V71" s="2">
        <f t="shared" si="85"/>
        <v>-310.79999999999654</v>
      </c>
      <c r="W71" s="3">
        <f t="shared" si="96"/>
        <v>-1.0100000000000016</v>
      </c>
      <c r="X71" s="3">
        <f t="shared" si="74"/>
        <v>6.400000000000027</v>
      </c>
      <c r="Y71" s="3">
        <f t="shared" si="75"/>
        <v>-1.0100000000000016</v>
      </c>
      <c r="Z71" s="3">
        <f t="shared" si="65"/>
        <v>-2.5899999999999714</v>
      </c>
      <c r="AA71" s="3">
        <f t="shared" si="86"/>
        <v>0</v>
      </c>
      <c r="AB71" s="3">
        <f t="shared" si="97"/>
        <v>-3</v>
      </c>
      <c r="AC71" s="3">
        <f t="shared" si="76"/>
        <v>0</v>
      </c>
      <c r="AD71" s="3">
        <f t="shared" si="77"/>
        <v>-3</v>
      </c>
      <c r="AE71" s="3">
        <f t="shared" si="98"/>
        <v>0</v>
      </c>
      <c r="AF71" s="3">
        <f t="shared" si="87"/>
        <v>0</v>
      </c>
      <c r="AG71" s="3">
        <f t="shared" si="99"/>
        <v>-0.8</v>
      </c>
      <c r="AH71" s="3">
        <f t="shared" si="78"/>
        <v>0</v>
      </c>
      <c r="AI71" s="3">
        <f t="shared" si="79"/>
        <v>-0.8</v>
      </c>
      <c r="AJ71" s="3">
        <f t="shared" si="88"/>
        <v>0</v>
      </c>
      <c r="AK71" s="3">
        <f t="shared" si="89"/>
        <v>0</v>
      </c>
      <c r="AL71" s="2">
        <f t="shared" si="90"/>
        <v>0</v>
      </c>
      <c r="AM71" s="2">
        <f t="shared" si="80"/>
        <v>0</v>
      </c>
      <c r="AN71" s="2">
        <f t="shared" si="100"/>
        <v>0</v>
      </c>
      <c r="AO71" s="2">
        <f t="shared" si="91"/>
        <v>-202.00000000000031</v>
      </c>
      <c r="AP71" s="2">
        <f t="shared" si="81"/>
        <v>-517.99999999999432</v>
      </c>
      <c r="AQ71" s="2">
        <f t="shared" si="92"/>
        <v>-310.79999999999654</v>
      </c>
      <c r="AR71" s="2">
        <f t="shared" si="101"/>
        <v>-828.79999999999086</v>
      </c>
      <c r="AS71" s="2">
        <f t="shared" si="102"/>
        <v>241.20000000000073</v>
      </c>
      <c r="AT71" s="2">
        <f t="shared" si="93"/>
        <v>-1030.7999999999911</v>
      </c>
      <c r="AU71" s="1" t="e">
        <f t="shared" si="66"/>
        <v>#N/A</v>
      </c>
      <c r="AV71" s="2">
        <f t="shared" si="82"/>
        <v>30</v>
      </c>
      <c r="AW71" s="3">
        <f t="shared" si="83"/>
        <v>20.400000000000027</v>
      </c>
      <c r="AX71" s="3">
        <f t="shared" si="94"/>
        <v>9.599999999999973</v>
      </c>
      <c r="AY71" s="2">
        <f t="shared" si="84"/>
        <v>-468.76999999999725</v>
      </c>
    </row>
    <row r="72" spans="14:51" x14ac:dyDescent="0.25">
      <c r="N72" s="10">
        <f t="shared" si="95"/>
        <v>20.700000000000028</v>
      </c>
      <c r="O72" s="10">
        <f t="shared" si="67"/>
        <v>1</v>
      </c>
      <c r="P72" s="10">
        <f t="shared" si="68"/>
        <v>0</v>
      </c>
      <c r="Q72" s="10">
        <f t="shared" si="69"/>
        <v>0</v>
      </c>
      <c r="R72" s="1">
        <f t="shared" si="70"/>
        <v>-496.92999999999364</v>
      </c>
      <c r="S72" s="1">
        <f t="shared" si="71"/>
        <v>-1649.9999999999861</v>
      </c>
      <c r="T72" s="1">
        <f t="shared" si="72"/>
        <v>-4800</v>
      </c>
      <c r="U72" s="1">
        <f t="shared" si="73"/>
        <v>-1280</v>
      </c>
      <c r="V72" s="2">
        <f t="shared" si="85"/>
        <v>-274.79999999999649</v>
      </c>
      <c r="W72" s="3">
        <f t="shared" si="96"/>
        <v>-1.0100000000000016</v>
      </c>
      <c r="X72" s="3">
        <f t="shared" si="74"/>
        <v>6.7000000000000277</v>
      </c>
      <c r="Y72" s="3">
        <f t="shared" si="75"/>
        <v>-1.0100000000000016</v>
      </c>
      <c r="Z72" s="3">
        <f t="shared" si="65"/>
        <v>-2.2899999999999707</v>
      </c>
      <c r="AA72" s="3">
        <f t="shared" si="86"/>
        <v>0</v>
      </c>
      <c r="AB72" s="3">
        <f t="shared" si="97"/>
        <v>-3</v>
      </c>
      <c r="AC72" s="3">
        <f t="shared" si="76"/>
        <v>0</v>
      </c>
      <c r="AD72" s="3">
        <f t="shared" si="77"/>
        <v>-3</v>
      </c>
      <c r="AE72" s="3">
        <f t="shared" si="98"/>
        <v>0</v>
      </c>
      <c r="AF72" s="3">
        <f t="shared" si="87"/>
        <v>0</v>
      </c>
      <c r="AG72" s="3">
        <f t="shared" si="99"/>
        <v>-0.8</v>
      </c>
      <c r="AH72" s="3">
        <f t="shared" si="78"/>
        <v>0</v>
      </c>
      <c r="AI72" s="3">
        <f t="shared" si="79"/>
        <v>-0.8</v>
      </c>
      <c r="AJ72" s="3">
        <f t="shared" si="88"/>
        <v>0</v>
      </c>
      <c r="AK72" s="3">
        <f t="shared" si="89"/>
        <v>0</v>
      </c>
      <c r="AL72" s="2">
        <f t="shared" si="90"/>
        <v>0</v>
      </c>
      <c r="AM72" s="2">
        <f t="shared" si="80"/>
        <v>0</v>
      </c>
      <c r="AN72" s="2">
        <f t="shared" si="100"/>
        <v>0</v>
      </c>
      <c r="AO72" s="2">
        <f t="shared" si="91"/>
        <v>-202.00000000000031</v>
      </c>
      <c r="AP72" s="2">
        <f t="shared" si="81"/>
        <v>-457.99999999999415</v>
      </c>
      <c r="AQ72" s="2">
        <f t="shared" si="92"/>
        <v>-274.79999999999649</v>
      </c>
      <c r="AR72" s="2">
        <f t="shared" si="101"/>
        <v>-732.79999999999063</v>
      </c>
      <c r="AS72" s="2">
        <f t="shared" si="102"/>
        <v>241.20000000000073</v>
      </c>
      <c r="AT72" s="2">
        <f t="shared" si="93"/>
        <v>-934.79999999999097</v>
      </c>
      <c r="AU72" s="1" t="e">
        <f t="shared" si="66"/>
        <v>#N/A</v>
      </c>
      <c r="AV72" s="2">
        <f t="shared" si="82"/>
        <v>30</v>
      </c>
      <c r="AW72" s="3">
        <f t="shared" si="83"/>
        <v>20.700000000000028</v>
      </c>
      <c r="AX72" s="3">
        <f t="shared" si="94"/>
        <v>9.2999999999999723</v>
      </c>
      <c r="AY72" s="2">
        <f t="shared" si="84"/>
        <v>-437.86999999999733</v>
      </c>
    </row>
    <row r="73" spans="14:51" x14ac:dyDescent="0.25">
      <c r="N73" s="10">
        <f t="shared" si="95"/>
        <v>21.000000000000028</v>
      </c>
      <c r="O73" s="10">
        <f t="shared" si="67"/>
        <v>1</v>
      </c>
      <c r="P73" s="10">
        <f t="shared" si="68"/>
        <v>0</v>
      </c>
      <c r="Q73" s="10">
        <f t="shared" si="69"/>
        <v>0</v>
      </c>
      <c r="R73" s="1">
        <f t="shared" si="70"/>
        <v>-431.8299999999935</v>
      </c>
      <c r="S73" s="1">
        <f t="shared" si="71"/>
        <v>-1499.9999999999859</v>
      </c>
      <c r="T73" s="1">
        <f t="shared" si="72"/>
        <v>-4800</v>
      </c>
      <c r="U73" s="1">
        <f t="shared" si="73"/>
        <v>-1280</v>
      </c>
      <c r="V73" s="2">
        <f t="shared" si="85"/>
        <v>-238.7999999999964</v>
      </c>
      <c r="W73" s="3">
        <f t="shared" si="96"/>
        <v>-1.0100000000000016</v>
      </c>
      <c r="X73" s="3">
        <f t="shared" si="74"/>
        <v>7.0000000000000284</v>
      </c>
      <c r="Y73" s="3">
        <f t="shared" si="75"/>
        <v>-1.0100000000000016</v>
      </c>
      <c r="Z73" s="3">
        <f t="shared" si="65"/>
        <v>-1.98999999999997</v>
      </c>
      <c r="AA73" s="3">
        <f t="shared" si="86"/>
        <v>0</v>
      </c>
      <c r="AB73" s="3">
        <f t="shared" si="97"/>
        <v>-3</v>
      </c>
      <c r="AC73" s="3">
        <f t="shared" si="76"/>
        <v>0</v>
      </c>
      <c r="AD73" s="3">
        <f t="shared" si="77"/>
        <v>-3</v>
      </c>
      <c r="AE73" s="3">
        <f t="shared" si="98"/>
        <v>0</v>
      </c>
      <c r="AF73" s="3">
        <f t="shared" si="87"/>
        <v>0</v>
      </c>
      <c r="AG73" s="3">
        <f t="shared" si="99"/>
        <v>-0.8</v>
      </c>
      <c r="AH73" s="3">
        <f t="shared" si="78"/>
        <v>0</v>
      </c>
      <c r="AI73" s="3">
        <f t="shared" si="79"/>
        <v>-0.8</v>
      </c>
      <c r="AJ73" s="3">
        <f t="shared" si="88"/>
        <v>0</v>
      </c>
      <c r="AK73" s="3">
        <f t="shared" si="89"/>
        <v>0</v>
      </c>
      <c r="AL73" s="2">
        <f t="shared" si="90"/>
        <v>0</v>
      </c>
      <c r="AM73" s="2">
        <f t="shared" si="80"/>
        <v>0</v>
      </c>
      <c r="AN73" s="2">
        <f t="shared" si="100"/>
        <v>0</v>
      </c>
      <c r="AO73" s="2">
        <f t="shared" si="91"/>
        <v>-202.00000000000031</v>
      </c>
      <c r="AP73" s="2">
        <f t="shared" si="81"/>
        <v>-397.99999999999397</v>
      </c>
      <c r="AQ73" s="2">
        <f t="shared" si="92"/>
        <v>-238.7999999999964</v>
      </c>
      <c r="AR73" s="2">
        <f t="shared" si="101"/>
        <v>-636.7999999999904</v>
      </c>
      <c r="AS73" s="2">
        <f t="shared" si="102"/>
        <v>241.20000000000073</v>
      </c>
      <c r="AT73" s="2">
        <f t="shared" si="93"/>
        <v>-838.79999999999075</v>
      </c>
      <c r="AU73" s="1" t="e">
        <f t="shared" si="66"/>
        <v>#N/A</v>
      </c>
      <c r="AV73" s="2">
        <f t="shared" si="82"/>
        <v>30</v>
      </c>
      <c r="AW73" s="3">
        <f t="shared" si="83"/>
        <v>21.000000000000028</v>
      </c>
      <c r="AX73" s="3">
        <f t="shared" si="94"/>
        <v>8.9999999999999716</v>
      </c>
      <c r="AY73" s="2">
        <f t="shared" si="84"/>
        <v>-406.96999999999724</v>
      </c>
    </row>
    <row r="74" spans="14:51" x14ac:dyDescent="0.25">
      <c r="N74" s="10">
        <f t="shared" si="95"/>
        <v>21.300000000000029</v>
      </c>
      <c r="O74" s="10">
        <f t="shared" si="67"/>
        <v>1</v>
      </c>
      <c r="P74" s="10">
        <f t="shared" si="68"/>
        <v>0</v>
      </c>
      <c r="Q74" s="10">
        <f t="shared" si="69"/>
        <v>0</v>
      </c>
      <c r="R74" s="1">
        <f t="shared" si="70"/>
        <v>-366.72999999999331</v>
      </c>
      <c r="S74" s="1">
        <f t="shared" si="71"/>
        <v>-1349.9999999999854</v>
      </c>
      <c r="T74" s="1">
        <f t="shared" si="72"/>
        <v>-4800</v>
      </c>
      <c r="U74" s="1">
        <f t="shared" si="73"/>
        <v>-1280</v>
      </c>
      <c r="V74" s="2">
        <f t="shared" si="85"/>
        <v>-202.79999999999632</v>
      </c>
      <c r="W74" s="3">
        <f t="shared" si="96"/>
        <v>-1.0100000000000016</v>
      </c>
      <c r="X74" s="3">
        <f t="shared" si="74"/>
        <v>7.3000000000000291</v>
      </c>
      <c r="Y74" s="3">
        <f t="shared" si="75"/>
        <v>-1.0100000000000016</v>
      </c>
      <c r="Z74" s="3">
        <f t="shared" si="65"/>
        <v>-1.6899999999999693</v>
      </c>
      <c r="AA74" s="3">
        <f t="shared" si="86"/>
        <v>0</v>
      </c>
      <c r="AB74" s="3">
        <f t="shared" si="97"/>
        <v>-3</v>
      </c>
      <c r="AC74" s="3">
        <f t="shared" si="76"/>
        <v>0</v>
      </c>
      <c r="AD74" s="3">
        <f t="shared" si="77"/>
        <v>-3</v>
      </c>
      <c r="AE74" s="3">
        <f t="shared" si="98"/>
        <v>0</v>
      </c>
      <c r="AF74" s="3">
        <f t="shared" si="87"/>
        <v>0</v>
      </c>
      <c r="AG74" s="3">
        <f t="shared" si="99"/>
        <v>-0.8</v>
      </c>
      <c r="AH74" s="3">
        <f t="shared" si="78"/>
        <v>0</v>
      </c>
      <c r="AI74" s="3">
        <f t="shared" si="79"/>
        <v>-0.8</v>
      </c>
      <c r="AJ74" s="3">
        <f t="shared" si="88"/>
        <v>0</v>
      </c>
      <c r="AK74" s="3">
        <f t="shared" si="89"/>
        <v>0</v>
      </c>
      <c r="AL74" s="2">
        <f t="shared" si="90"/>
        <v>0</v>
      </c>
      <c r="AM74" s="2">
        <f t="shared" si="80"/>
        <v>0</v>
      </c>
      <c r="AN74" s="2">
        <f t="shared" si="100"/>
        <v>0</v>
      </c>
      <c r="AO74" s="2">
        <f t="shared" si="91"/>
        <v>-202.00000000000031</v>
      </c>
      <c r="AP74" s="2">
        <f t="shared" si="81"/>
        <v>-337.99999999999386</v>
      </c>
      <c r="AQ74" s="2">
        <f t="shared" si="92"/>
        <v>-202.79999999999632</v>
      </c>
      <c r="AR74" s="2">
        <f t="shared" si="101"/>
        <v>-540.79999999999018</v>
      </c>
      <c r="AS74" s="2">
        <f t="shared" si="102"/>
        <v>241.20000000000073</v>
      </c>
      <c r="AT74" s="2">
        <f t="shared" si="93"/>
        <v>-742.79999999999052</v>
      </c>
      <c r="AU74" s="1" t="e">
        <f t="shared" si="66"/>
        <v>#N/A</v>
      </c>
      <c r="AV74" s="2">
        <f t="shared" si="82"/>
        <v>30</v>
      </c>
      <c r="AW74" s="3">
        <f t="shared" si="83"/>
        <v>21.300000000000029</v>
      </c>
      <c r="AX74" s="3">
        <f t="shared" si="94"/>
        <v>8.6999999999999709</v>
      </c>
      <c r="AY74" s="2">
        <f t="shared" si="84"/>
        <v>-376.06999999999721</v>
      </c>
    </row>
    <row r="75" spans="14:51" x14ac:dyDescent="0.25">
      <c r="N75" s="10">
        <f t="shared" si="95"/>
        <v>21.60000000000003</v>
      </c>
      <c r="O75" s="10">
        <f t="shared" si="67"/>
        <v>1</v>
      </c>
      <c r="P75" s="10">
        <f t="shared" si="68"/>
        <v>0</v>
      </c>
      <c r="Q75" s="10">
        <f t="shared" si="69"/>
        <v>0</v>
      </c>
      <c r="R75" s="1">
        <f t="shared" si="70"/>
        <v>-301.62999999999317</v>
      </c>
      <c r="S75" s="1">
        <f t="shared" si="71"/>
        <v>-1199.999999999985</v>
      </c>
      <c r="T75" s="1">
        <f t="shared" si="72"/>
        <v>-4800</v>
      </c>
      <c r="U75" s="1">
        <f t="shared" si="73"/>
        <v>-1280</v>
      </c>
      <c r="V75" s="2">
        <f t="shared" si="85"/>
        <v>-166.79999999999623</v>
      </c>
      <c r="W75" s="3">
        <f t="shared" si="96"/>
        <v>-1.0100000000000016</v>
      </c>
      <c r="X75" s="3">
        <f t="shared" si="74"/>
        <v>7.6000000000000298</v>
      </c>
      <c r="Y75" s="3">
        <f t="shared" si="75"/>
        <v>-1.0100000000000016</v>
      </c>
      <c r="Z75" s="3">
        <f t="shared" si="65"/>
        <v>-1.3899999999999686</v>
      </c>
      <c r="AA75" s="3">
        <f t="shared" si="86"/>
        <v>0</v>
      </c>
      <c r="AB75" s="3">
        <f t="shared" si="97"/>
        <v>-3</v>
      </c>
      <c r="AC75" s="3">
        <f t="shared" si="76"/>
        <v>0</v>
      </c>
      <c r="AD75" s="3">
        <f t="shared" si="77"/>
        <v>-3</v>
      </c>
      <c r="AE75" s="3">
        <f t="shared" si="98"/>
        <v>0</v>
      </c>
      <c r="AF75" s="3">
        <f t="shared" si="87"/>
        <v>0</v>
      </c>
      <c r="AG75" s="3">
        <f t="shared" si="99"/>
        <v>-0.8</v>
      </c>
      <c r="AH75" s="3">
        <f t="shared" si="78"/>
        <v>0</v>
      </c>
      <c r="AI75" s="3">
        <f t="shared" si="79"/>
        <v>-0.8</v>
      </c>
      <c r="AJ75" s="3">
        <f t="shared" si="88"/>
        <v>0</v>
      </c>
      <c r="AK75" s="3">
        <f t="shared" si="89"/>
        <v>0</v>
      </c>
      <c r="AL75" s="2">
        <f t="shared" si="90"/>
        <v>0</v>
      </c>
      <c r="AM75" s="2">
        <f t="shared" si="80"/>
        <v>0</v>
      </c>
      <c r="AN75" s="2">
        <f t="shared" si="100"/>
        <v>0</v>
      </c>
      <c r="AO75" s="2">
        <f t="shared" si="91"/>
        <v>-202.00000000000031</v>
      </c>
      <c r="AP75" s="2">
        <f t="shared" si="81"/>
        <v>-277.99999999999375</v>
      </c>
      <c r="AQ75" s="2">
        <f t="shared" si="92"/>
        <v>-166.79999999999623</v>
      </c>
      <c r="AR75" s="2">
        <f t="shared" si="101"/>
        <v>-444.79999999998995</v>
      </c>
      <c r="AS75" s="2">
        <f t="shared" si="102"/>
        <v>241.20000000000073</v>
      </c>
      <c r="AT75" s="2">
        <f t="shared" si="93"/>
        <v>-646.79999999999029</v>
      </c>
      <c r="AU75" s="1" t="e">
        <f t="shared" si="66"/>
        <v>#N/A</v>
      </c>
      <c r="AV75" s="2">
        <f t="shared" si="82"/>
        <v>30</v>
      </c>
      <c r="AW75" s="3">
        <f t="shared" si="83"/>
        <v>21.60000000000003</v>
      </c>
      <c r="AX75" s="3">
        <f t="shared" si="94"/>
        <v>8.3999999999999702</v>
      </c>
      <c r="AY75" s="2">
        <f t="shared" si="84"/>
        <v>-345.16999999999712</v>
      </c>
    </row>
    <row r="76" spans="14:51" x14ac:dyDescent="0.25">
      <c r="N76" s="10">
        <f t="shared" si="95"/>
        <v>21.900000000000031</v>
      </c>
      <c r="O76" s="10">
        <f t="shared" si="67"/>
        <v>1</v>
      </c>
      <c r="P76" s="10">
        <f t="shared" si="68"/>
        <v>0</v>
      </c>
      <c r="Q76" s="10">
        <f t="shared" si="69"/>
        <v>0</v>
      </c>
      <c r="R76" s="1">
        <f t="shared" si="70"/>
        <v>-236.52999999999304</v>
      </c>
      <c r="S76" s="1">
        <f t="shared" si="71"/>
        <v>-1049.9999999999848</v>
      </c>
      <c r="T76" s="1">
        <f t="shared" si="72"/>
        <v>-4800</v>
      </c>
      <c r="U76" s="1">
        <f t="shared" si="73"/>
        <v>-1280</v>
      </c>
      <c r="V76" s="2">
        <f t="shared" si="85"/>
        <v>-130.79999999999615</v>
      </c>
      <c r="W76" s="3">
        <f t="shared" si="96"/>
        <v>-1.0100000000000016</v>
      </c>
      <c r="X76" s="3">
        <f t="shared" si="74"/>
        <v>7.9000000000000306</v>
      </c>
      <c r="Y76" s="3">
        <f t="shared" si="75"/>
        <v>-1.0100000000000016</v>
      </c>
      <c r="Z76" s="3">
        <f t="shared" si="65"/>
        <v>-1.0899999999999679</v>
      </c>
      <c r="AA76" s="3">
        <f t="shared" si="86"/>
        <v>0</v>
      </c>
      <c r="AB76" s="3">
        <f t="shared" si="97"/>
        <v>-3</v>
      </c>
      <c r="AC76" s="3">
        <f t="shared" si="76"/>
        <v>0</v>
      </c>
      <c r="AD76" s="3">
        <f t="shared" si="77"/>
        <v>-3</v>
      </c>
      <c r="AE76" s="3">
        <f t="shared" si="98"/>
        <v>0</v>
      </c>
      <c r="AF76" s="3">
        <f t="shared" si="87"/>
        <v>0</v>
      </c>
      <c r="AG76" s="3">
        <f t="shared" si="99"/>
        <v>-0.8</v>
      </c>
      <c r="AH76" s="3">
        <f t="shared" si="78"/>
        <v>0</v>
      </c>
      <c r="AI76" s="3">
        <f t="shared" si="79"/>
        <v>-0.8</v>
      </c>
      <c r="AJ76" s="3">
        <f t="shared" si="88"/>
        <v>0</v>
      </c>
      <c r="AK76" s="3">
        <f t="shared" si="89"/>
        <v>0</v>
      </c>
      <c r="AL76" s="2">
        <f t="shared" si="90"/>
        <v>0</v>
      </c>
      <c r="AM76" s="2">
        <f t="shared" si="80"/>
        <v>0</v>
      </c>
      <c r="AN76" s="2">
        <f t="shared" si="100"/>
        <v>0</v>
      </c>
      <c r="AO76" s="2">
        <f t="shared" si="91"/>
        <v>-202.00000000000031</v>
      </c>
      <c r="AP76" s="2">
        <f t="shared" si="81"/>
        <v>-217.99999999999358</v>
      </c>
      <c r="AQ76" s="2">
        <f t="shared" si="92"/>
        <v>-130.79999999999615</v>
      </c>
      <c r="AR76" s="2">
        <f t="shared" si="101"/>
        <v>-348.79999999998972</v>
      </c>
      <c r="AS76" s="2">
        <f t="shared" si="102"/>
        <v>241.20000000000073</v>
      </c>
      <c r="AT76" s="2">
        <f t="shared" si="93"/>
        <v>-550.79999999999006</v>
      </c>
      <c r="AU76" s="1" t="e">
        <f t="shared" si="66"/>
        <v>#N/A</v>
      </c>
      <c r="AV76" s="2">
        <f t="shared" si="82"/>
        <v>30</v>
      </c>
      <c r="AW76" s="3">
        <f t="shared" si="83"/>
        <v>21.900000000000031</v>
      </c>
      <c r="AX76" s="3">
        <f t="shared" si="94"/>
        <v>8.0999999999999694</v>
      </c>
      <c r="AY76" s="2">
        <f t="shared" si="84"/>
        <v>-314.26999999999703</v>
      </c>
    </row>
    <row r="77" spans="14:51" x14ac:dyDescent="0.25">
      <c r="N77" s="10">
        <f t="shared" si="95"/>
        <v>22.200000000000031</v>
      </c>
      <c r="O77" s="10">
        <f t="shared" si="67"/>
        <v>1</v>
      </c>
      <c r="P77" s="10">
        <f t="shared" si="68"/>
        <v>0</v>
      </c>
      <c r="Q77" s="10">
        <f t="shared" si="69"/>
        <v>0</v>
      </c>
      <c r="R77" s="1">
        <f t="shared" si="70"/>
        <v>-171.42999999999287</v>
      </c>
      <c r="S77" s="1">
        <f t="shared" si="71"/>
        <v>-899.99999999998431</v>
      </c>
      <c r="T77" s="1">
        <f t="shared" si="72"/>
        <v>-4800</v>
      </c>
      <c r="U77" s="1">
        <f t="shared" si="73"/>
        <v>-1280</v>
      </c>
      <c r="V77" s="2">
        <f t="shared" si="85"/>
        <v>-94.799999999996061</v>
      </c>
      <c r="W77" s="3">
        <f t="shared" si="96"/>
        <v>-1.0100000000000016</v>
      </c>
      <c r="X77" s="3">
        <f t="shared" si="74"/>
        <v>8.2000000000000313</v>
      </c>
      <c r="Y77" s="3">
        <f t="shared" si="75"/>
        <v>-1.0100000000000016</v>
      </c>
      <c r="Z77" s="3">
        <f t="shared" si="65"/>
        <v>-0.78999999999996717</v>
      </c>
      <c r="AA77" s="3">
        <f t="shared" si="86"/>
        <v>0</v>
      </c>
      <c r="AB77" s="3">
        <f t="shared" si="97"/>
        <v>-3</v>
      </c>
      <c r="AC77" s="3">
        <f t="shared" si="76"/>
        <v>0</v>
      </c>
      <c r="AD77" s="3">
        <f t="shared" si="77"/>
        <v>-3</v>
      </c>
      <c r="AE77" s="3">
        <f t="shared" si="98"/>
        <v>0</v>
      </c>
      <c r="AF77" s="3">
        <f t="shared" si="87"/>
        <v>0</v>
      </c>
      <c r="AG77" s="3">
        <f t="shared" si="99"/>
        <v>-0.8</v>
      </c>
      <c r="AH77" s="3">
        <f t="shared" si="78"/>
        <v>0</v>
      </c>
      <c r="AI77" s="3">
        <f t="shared" si="79"/>
        <v>-0.8</v>
      </c>
      <c r="AJ77" s="3">
        <f t="shared" si="88"/>
        <v>0</v>
      </c>
      <c r="AK77" s="3">
        <f t="shared" si="89"/>
        <v>0</v>
      </c>
      <c r="AL77" s="2">
        <f t="shared" si="90"/>
        <v>0</v>
      </c>
      <c r="AM77" s="2">
        <f t="shared" si="80"/>
        <v>0</v>
      </c>
      <c r="AN77" s="2">
        <f t="shared" si="100"/>
        <v>0</v>
      </c>
      <c r="AO77" s="2">
        <f t="shared" si="91"/>
        <v>-202.00000000000031</v>
      </c>
      <c r="AP77" s="2">
        <f t="shared" si="81"/>
        <v>-157.99999999999343</v>
      </c>
      <c r="AQ77" s="2">
        <f t="shared" si="92"/>
        <v>-94.799999999996061</v>
      </c>
      <c r="AR77" s="2">
        <f t="shared" si="101"/>
        <v>-252.7999999999895</v>
      </c>
      <c r="AS77" s="2">
        <f t="shared" si="102"/>
        <v>241.20000000000073</v>
      </c>
      <c r="AT77" s="2">
        <f t="shared" si="93"/>
        <v>-454.79999999998984</v>
      </c>
      <c r="AU77" s="1" t="e">
        <f t="shared" si="66"/>
        <v>#N/A</v>
      </c>
      <c r="AV77" s="2">
        <f t="shared" si="82"/>
        <v>30</v>
      </c>
      <c r="AW77" s="3">
        <f t="shared" si="83"/>
        <v>22.200000000000031</v>
      </c>
      <c r="AX77" s="3">
        <f t="shared" si="94"/>
        <v>7.7999999999999687</v>
      </c>
      <c r="AY77" s="2">
        <f t="shared" si="84"/>
        <v>-283.36999999999694</v>
      </c>
    </row>
    <row r="78" spans="14:51" x14ac:dyDescent="0.25">
      <c r="N78" s="10">
        <f t="shared" si="95"/>
        <v>22.500000000000032</v>
      </c>
      <c r="O78" s="10">
        <f t="shared" si="67"/>
        <v>1</v>
      </c>
      <c r="P78" s="10">
        <f t="shared" si="68"/>
        <v>0</v>
      </c>
      <c r="Q78" s="10">
        <f t="shared" si="69"/>
        <v>0</v>
      </c>
      <c r="R78" s="1">
        <f t="shared" si="70"/>
        <v>-106.32999999999272</v>
      </c>
      <c r="S78" s="1">
        <f t="shared" si="71"/>
        <v>-749.99999999998397</v>
      </c>
      <c r="T78" s="1">
        <f t="shared" si="72"/>
        <v>-4800</v>
      </c>
      <c r="U78" s="1">
        <f t="shared" si="73"/>
        <v>-1280</v>
      </c>
      <c r="V78" s="2">
        <f t="shared" si="85"/>
        <v>-58.799999999995975</v>
      </c>
      <c r="W78" s="3">
        <f t="shared" si="96"/>
        <v>-1.0100000000000016</v>
      </c>
      <c r="X78" s="3">
        <f t="shared" si="74"/>
        <v>8.500000000000032</v>
      </c>
      <c r="Y78" s="3">
        <f t="shared" si="75"/>
        <v>-1.0100000000000016</v>
      </c>
      <c r="Z78" s="3">
        <f t="shared" si="65"/>
        <v>-0.48999999999996646</v>
      </c>
      <c r="AA78" s="3">
        <f t="shared" si="86"/>
        <v>0</v>
      </c>
      <c r="AB78" s="3">
        <f t="shared" si="97"/>
        <v>-3</v>
      </c>
      <c r="AC78" s="3">
        <f t="shared" si="76"/>
        <v>0</v>
      </c>
      <c r="AD78" s="3">
        <f t="shared" si="77"/>
        <v>-3</v>
      </c>
      <c r="AE78" s="3">
        <f t="shared" si="98"/>
        <v>0</v>
      </c>
      <c r="AF78" s="3">
        <f t="shared" si="87"/>
        <v>0</v>
      </c>
      <c r="AG78" s="3">
        <f t="shared" si="99"/>
        <v>-0.8</v>
      </c>
      <c r="AH78" s="3">
        <f t="shared" si="78"/>
        <v>0</v>
      </c>
      <c r="AI78" s="3">
        <f t="shared" si="79"/>
        <v>-0.8</v>
      </c>
      <c r="AJ78" s="3">
        <f t="shared" si="88"/>
        <v>0</v>
      </c>
      <c r="AK78" s="3">
        <f t="shared" si="89"/>
        <v>0</v>
      </c>
      <c r="AL78" s="2">
        <f t="shared" si="90"/>
        <v>0</v>
      </c>
      <c r="AM78" s="2">
        <f t="shared" si="80"/>
        <v>0</v>
      </c>
      <c r="AN78" s="2">
        <f t="shared" si="100"/>
        <v>0</v>
      </c>
      <c r="AO78" s="2">
        <f t="shared" si="91"/>
        <v>-202.00000000000031</v>
      </c>
      <c r="AP78" s="2">
        <f t="shared" si="81"/>
        <v>-97.999999999993292</v>
      </c>
      <c r="AQ78" s="2">
        <f t="shared" si="92"/>
        <v>-58.799999999995975</v>
      </c>
      <c r="AR78" s="2">
        <f t="shared" si="101"/>
        <v>-156.79999999998927</v>
      </c>
      <c r="AS78" s="2">
        <f t="shared" si="102"/>
        <v>241.20000000000073</v>
      </c>
      <c r="AT78" s="2">
        <f t="shared" si="93"/>
        <v>-358.79999999998961</v>
      </c>
      <c r="AU78" s="1" t="e">
        <f t="shared" si="66"/>
        <v>#N/A</v>
      </c>
      <c r="AV78" s="2">
        <f t="shared" si="82"/>
        <v>30</v>
      </c>
      <c r="AW78" s="3">
        <f t="shared" si="83"/>
        <v>22.500000000000032</v>
      </c>
      <c r="AX78" s="3">
        <f t="shared" si="94"/>
        <v>7.499999999999968</v>
      </c>
      <c r="AY78" s="2">
        <f t="shared" si="84"/>
        <v>-252.4699999999969</v>
      </c>
    </row>
    <row r="79" spans="14:51" x14ac:dyDescent="0.25">
      <c r="N79" s="10">
        <f t="shared" si="95"/>
        <v>22.800000000000033</v>
      </c>
      <c r="O79" s="10">
        <f t="shared" si="67"/>
        <v>1</v>
      </c>
      <c r="P79" s="10">
        <f t="shared" si="68"/>
        <v>0</v>
      </c>
      <c r="Q79" s="10">
        <f t="shared" si="69"/>
        <v>0</v>
      </c>
      <c r="R79" s="1">
        <f t="shared" si="70"/>
        <v>-41.229999999992572</v>
      </c>
      <c r="S79" s="1">
        <f t="shared" si="71"/>
        <v>-599.99999999998363</v>
      </c>
      <c r="T79" s="1">
        <f t="shared" si="72"/>
        <v>-4800</v>
      </c>
      <c r="U79" s="1">
        <f t="shared" si="73"/>
        <v>-1280</v>
      </c>
      <c r="V79" s="2">
        <f t="shared" si="85"/>
        <v>-22.79999999999589</v>
      </c>
      <c r="W79" s="3">
        <f t="shared" si="96"/>
        <v>-1.0100000000000016</v>
      </c>
      <c r="X79" s="3">
        <f t="shared" si="74"/>
        <v>8.8000000000000327</v>
      </c>
      <c r="Y79" s="3">
        <f t="shared" si="75"/>
        <v>-1.0100000000000016</v>
      </c>
      <c r="Z79" s="3">
        <f t="shared" si="65"/>
        <v>-0.18999999999996575</v>
      </c>
      <c r="AA79" s="3">
        <f t="shared" si="86"/>
        <v>0</v>
      </c>
      <c r="AB79" s="3">
        <f t="shared" si="97"/>
        <v>-3</v>
      </c>
      <c r="AC79" s="3">
        <f t="shared" si="76"/>
        <v>0</v>
      </c>
      <c r="AD79" s="3">
        <f t="shared" si="77"/>
        <v>-3</v>
      </c>
      <c r="AE79" s="3">
        <f t="shared" si="98"/>
        <v>0</v>
      </c>
      <c r="AF79" s="3">
        <f t="shared" si="87"/>
        <v>0</v>
      </c>
      <c r="AG79" s="3">
        <f t="shared" si="99"/>
        <v>-0.8</v>
      </c>
      <c r="AH79" s="3">
        <f t="shared" si="78"/>
        <v>0</v>
      </c>
      <c r="AI79" s="3">
        <f t="shared" si="79"/>
        <v>-0.8</v>
      </c>
      <c r="AJ79" s="3">
        <f t="shared" si="88"/>
        <v>0</v>
      </c>
      <c r="AK79" s="3">
        <f t="shared" si="89"/>
        <v>0</v>
      </c>
      <c r="AL79" s="2">
        <f t="shared" si="90"/>
        <v>0</v>
      </c>
      <c r="AM79" s="2">
        <f t="shared" si="80"/>
        <v>0</v>
      </c>
      <c r="AN79" s="2">
        <f t="shared" si="100"/>
        <v>0</v>
      </c>
      <c r="AO79" s="2">
        <f t="shared" si="91"/>
        <v>-202.00000000000031</v>
      </c>
      <c r="AP79" s="2">
        <f t="shared" si="81"/>
        <v>-37.99999999999315</v>
      </c>
      <c r="AQ79" s="2">
        <f t="shared" si="92"/>
        <v>-22.79999999999589</v>
      </c>
      <c r="AR79" s="2">
        <f t="shared" si="101"/>
        <v>-60.799999999989041</v>
      </c>
      <c r="AS79" s="2">
        <f t="shared" si="102"/>
        <v>241.20000000000073</v>
      </c>
      <c r="AT79" s="2">
        <f t="shared" si="93"/>
        <v>-262.79999999998938</v>
      </c>
      <c r="AU79" s="1" t="e">
        <f t="shared" si="66"/>
        <v>#N/A</v>
      </c>
      <c r="AV79" s="2">
        <f t="shared" si="82"/>
        <v>30</v>
      </c>
      <c r="AW79" s="3">
        <f t="shared" si="83"/>
        <v>22.800000000000033</v>
      </c>
      <c r="AX79" s="3">
        <f t="shared" si="94"/>
        <v>7.1999999999999673</v>
      </c>
      <c r="AY79" s="2">
        <f t="shared" si="84"/>
        <v>-221.56999999999681</v>
      </c>
    </row>
    <row r="80" spans="14:51" x14ac:dyDescent="0.25">
      <c r="N80" s="10">
        <f t="shared" si="95"/>
        <v>23.100000000000033</v>
      </c>
      <c r="O80" s="10">
        <f t="shared" si="67"/>
        <v>1</v>
      </c>
      <c r="P80" s="10">
        <f t="shared" si="68"/>
        <v>0</v>
      </c>
      <c r="Q80" s="10">
        <f t="shared" si="69"/>
        <v>0</v>
      </c>
      <c r="R80" s="1">
        <f t="shared" si="70"/>
        <v>23.870000000007586</v>
      </c>
      <c r="S80" s="1">
        <f t="shared" si="71"/>
        <v>-449.99999999998329</v>
      </c>
      <c r="T80" s="1">
        <f t="shared" si="72"/>
        <v>-4800</v>
      </c>
      <c r="U80" s="1">
        <f t="shared" si="73"/>
        <v>-1280</v>
      </c>
      <c r="V80" s="2">
        <f t="shared" si="85"/>
        <v>13.200000000004195</v>
      </c>
      <c r="W80" s="3">
        <f t="shared" si="96"/>
        <v>-1.0100000000000016</v>
      </c>
      <c r="X80" s="3">
        <f t="shared" si="74"/>
        <v>9.1000000000000334</v>
      </c>
      <c r="Y80" s="3">
        <f t="shared" si="75"/>
        <v>-1.0100000000000016</v>
      </c>
      <c r="Z80" s="3">
        <f t="shared" si="65"/>
        <v>0</v>
      </c>
      <c r="AA80" s="3">
        <f t="shared" si="86"/>
        <v>0.11000000000003496</v>
      </c>
      <c r="AB80" s="3">
        <f t="shared" si="97"/>
        <v>-3</v>
      </c>
      <c r="AC80" s="3">
        <f t="shared" si="76"/>
        <v>0</v>
      </c>
      <c r="AD80" s="3">
        <f t="shared" si="77"/>
        <v>-3</v>
      </c>
      <c r="AE80" s="3">
        <f t="shared" si="98"/>
        <v>0</v>
      </c>
      <c r="AF80" s="3">
        <f t="shared" si="87"/>
        <v>0</v>
      </c>
      <c r="AG80" s="3">
        <f t="shared" si="99"/>
        <v>-0.8</v>
      </c>
      <c r="AH80" s="3">
        <f t="shared" si="78"/>
        <v>0</v>
      </c>
      <c r="AI80" s="3">
        <f t="shared" si="79"/>
        <v>-0.8</v>
      </c>
      <c r="AJ80" s="3">
        <f t="shared" si="88"/>
        <v>0</v>
      </c>
      <c r="AK80" s="3">
        <f t="shared" si="89"/>
        <v>0</v>
      </c>
      <c r="AL80" s="2">
        <f t="shared" si="90"/>
        <v>13.200000000004195</v>
      </c>
      <c r="AM80" s="2">
        <f t="shared" si="80"/>
        <v>22.000000000006992</v>
      </c>
      <c r="AN80" s="2">
        <f t="shared" si="100"/>
        <v>35.200000000011187</v>
      </c>
      <c r="AO80" s="2">
        <f t="shared" si="91"/>
        <v>-202.00000000000031</v>
      </c>
      <c r="AP80" s="2">
        <f t="shared" si="81"/>
        <v>0</v>
      </c>
      <c r="AQ80" s="2">
        <f t="shared" si="92"/>
        <v>0</v>
      </c>
      <c r="AR80" s="2">
        <f t="shared" si="101"/>
        <v>0</v>
      </c>
      <c r="AS80" s="2">
        <f t="shared" si="102"/>
        <v>241.20000000000073</v>
      </c>
      <c r="AT80" s="2">
        <f t="shared" si="93"/>
        <v>-166.79999999998913</v>
      </c>
      <c r="AU80" s="1" t="e">
        <f t="shared" si="66"/>
        <v>#N/A</v>
      </c>
      <c r="AV80" s="2">
        <f t="shared" si="82"/>
        <v>30</v>
      </c>
      <c r="AW80" s="3">
        <f t="shared" si="83"/>
        <v>23.100000000000033</v>
      </c>
      <c r="AX80" s="3">
        <f t="shared" si="94"/>
        <v>6.8999999999999666</v>
      </c>
      <c r="AY80" s="2">
        <f t="shared" si="84"/>
        <v>-190.66999999999672</v>
      </c>
    </row>
    <row r="81" spans="14:51" x14ac:dyDescent="0.25">
      <c r="N81" s="10">
        <f t="shared" si="95"/>
        <v>23.400000000000034</v>
      </c>
      <c r="O81" s="10">
        <f t="shared" si="67"/>
        <v>1</v>
      </c>
      <c r="P81" s="10">
        <f t="shared" si="68"/>
        <v>0</v>
      </c>
      <c r="Q81" s="10">
        <f t="shared" si="69"/>
        <v>0</v>
      </c>
      <c r="R81" s="1">
        <f t="shared" si="70"/>
        <v>88.970000000007744</v>
      </c>
      <c r="S81" s="1">
        <f t="shared" si="71"/>
        <v>-299.99999999998295</v>
      </c>
      <c r="T81" s="1">
        <f t="shared" si="72"/>
        <v>-4800</v>
      </c>
      <c r="U81" s="1">
        <f t="shared" si="73"/>
        <v>-1280</v>
      </c>
      <c r="V81" s="2">
        <f t="shared" si="85"/>
        <v>49.20000000000428</v>
      </c>
      <c r="W81" s="3">
        <f t="shared" si="96"/>
        <v>-1.0100000000000016</v>
      </c>
      <c r="X81" s="3">
        <f t="shared" si="74"/>
        <v>9.4000000000000341</v>
      </c>
      <c r="Y81" s="3">
        <f t="shared" si="75"/>
        <v>-1.0100000000000016</v>
      </c>
      <c r="Z81" s="3">
        <f t="shared" si="65"/>
        <v>0</v>
      </c>
      <c r="AA81" s="3">
        <f t="shared" si="86"/>
        <v>0.41000000000003567</v>
      </c>
      <c r="AB81" s="3">
        <f t="shared" si="97"/>
        <v>-3</v>
      </c>
      <c r="AC81" s="3">
        <f t="shared" si="76"/>
        <v>0</v>
      </c>
      <c r="AD81" s="3">
        <f t="shared" si="77"/>
        <v>-3</v>
      </c>
      <c r="AE81" s="3">
        <f t="shared" si="98"/>
        <v>0</v>
      </c>
      <c r="AF81" s="3">
        <f t="shared" si="87"/>
        <v>0</v>
      </c>
      <c r="AG81" s="3">
        <f t="shared" si="99"/>
        <v>-0.8</v>
      </c>
      <c r="AH81" s="3">
        <f t="shared" si="78"/>
        <v>0</v>
      </c>
      <c r="AI81" s="3">
        <f t="shared" si="79"/>
        <v>-0.8</v>
      </c>
      <c r="AJ81" s="3">
        <f t="shared" si="88"/>
        <v>0</v>
      </c>
      <c r="AK81" s="3">
        <f t="shared" si="89"/>
        <v>0</v>
      </c>
      <c r="AL81" s="2">
        <f t="shared" si="90"/>
        <v>49.20000000000428</v>
      </c>
      <c r="AM81" s="2">
        <f t="shared" si="80"/>
        <v>82.000000000007134</v>
      </c>
      <c r="AN81" s="2">
        <f t="shared" si="100"/>
        <v>131.20000000001141</v>
      </c>
      <c r="AO81" s="2">
        <f t="shared" si="91"/>
        <v>-202.00000000000031</v>
      </c>
      <c r="AP81" s="2">
        <f t="shared" si="81"/>
        <v>0</v>
      </c>
      <c r="AQ81" s="2">
        <f t="shared" si="92"/>
        <v>0</v>
      </c>
      <c r="AR81" s="2">
        <f t="shared" si="101"/>
        <v>0</v>
      </c>
      <c r="AS81" s="2">
        <f t="shared" si="102"/>
        <v>241.20000000000073</v>
      </c>
      <c r="AT81" s="2">
        <f t="shared" si="93"/>
        <v>-70.799999999988898</v>
      </c>
      <c r="AU81" s="1" t="e">
        <f t="shared" si="66"/>
        <v>#N/A</v>
      </c>
      <c r="AV81" s="2">
        <f t="shared" si="82"/>
        <v>30</v>
      </c>
      <c r="AW81" s="3">
        <f t="shared" si="83"/>
        <v>23.400000000000034</v>
      </c>
      <c r="AX81" s="3">
        <f t="shared" si="94"/>
        <v>6.5999999999999659</v>
      </c>
      <c r="AY81" s="2">
        <f t="shared" si="84"/>
        <v>-159.76999999999663</v>
      </c>
    </row>
    <row r="82" spans="14:51" x14ac:dyDescent="0.25">
      <c r="N82" s="10">
        <f t="shared" si="95"/>
        <v>23.700000000000035</v>
      </c>
      <c r="O82" s="10">
        <f t="shared" si="67"/>
        <v>1</v>
      </c>
      <c r="P82" s="10">
        <f t="shared" si="68"/>
        <v>0</v>
      </c>
      <c r="Q82" s="10">
        <f t="shared" si="69"/>
        <v>0</v>
      </c>
      <c r="R82" s="1">
        <f t="shared" si="70"/>
        <v>154.07000000000789</v>
      </c>
      <c r="S82" s="1">
        <f t="shared" si="71"/>
        <v>-149.99999999998261</v>
      </c>
      <c r="T82" s="1">
        <f t="shared" si="72"/>
        <v>-4800</v>
      </c>
      <c r="U82" s="1">
        <f t="shared" si="73"/>
        <v>-1280</v>
      </c>
      <c r="V82" s="2">
        <f t="shared" si="85"/>
        <v>85.200000000004366</v>
      </c>
      <c r="W82" s="3">
        <f t="shared" si="96"/>
        <v>-1.0100000000000016</v>
      </c>
      <c r="X82" s="3">
        <f t="shared" si="74"/>
        <v>9.7000000000000348</v>
      </c>
      <c r="Y82" s="3">
        <f t="shared" si="75"/>
        <v>-1.0100000000000016</v>
      </c>
      <c r="Z82" s="3">
        <f t="shared" si="65"/>
        <v>0</v>
      </c>
      <c r="AA82" s="3">
        <f t="shared" si="86"/>
        <v>0.71000000000003638</v>
      </c>
      <c r="AB82" s="3">
        <f t="shared" si="97"/>
        <v>-3</v>
      </c>
      <c r="AC82" s="3">
        <f t="shared" si="76"/>
        <v>0</v>
      </c>
      <c r="AD82" s="3">
        <f t="shared" si="77"/>
        <v>-3</v>
      </c>
      <c r="AE82" s="3">
        <f t="shared" si="98"/>
        <v>0</v>
      </c>
      <c r="AF82" s="3">
        <f t="shared" si="87"/>
        <v>0</v>
      </c>
      <c r="AG82" s="3">
        <f t="shared" si="99"/>
        <v>-0.8</v>
      </c>
      <c r="AH82" s="3">
        <f t="shared" si="78"/>
        <v>0</v>
      </c>
      <c r="AI82" s="3">
        <f t="shared" si="79"/>
        <v>-0.8</v>
      </c>
      <c r="AJ82" s="3">
        <f t="shared" si="88"/>
        <v>0</v>
      </c>
      <c r="AK82" s="3">
        <f t="shared" si="89"/>
        <v>0</v>
      </c>
      <c r="AL82" s="2">
        <f t="shared" si="90"/>
        <v>85.200000000004366</v>
      </c>
      <c r="AM82" s="2">
        <f t="shared" si="80"/>
        <v>142.00000000000728</v>
      </c>
      <c r="AN82" s="2">
        <f t="shared" si="100"/>
        <v>227.20000000001164</v>
      </c>
      <c r="AO82" s="2">
        <f t="shared" si="91"/>
        <v>-202.00000000000031</v>
      </c>
      <c r="AP82" s="2">
        <f t="shared" si="81"/>
        <v>0</v>
      </c>
      <c r="AQ82" s="2">
        <f t="shared" si="92"/>
        <v>0</v>
      </c>
      <c r="AR82" s="2">
        <f t="shared" si="101"/>
        <v>0</v>
      </c>
      <c r="AS82" s="2">
        <f t="shared" si="102"/>
        <v>241.20000000000073</v>
      </c>
      <c r="AT82" s="2">
        <f t="shared" si="93"/>
        <v>25.200000000011329</v>
      </c>
      <c r="AU82" s="1" t="e">
        <f t="shared" si="66"/>
        <v>#N/A</v>
      </c>
      <c r="AV82" s="2">
        <f t="shared" si="82"/>
        <v>30</v>
      </c>
      <c r="AW82" s="3">
        <f t="shared" si="83"/>
        <v>23.700000000000035</v>
      </c>
      <c r="AX82" s="3">
        <f t="shared" si="94"/>
        <v>6.2999999999999652</v>
      </c>
      <c r="AY82" s="2">
        <f t="shared" si="84"/>
        <v>-128.86999999999657</v>
      </c>
    </row>
    <row r="83" spans="14:51" x14ac:dyDescent="0.25">
      <c r="N83" s="10">
        <f t="shared" si="95"/>
        <v>24.000000000000036</v>
      </c>
      <c r="O83" s="10">
        <f t="shared" si="67"/>
        <v>1</v>
      </c>
      <c r="P83" s="10">
        <f t="shared" si="68"/>
        <v>0</v>
      </c>
      <c r="Q83" s="10">
        <f t="shared" si="69"/>
        <v>0</v>
      </c>
      <c r="R83" s="1">
        <f t="shared" si="70"/>
        <v>219.17000000000806</v>
      </c>
      <c r="S83" s="1">
        <f t="shared" si="71"/>
        <v>1.7763568394002505E-11</v>
      </c>
      <c r="T83" s="1">
        <f t="shared" si="72"/>
        <v>-4800</v>
      </c>
      <c r="U83" s="1">
        <f t="shared" si="73"/>
        <v>-1280</v>
      </c>
      <c r="V83" s="2">
        <f t="shared" si="85"/>
        <v>121.20000000000445</v>
      </c>
      <c r="W83" s="3">
        <f t="shared" si="96"/>
        <v>-1.0100000000000016</v>
      </c>
      <c r="X83" s="3">
        <f t="shared" si="74"/>
        <v>10.000000000000036</v>
      </c>
      <c r="Y83" s="3">
        <f t="shared" si="75"/>
        <v>-1.0100000000000016</v>
      </c>
      <c r="Z83" s="3">
        <f t="shared" si="65"/>
        <v>0</v>
      </c>
      <c r="AA83" s="3">
        <f t="shared" si="86"/>
        <v>1.0100000000000371</v>
      </c>
      <c r="AB83" s="3">
        <f t="shared" si="97"/>
        <v>-3</v>
      </c>
      <c r="AC83" s="3">
        <f t="shared" si="76"/>
        <v>0</v>
      </c>
      <c r="AD83" s="3">
        <f t="shared" si="77"/>
        <v>-3</v>
      </c>
      <c r="AE83" s="3">
        <f t="shared" si="98"/>
        <v>0</v>
      </c>
      <c r="AF83" s="3">
        <f t="shared" si="87"/>
        <v>0</v>
      </c>
      <c r="AG83" s="3">
        <f t="shared" si="99"/>
        <v>-0.8</v>
      </c>
      <c r="AH83" s="3">
        <f t="shared" si="78"/>
        <v>0</v>
      </c>
      <c r="AI83" s="3">
        <f t="shared" si="79"/>
        <v>-0.8</v>
      </c>
      <c r="AJ83" s="3">
        <f t="shared" si="88"/>
        <v>0</v>
      </c>
      <c r="AK83" s="3">
        <f t="shared" si="89"/>
        <v>0</v>
      </c>
      <c r="AL83" s="2">
        <f t="shared" si="90"/>
        <v>121.20000000000445</v>
      </c>
      <c r="AM83" s="2">
        <f t="shared" si="80"/>
        <v>202.00000000000742</v>
      </c>
      <c r="AN83" s="2">
        <f t="shared" si="100"/>
        <v>323.20000000001187</v>
      </c>
      <c r="AO83" s="2">
        <f t="shared" si="91"/>
        <v>-202.00000000000031</v>
      </c>
      <c r="AP83" s="2">
        <f>Z83*contract1Size*option1Position+AE83*contract2Size*option2Position+AJ83*contract3Size*option3Position</f>
        <v>0</v>
      </c>
      <c r="AQ83" s="2">
        <f t="shared" si="92"/>
        <v>0</v>
      </c>
      <c r="AR83" s="2">
        <f>AP83+AQ83</f>
        <v>0</v>
      </c>
      <c r="AS83" s="2">
        <f t="shared" si="102"/>
        <v>241.20000000000073</v>
      </c>
      <c r="AT83" s="2">
        <f t="shared" si="93"/>
        <v>121.20000000001156</v>
      </c>
      <c r="AU83" s="1" t="e">
        <f t="shared" si="66"/>
        <v>#N/A</v>
      </c>
      <c r="AV83" s="2">
        <f t="shared" si="82"/>
        <v>30</v>
      </c>
      <c r="AW83" s="3">
        <f t="shared" si="83"/>
        <v>24.000000000000036</v>
      </c>
      <c r="AX83" s="3">
        <f t="shared" si="94"/>
        <v>5.9999999999999645</v>
      </c>
      <c r="AY83" s="2">
        <f t="shared" si="84"/>
        <v>-97.969999999996503</v>
      </c>
    </row>
    <row r="84" spans="14:51" x14ac:dyDescent="0.25">
      <c r="N84" s="10">
        <f t="shared" si="95"/>
        <v>24.300000000000036</v>
      </c>
      <c r="O84" s="10">
        <f t="shared" si="67"/>
        <v>1</v>
      </c>
      <c r="P84" s="10">
        <f t="shared" si="68"/>
        <v>0</v>
      </c>
      <c r="Q84" s="10">
        <f t="shared" si="69"/>
        <v>0</v>
      </c>
      <c r="R84" s="1">
        <f t="shared" si="70"/>
        <v>284.27000000000822</v>
      </c>
      <c r="S84" s="1">
        <f t="shared" si="71"/>
        <v>150.00000000001813</v>
      </c>
      <c r="T84" s="1">
        <f t="shared" si="72"/>
        <v>-4800</v>
      </c>
      <c r="U84" s="1">
        <f t="shared" si="73"/>
        <v>-1280</v>
      </c>
      <c r="V84" s="2">
        <f t="shared" si="85"/>
        <v>157.20000000000454</v>
      </c>
      <c r="W84" s="3">
        <f t="shared" si="96"/>
        <v>-1.0100000000000016</v>
      </c>
      <c r="X84" s="3">
        <f t="shared" si="74"/>
        <v>10.300000000000036</v>
      </c>
      <c r="Y84" s="3">
        <f t="shared" si="75"/>
        <v>-1.0100000000000016</v>
      </c>
      <c r="Z84" s="3">
        <f t="shared" si="65"/>
        <v>0</v>
      </c>
      <c r="AA84" s="3">
        <f t="shared" si="86"/>
        <v>1.3100000000000378</v>
      </c>
      <c r="AB84" s="3">
        <f t="shared" si="97"/>
        <v>-3</v>
      </c>
      <c r="AC84" s="3">
        <f t="shared" si="76"/>
        <v>0</v>
      </c>
      <c r="AD84" s="3">
        <f t="shared" si="77"/>
        <v>-3</v>
      </c>
      <c r="AE84" s="3">
        <f t="shared" si="98"/>
        <v>0</v>
      </c>
      <c r="AF84" s="3">
        <f t="shared" si="87"/>
        <v>0</v>
      </c>
      <c r="AG84" s="3">
        <f t="shared" si="99"/>
        <v>-0.8</v>
      </c>
      <c r="AH84" s="3">
        <f t="shared" si="78"/>
        <v>0</v>
      </c>
      <c r="AI84" s="3">
        <f t="shared" si="79"/>
        <v>-0.8</v>
      </c>
      <c r="AJ84" s="3">
        <f t="shared" si="88"/>
        <v>0</v>
      </c>
      <c r="AK84" s="3">
        <f t="shared" si="89"/>
        <v>0</v>
      </c>
      <c r="AL84" s="2">
        <f t="shared" si="90"/>
        <v>157.20000000000454</v>
      </c>
      <c r="AM84" s="2">
        <f t="shared" si="80"/>
        <v>262.00000000000756</v>
      </c>
      <c r="AN84" s="2">
        <f t="shared" si="100"/>
        <v>419.2000000000121</v>
      </c>
      <c r="AO84" s="2">
        <f t="shared" si="91"/>
        <v>-202.00000000000031</v>
      </c>
      <c r="AP84" s="2">
        <f t="shared" si="81"/>
        <v>0</v>
      </c>
      <c r="AQ84" s="2">
        <f t="shared" si="92"/>
        <v>0</v>
      </c>
      <c r="AR84" s="2">
        <f t="shared" si="101"/>
        <v>0</v>
      </c>
      <c r="AS84" s="2">
        <f t="shared" si="102"/>
        <v>241.20000000000073</v>
      </c>
      <c r="AT84" s="2">
        <f t="shared" si="93"/>
        <v>217.20000000001178</v>
      </c>
      <c r="AU84" s="1" t="e">
        <f t="shared" si="66"/>
        <v>#N/A</v>
      </c>
      <c r="AV84" s="2">
        <f t="shared" si="82"/>
        <v>30</v>
      </c>
      <c r="AW84" s="3">
        <f t="shared" si="83"/>
        <v>24.300000000000036</v>
      </c>
      <c r="AX84" s="3">
        <f t="shared" si="94"/>
        <v>5.6999999999999638</v>
      </c>
      <c r="AY84" s="2">
        <f t="shared" si="84"/>
        <v>-67.06999999999644</v>
      </c>
    </row>
    <row r="85" spans="14:51" x14ac:dyDescent="0.25">
      <c r="N85" s="10">
        <f t="shared" si="95"/>
        <v>24.600000000000037</v>
      </c>
      <c r="O85" s="10">
        <f t="shared" si="67"/>
        <v>1</v>
      </c>
      <c r="P85" s="10">
        <f t="shared" si="68"/>
        <v>0</v>
      </c>
      <c r="Q85" s="10">
        <f t="shared" si="69"/>
        <v>0</v>
      </c>
      <c r="R85" s="1">
        <f t="shared" si="70"/>
        <v>349.37000000000836</v>
      </c>
      <c r="S85" s="1">
        <f t="shared" si="71"/>
        <v>300.00000000001847</v>
      </c>
      <c r="T85" s="1">
        <f t="shared" si="72"/>
        <v>-4800</v>
      </c>
      <c r="U85" s="1">
        <f t="shared" si="73"/>
        <v>-1280</v>
      </c>
      <c r="V85" s="2">
        <f t="shared" si="85"/>
        <v>193.20000000000462</v>
      </c>
      <c r="W85" s="3">
        <f t="shared" si="96"/>
        <v>-1.0100000000000016</v>
      </c>
      <c r="X85" s="3">
        <f t="shared" si="74"/>
        <v>10.600000000000037</v>
      </c>
      <c r="Y85" s="3">
        <f t="shared" si="75"/>
        <v>-1.0100000000000016</v>
      </c>
      <c r="Z85" s="3">
        <f t="shared" si="65"/>
        <v>0</v>
      </c>
      <c r="AA85" s="3">
        <f t="shared" si="86"/>
        <v>1.6100000000000385</v>
      </c>
      <c r="AB85" s="3">
        <f t="shared" si="97"/>
        <v>-3</v>
      </c>
      <c r="AC85" s="3">
        <f t="shared" si="76"/>
        <v>0</v>
      </c>
      <c r="AD85" s="3">
        <f t="shared" si="77"/>
        <v>-3</v>
      </c>
      <c r="AE85" s="3">
        <f t="shared" si="98"/>
        <v>0</v>
      </c>
      <c r="AF85" s="3">
        <f t="shared" si="87"/>
        <v>0</v>
      </c>
      <c r="AG85" s="3">
        <f t="shared" si="99"/>
        <v>-0.8</v>
      </c>
      <c r="AH85" s="3">
        <f t="shared" si="78"/>
        <v>0</v>
      </c>
      <c r="AI85" s="3">
        <f t="shared" si="79"/>
        <v>-0.8</v>
      </c>
      <c r="AJ85" s="3">
        <f t="shared" si="88"/>
        <v>0</v>
      </c>
      <c r="AK85" s="3">
        <f t="shared" si="89"/>
        <v>0</v>
      </c>
      <c r="AL85" s="2">
        <f t="shared" si="90"/>
        <v>193.20000000000462</v>
      </c>
      <c r="AM85" s="2">
        <f t="shared" si="80"/>
        <v>322.00000000000773</v>
      </c>
      <c r="AN85" s="2">
        <f t="shared" si="100"/>
        <v>515.20000000001232</v>
      </c>
      <c r="AO85" s="2">
        <f t="shared" si="91"/>
        <v>-202.00000000000031</v>
      </c>
      <c r="AP85" s="2">
        <f t="shared" si="81"/>
        <v>0</v>
      </c>
      <c r="AQ85" s="2">
        <f t="shared" si="92"/>
        <v>0</v>
      </c>
      <c r="AR85" s="2">
        <f t="shared" si="101"/>
        <v>0</v>
      </c>
      <c r="AS85" s="2">
        <f t="shared" si="102"/>
        <v>241.20000000000073</v>
      </c>
      <c r="AT85" s="2">
        <f t="shared" si="93"/>
        <v>313.20000000001198</v>
      </c>
      <c r="AU85" s="1" t="e">
        <f t="shared" si="66"/>
        <v>#N/A</v>
      </c>
      <c r="AV85" s="2">
        <f t="shared" si="82"/>
        <v>30</v>
      </c>
      <c r="AW85" s="3">
        <f t="shared" si="83"/>
        <v>24.600000000000037</v>
      </c>
      <c r="AX85" s="3">
        <f t="shared" si="94"/>
        <v>5.3999999999999631</v>
      </c>
      <c r="AY85" s="2">
        <f t="shared" si="84"/>
        <v>-36.169999999996378</v>
      </c>
    </row>
    <row r="86" spans="14:51" x14ac:dyDescent="0.25">
      <c r="N86" s="10">
        <f t="shared" si="95"/>
        <v>24.900000000000038</v>
      </c>
      <c r="O86" s="10">
        <f t="shared" si="67"/>
        <v>1</v>
      </c>
      <c r="P86" s="10">
        <f t="shared" si="68"/>
        <v>0</v>
      </c>
      <c r="Q86" s="10">
        <f t="shared" si="69"/>
        <v>0</v>
      </c>
      <c r="R86" s="1">
        <f t="shared" si="70"/>
        <v>414.4700000000085</v>
      </c>
      <c r="S86" s="1">
        <f t="shared" si="71"/>
        <v>450.00000000001882</v>
      </c>
      <c r="T86" s="1">
        <f t="shared" si="72"/>
        <v>-4800</v>
      </c>
      <c r="U86" s="1">
        <f t="shared" si="73"/>
        <v>-1280</v>
      </c>
      <c r="V86" s="2">
        <f t="shared" si="85"/>
        <v>229.20000000000471</v>
      </c>
      <c r="W86" s="3">
        <f t="shared" si="96"/>
        <v>-1.0100000000000016</v>
      </c>
      <c r="X86" s="3">
        <f t="shared" si="74"/>
        <v>10.900000000000038</v>
      </c>
      <c r="Y86" s="3">
        <f t="shared" si="75"/>
        <v>-1.0100000000000016</v>
      </c>
      <c r="Z86" s="3">
        <f t="shared" si="65"/>
        <v>0</v>
      </c>
      <c r="AA86" s="3">
        <f t="shared" si="86"/>
        <v>1.9100000000000392</v>
      </c>
      <c r="AB86" s="3">
        <f t="shared" si="97"/>
        <v>-3</v>
      </c>
      <c r="AC86" s="3">
        <f t="shared" si="76"/>
        <v>0</v>
      </c>
      <c r="AD86" s="3">
        <f t="shared" si="77"/>
        <v>-3</v>
      </c>
      <c r="AE86" s="3">
        <f t="shared" si="98"/>
        <v>0</v>
      </c>
      <c r="AF86" s="3">
        <f t="shared" si="87"/>
        <v>0</v>
      </c>
      <c r="AG86" s="3">
        <f t="shared" si="99"/>
        <v>-0.8</v>
      </c>
      <c r="AH86" s="3">
        <f t="shared" si="78"/>
        <v>0</v>
      </c>
      <c r="AI86" s="3">
        <f t="shared" si="79"/>
        <v>-0.8</v>
      </c>
      <c r="AJ86" s="3">
        <f t="shared" si="88"/>
        <v>0</v>
      </c>
      <c r="AK86" s="3">
        <f t="shared" si="89"/>
        <v>0</v>
      </c>
      <c r="AL86" s="2">
        <f t="shared" si="90"/>
        <v>229.20000000000471</v>
      </c>
      <c r="AM86" s="2">
        <f t="shared" si="80"/>
        <v>382.00000000000784</v>
      </c>
      <c r="AN86" s="2">
        <f t="shared" si="100"/>
        <v>611.20000000001255</v>
      </c>
      <c r="AO86" s="2">
        <f t="shared" si="91"/>
        <v>-202.00000000000031</v>
      </c>
      <c r="AP86" s="2">
        <f t="shared" si="81"/>
        <v>0</v>
      </c>
      <c r="AQ86" s="2">
        <f t="shared" si="92"/>
        <v>0</v>
      </c>
      <c r="AR86" s="2">
        <f t="shared" si="101"/>
        <v>0</v>
      </c>
      <c r="AS86" s="2">
        <f t="shared" si="102"/>
        <v>241.20000000000073</v>
      </c>
      <c r="AT86" s="2">
        <f t="shared" si="93"/>
        <v>409.20000000001221</v>
      </c>
      <c r="AU86" s="1" t="e">
        <f t="shared" si="66"/>
        <v>#N/A</v>
      </c>
      <c r="AV86" s="2">
        <f t="shared" si="82"/>
        <v>30</v>
      </c>
      <c r="AW86" s="3">
        <f t="shared" si="83"/>
        <v>24.900000000000038</v>
      </c>
      <c r="AX86" s="3">
        <f t="shared" si="94"/>
        <v>5.0999999999999623</v>
      </c>
      <c r="AY86" s="2">
        <f t="shared" si="84"/>
        <v>-5.269999999996287</v>
      </c>
    </row>
    <row r="87" spans="14:51" x14ac:dyDescent="0.25">
      <c r="N87" s="10">
        <f t="shared" si="95"/>
        <v>25.200000000000038</v>
      </c>
      <c r="O87" s="10">
        <f t="shared" si="67"/>
        <v>1</v>
      </c>
      <c r="P87" s="10">
        <f t="shared" si="68"/>
        <v>1</v>
      </c>
      <c r="Q87" s="10">
        <f t="shared" si="69"/>
        <v>0</v>
      </c>
      <c r="R87" s="1">
        <f t="shared" si="70"/>
        <v>479.57000000000869</v>
      </c>
      <c r="S87" s="1">
        <f t="shared" si="71"/>
        <v>600.00000000001921</v>
      </c>
      <c r="T87" s="1">
        <f t="shared" si="72"/>
        <v>-4479.9999999999382</v>
      </c>
      <c r="U87" s="1">
        <f t="shared" si="73"/>
        <v>-1280</v>
      </c>
      <c r="V87" s="2">
        <f t="shared" si="85"/>
        <v>265.20000000000482</v>
      </c>
      <c r="W87" s="3">
        <f t="shared" si="96"/>
        <v>-1.0100000000000016</v>
      </c>
      <c r="X87" s="3">
        <f t="shared" si="74"/>
        <v>11.200000000000038</v>
      </c>
      <c r="Y87" s="3">
        <f t="shared" si="75"/>
        <v>-1.0100000000000016</v>
      </c>
      <c r="Z87" s="3">
        <f t="shared" si="65"/>
        <v>0</v>
      </c>
      <c r="AA87" s="3">
        <f t="shared" si="86"/>
        <v>2.2100000000000399</v>
      </c>
      <c r="AB87" s="3">
        <f t="shared" si="97"/>
        <v>-3</v>
      </c>
      <c r="AC87" s="3">
        <f t="shared" si="76"/>
        <v>0.20000000000003837</v>
      </c>
      <c r="AD87" s="3">
        <f t="shared" si="77"/>
        <v>-3</v>
      </c>
      <c r="AE87" s="3">
        <f t="shared" si="98"/>
        <v>0</v>
      </c>
      <c r="AF87" s="3">
        <f t="shared" si="87"/>
        <v>0.20000000000003837</v>
      </c>
      <c r="AG87" s="3">
        <f t="shared" si="99"/>
        <v>-0.8</v>
      </c>
      <c r="AH87" s="3">
        <f t="shared" si="78"/>
        <v>0</v>
      </c>
      <c r="AI87" s="3">
        <f t="shared" si="79"/>
        <v>-0.8</v>
      </c>
      <c r="AJ87" s="3">
        <f t="shared" si="88"/>
        <v>0</v>
      </c>
      <c r="AK87" s="3">
        <f t="shared" si="89"/>
        <v>0</v>
      </c>
      <c r="AL87" s="2">
        <f t="shared" si="90"/>
        <v>265.20000000000482</v>
      </c>
      <c r="AM87" s="2">
        <f t="shared" si="80"/>
        <v>442.00000000000796</v>
      </c>
      <c r="AN87" s="2">
        <f t="shared" si="100"/>
        <v>707.20000000001278</v>
      </c>
      <c r="AO87" s="2">
        <f t="shared" si="91"/>
        <v>-202.00000000000031</v>
      </c>
      <c r="AP87" s="2">
        <f t="shared" si="81"/>
        <v>0</v>
      </c>
      <c r="AQ87" s="2">
        <f t="shared" si="92"/>
        <v>0</v>
      </c>
      <c r="AR87" s="2">
        <f t="shared" si="101"/>
        <v>0</v>
      </c>
      <c r="AS87" s="2">
        <f t="shared" si="102"/>
        <v>241.20000000000073</v>
      </c>
      <c r="AT87" s="2">
        <f t="shared" si="93"/>
        <v>505.20000000001244</v>
      </c>
      <c r="AU87" s="1" t="e">
        <f t="shared" si="66"/>
        <v>#N/A</v>
      </c>
      <c r="AV87" s="2">
        <f t="shared" si="82"/>
        <v>30</v>
      </c>
      <c r="AW87" s="3">
        <f t="shared" si="83"/>
        <v>25.200000000000038</v>
      </c>
      <c r="AX87" s="3">
        <f t="shared" si="94"/>
        <v>4.7999999999999616</v>
      </c>
      <c r="AY87" s="2">
        <f t="shared" si="84"/>
        <v>25.630000000003747</v>
      </c>
    </row>
    <row r="88" spans="14:51" x14ac:dyDescent="0.25">
      <c r="N88" s="10">
        <f t="shared" si="95"/>
        <v>25.500000000000039</v>
      </c>
      <c r="O88" s="10">
        <f t="shared" si="67"/>
        <v>1</v>
      </c>
      <c r="P88" s="10">
        <f t="shared" si="68"/>
        <v>1</v>
      </c>
      <c r="Q88" s="10">
        <f t="shared" si="69"/>
        <v>0</v>
      </c>
      <c r="R88" s="1">
        <f t="shared" si="70"/>
        <v>544.67000000000883</v>
      </c>
      <c r="S88" s="1">
        <f t="shared" si="71"/>
        <v>750.00000000001955</v>
      </c>
      <c r="T88" s="1">
        <f t="shared" si="72"/>
        <v>-3999.9999999999372</v>
      </c>
      <c r="U88" s="1">
        <f t="shared" si="73"/>
        <v>-1280</v>
      </c>
      <c r="V88" s="2">
        <f t="shared" si="85"/>
        <v>301.20000000000488</v>
      </c>
      <c r="W88" s="3">
        <f t="shared" si="96"/>
        <v>-1.0100000000000016</v>
      </c>
      <c r="X88" s="3">
        <f t="shared" si="74"/>
        <v>11.500000000000039</v>
      </c>
      <c r="Y88" s="3">
        <f t="shared" si="75"/>
        <v>-1.0100000000000016</v>
      </c>
      <c r="Z88" s="3">
        <f t="shared" si="65"/>
        <v>0</v>
      </c>
      <c r="AA88" s="3">
        <f t="shared" si="86"/>
        <v>2.5100000000000406</v>
      </c>
      <c r="AB88" s="3">
        <f t="shared" si="97"/>
        <v>-3</v>
      </c>
      <c r="AC88" s="3">
        <f t="shared" si="76"/>
        <v>0.50000000000003908</v>
      </c>
      <c r="AD88" s="3">
        <f t="shared" si="77"/>
        <v>-3</v>
      </c>
      <c r="AE88" s="3">
        <f t="shared" si="98"/>
        <v>0</v>
      </c>
      <c r="AF88" s="3">
        <f t="shared" si="87"/>
        <v>0.50000000000003908</v>
      </c>
      <c r="AG88" s="3">
        <f t="shared" si="99"/>
        <v>-0.8</v>
      </c>
      <c r="AH88" s="3">
        <f t="shared" si="78"/>
        <v>0</v>
      </c>
      <c r="AI88" s="3">
        <f t="shared" si="79"/>
        <v>-0.8</v>
      </c>
      <c r="AJ88" s="3">
        <f t="shared" si="88"/>
        <v>0</v>
      </c>
      <c r="AK88" s="3">
        <f t="shared" si="89"/>
        <v>0</v>
      </c>
      <c r="AL88" s="2">
        <f t="shared" si="90"/>
        <v>301.20000000000488</v>
      </c>
      <c r="AM88" s="2">
        <f t="shared" si="80"/>
        <v>502.00000000000813</v>
      </c>
      <c r="AN88" s="2">
        <f t="shared" si="100"/>
        <v>803.20000000001301</v>
      </c>
      <c r="AO88" s="2">
        <f t="shared" si="91"/>
        <v>-202.00000000000031</v>
      </c>
      <c r="AP88" s="2">
        <f t="shared" si="81"/>
        <v>0</v>
      </c>
      <c r="AQ88" s="2">
        <f t="shared" si="92"/>
        <v>0</v>
      </c>
      <c r="AR88" s="2">
        <f t="shared" si="101"/>
        <v>0</v>
      </c>
      <c r="AS88" s="2">
        <f t="shared" si="102"/>
        <v>241.20000000000073</v>
      </c>
      <c r="AT88" s="2">
        <f t="shared" si="93"/>
        <v>601.20000000001266</v>
      </c>
      <c r="AU88" s="1" t="e">
        <f t="shared" si="66"/>
        <v>#N/A</v>
      </c>
      <c r="AV88" s="2">
        <f t="shared" si="82"/>
        <v>30</v>
      </c>
      <c r="AW88" s="3">
        <f t="shared" si="83"/>
        <v>25.500000000000039</v>
      </c>
      <c r="AX88" s="3">
        <f t="shared" si="94"/>
        <v>4.4999999999999609</v>
      </c>
      <c r="AY88" s="2">
        <f t="shared" si="84"/>
        <v>56.530000000003838</v>
      </c>
    </row>
    <row r="89" spans="14:51" x14ac:dyDescent="0.25">
      <c r="N89" s="10">
        <f t="shared" si="95"/>
        <v>25.80000000000004</v>
      </c>
      <c r="O89" s="10">
        <f t="shared" si="67"/>
        <v>1</v>
      </c>
      <c r="P89" s="10">
        <f t="shared" si="68"/>
        <v>1</v>
      </c>
      <c r="Q89" s="10">
        <f t="shared" si="69"/>
        <v>0</v>
      </c>
      <c r="R89" s="1">
        <f t="shared" si="70"/>
        <v>609.77000000000896</v>
      </c>
      <c r="S89" s="1">
        <f t="shared" si="71"/>
        <v>900.0000000000199</v>
      </c>
      <c r="T89" s="1">
        <f t="shared" si="72"/>
        <v>-3519.9999999999363</v>
      </c>
      <c r="U89" s="1">
        <f t="shared" si="73"/>
        <v>-1280</v>
      </c>
      <c r="V89" s="2">
        <f t="shared" si="85"/>
        <v>337.20000000000493</v>
      </c>
      <c r="W89" s="3">
        <f t="shared" si="96"/>
        <v>-1.0100000000000016</v>
      </c>
      <c r="X89" s="3">
        <f t="shared" si="74"/>
        <v>11.80000000000004</v>
      </c>
      <c r="Y89" s="3">
        <f t="shared" si="75"/>
        <v>-1.0100000000000016</v>
      </c>
      <c r="Z89" s="3">
        <f t="shared" si="65"/>
        <v>0</v>
      </c>
      <c r="AA89" s="3">
        <f t="shared" si="86"/>
        <v>2.8100000000000414</v>
      </c>
      <c r="AB89" s="3">
        <f t="shared" si="97"/>
        <v>-3</v>
      </c>
      <c r="AC89" s="3">
        <f t="shared" si="76"/>
        <v>0.80000000000003979</v>
      </c>
      <c r="AD89" s="3">
        <f t="shared" si="77"/>
        <v>-3</v>
      </c>
      <c r="AE89" s="3">
        <f t="shared" si="98"/>
        <v>0</v>
      </c>
      <c r="AF89" s="3">
        <f t="shared" si="87"/>
        <v>0.80000000000003979</v>
      </c>
      <c r="AG89" s="3">
        <f t="shared" si="99"/>
        <v>-0.8</v>
      </c>
      <c r="AH89" s="3">
        <f t="shared" si="78"/>
        <v>0</v>
      </c>
      <c r="AI89" s="3">
        <f t="shared" si="79"/>
        <v>-0.8</v>
      </c>
      <c r="AJ89" s="3">
        <f t="shared" si="88"/>
        <v>0</v>
      </c>
      <c r="AK89" s="3">
        <f t="shared" si="89"/>
        <v>0</v>
      </c>
      <c r="AL89" s="2">
        <f t="shared" si="90"/>
        <v>337.20000000000493</v>
      </c>
      <c r="AM89" s="2">
        <f t="shared" si="80"/>
        <v>562.0000000000083</v>
      </c>
      <c r="AN89" s="2">
        <f t="shared" si="100"/>
        <v>899.20000000001323</v>
      </c>
      <c r="AO89" s="2">
        <f t="shared" si="91"/>
        <v>-202.00000000000031</v>
      </c>
      <c r="AP89" s="2">
        <f t="shared" si="81"/>
        <v>0</v>
      </c>
      <c r="AQ89" s="2">
        <f t="shared" si="92"/>
        <v>0</v>
      </c>
      <c r="AR89" s="2">
        <f t="shared" si="101"/>
        <v>0</v>
      </c>
      <c r="AS89" s="2">
        <f t="shared" si="102"/>
        <v>241.20000000000073</v>
      </c>
      <c r="AT89" s="2">
        <f t="shared" si="93"/>
        <v>697.20000000001289</v>
      </c>
      <c r="AU89" s="1" t="e">
        <f t="shared" si="66"/>
        <v>#N/A</v>
      </c>
      <c r="AV89" s="2">
        <f t="shared" si="82"/>
        <v>30</v>
      </c>
      <c r="AW89" s="3">
        <f t="shared" si="83"/>
        <v>25.80000000000004</v>
      </c>
      <c r="AX89" s="3">
        <f t="shared" si="94"/>
        <v>4.1999999999999602</v>
      </c>
      <c r="AY89" s="2">
        <f t="shared" si="84"/>
        <v>87.430000000003929</v>
      </c>
    </row>
    <row r="90" spans="14:51" x14ac:dyDescent="0.25">
      <c r="N90" s="10">
        <f t="shared" si="95"/>
        <v>26.100000000000041</v>
      </c>
      <c r="O90" s="10">
        <f t="shared" si="67"/>
        <v>1</v>
      </c>
      <c r="P90" s="10">
        <f t="shared" si="68"/>
        <v>1</v>
      </c>
      <c r="Q90" s="10">
        <f t="shared" si="69"/>
        <v>0</v>
      </c>
      <c r="R90" s="1">
        <f t="shared" si="70"/>
        <v>674.8700000000091</v>
      </c>
      <c r="S90" s="1">
        <f t="shared" si="71"/>
        <v>1050.0000000000202</v>
      </c>
      <c r="T90" s="1">
        <f t="shared" si="72"/>
        <v>-3039.9999999999354</v>
      </c>
      <c r="U90" s="1">
        <f t="shared" si="73"/>
        <v>-1280</v>
      </c>
      <c r="V90" s="2">
        <f t="shared" si="85"/>
        <v>373.20000000000505</v>
      </c>
      <c r="W90" s="3">
        <f t="shared" si="96"/>
        <v>-1.0100000000000016</v>
      </c>
      <c r="X90" s="3">
        <f t="shared" si="74"/>
        <v>12.100000000000041</v>
      </c>
      <c r="Y90" s="3">
        <f t="shared" si="75"/>
        <v>-1.0100000000000016</v>
      </c>
      <c r="Z90" s="3">
        <f t="shared" si="65"/>
        <v>0</v>
      </c>
      <c r="AA90" s="3">
        <f t="shared" si="86"/>
        <v>3.1100000000000421</v>
      </c>
      <c r="AB90" s="3">
        <f t="shared" si="97"/>
        <v>-3</v>
      </c>
      <c r="AC90" s="3">
        <f t="shared" si="76"/>
        <v>1.1000000000000405</v>
      </c>
      <c r="AD90" s="3">
        <f t="shared" si="77"/>
        <v>-3</v>
      </c>
      <c r="AE90" s="3">
        <f t="shared" si="98"/>
        <v>0</v>
      </c>
      <c r="AF90" s="3">
        <f t="shared" si="87"/>
        <v>1.1000000000000405</v>
      </c>
      <c r="AG90" s="3">
        <f t="shared" si="99"/>
        <v>-0.8</v>
      </c>
      <c r="AH90" s="3">
        <f t="shared" si="78"/>
        <v>0</v>
      </c>
      <c r="AI90" s="3">
        <f t="shared" si="79"/>
        <v>-0.8</v>
      </c>
      <c r="AJ90" s="3">
        <f t="shared" si="88"/>
        <v>0</v>
      </c>
      <c r="AK90" s="3">
        <f t="shared" si="89"/>
        <v>0</v>
      </c>
      <c r="AL90" s="2">
        <f t="shared" si="90"/>
        <v>373.20000000000505</v>
      </c>
      <c r="AM90" s="2">
        <f t="shared" si="80"/>
        <v>622.00000000000841</v>
      </c>
      <c r="AN90" s="2">
        <f t="shared" si="100"/>
        <v>995.20000000001346</v>
      </c>
      <c r="AO90" s="2">
        <f t="shared" si="91"/>
        <v>-202.00000000000031</v>
      </c>
      <c r="AP90" s="2">
        <f t="shared" si="81"/>
        <v>0</v>
      </c>
      <c r="AQ90" s="2">
        <f t="shared" si="92"/>
        <v>0</v>
      </c>
      <c r="AR90" s="2">
        <f t="shared" si="101"/>
        <v>0</v>
      </c>
      <c r="AS90" s="2">
        <f t="shared" si="102"/>
        <v>241.20000000000073</v>
      </c>
      <c r="AT90" s="2">
        <f t="shared" si="93"/>
        <v>793.20000000001312</v>
      </c>
      <c r="AU90" s="1" t="e">
        <f t="shared" si="66"/>
        <v>#N/A</v>
      </c>
      <c r="AV90" s="2">
        <f t="shared" si="82"/>
        <v>30</v>
      </c>
      <c r="AW90" s="3">
        <f t="shared" si="83"/>
        <v>26.100000000000041</v>
      </c>
      <c r="AX90" s="3">
        <f t="shared" si="94"/>
        <v>3.8999999999999595</v>
      </c>
      <c r="AY90" s="2">
        <f t="shared" si="84"/>
        <v>118.33000000000402</v>
      </c>
    </row>
    <row r="91" spans="14:51" x14ac:dyDescent="0.25">
      <c r="N91" s="10">
        <f t="shared" si="95"/>
        <v>26.400000000000041</v>
      </c>
      <c r="O91" s="10">
        <f t="shared" si="67"/>
        <v>1</v>
      </c>
      <c r="P91" s="10">
        <f t="shared" si="68"/>
        <v>1</v>
      </c>
      <c r="Q91" s="10">
        <f t="shared" si="69"/>
        <v>0</v>
      </c>
      <c r="R91" s="1">
        <f t="shared" si="70"/>
        <v>739.97000000000924</v>
      </c>
      <c r="S91" s="1">
        <f t="shared" si="71"/>
        <v>1200.0000000000207</v>
      </c>
      <c r="T91" s="1">
        <f t="shared" si="72"/>
        <v>-2559.9999999999341</v>
      </c>
      <c r="U91" s="1">
        <f t="shared" si="73"/>
        <v>-1280</v>
      </c>
      <c r="V91" s="2">
        <f t="shared" si="85"/>
        <v>409.20000000000516</v>
      </c>
      <c r="W91" s="3">
        <f t="shared" si="96"/>
        <v>-1.0100000000000016</v>
      </c>
      <c r="X91" s="3">
        <f t="shared" si="74"/>
        <v>12.400000000000041</v>
      </c>
      <c r="Y91" s="3">
        <f t="shared" si="75"/>
        <v>-1.0100000000000016</v>
      </c>
      <c r="Z91" s="3">
        <f t="shared" si="65"/>
        <v>0</v>
      </c>
      <c r="AA91" s="3">
        <f t="shared" si="86"/>
        <v>3.4100000000000428</v>
      </c>
      <c r="AB91" s="3">
        <f t="shared" si="97"/>
        <v>-3</v>
      </c>
      <c r="AC91" s="3">
        <f t="shared" si="76"/>
        <v>1.4000000000000412</v>
      </c>
      <c r="AD91" s="3">
        <f t="shared" si="77"/>
        <v>-3</v>
      </c>
      <c r="AE91" s="3">
        <f t="shared" si="98"/>
        <v>0</v>
      </c>
      <c r="AF91" s="3">
        <f t="shared" si="87"/>
        <v>1.4000000000000412</v>
      </c>
      <c r="AG91" s="3">
        <f t="shared" si="99"/>
        <v>-0.8</v>
      </c>
      <c r="AH91" s="3">
        <f t="shared" si="78"/>
        <v>0</v>
      </c>
      <c r="AI91" s="3">
        <f t="shared" si="79"/>
        <v>-0.8</v>
      </c>
      <c r="AJ91" s="3">
        <f t="shared" si="88"/>
        <v>0</v>
      </c>
      <c r="AK91" s="3">
        <f t="shared" si="89"/>
        <v>0</v>
      </c>
      <c r="AL91" s="2">
        <f t="shared" si="90"/>
        <v>409.20000000000516</v>
      </c>
      <c r="AM91" s="2">
        <f t="shared" si="80"/>
        <v>682.00000000000853</v>
      </c>
      <c r="AN91" s="2">
        <f t="shared" si="100"/>
        <v>1091.2000000000137</v>
      </c>
      <c r="AO91" s="2">
        <f t="shared" si="91"/>
        <v>-202.00000000000031</v>
      </c>
      <c r="AP91" s="2">
        <f t="shared" si="81"/>
        <v>0</v>
      </c>
      <c r="AQ91" s="2">
        <f t="shared" si="92"/>
        <v>0</v>
      </c>
      <c r="AR91" s="2">
        <f t="shared" si="101"/>
        <v>0</v>
      </c>
      <c r="AS91" s="2">
        <f t="shared" si="102"/>
        <v>241.20000000000073</v>
      </c>
      <c r="AT91" s="2">
        <f t="shared" si="93"/>
        <v>889.20000000001335</v>
      </c>
      <c r="AU91" s="1" t="e">
        <f t="shared" si="66"/>
        <v>#N/A</v>
      </c>
      <c r="AV91" s="2">
        <f t="shared" si="82"/>
        <v>30</v>
      </c>
      <c r="AW91" s="3">
        <f t="shared" si="83"/>
        <v>26.400000000000041</v>
      </c>
      <c r="AX91" s="3">
        <f t="shared" si="94"/>
        <v>3.5999999999999588</v>
      </c>
      <c r="AY91" s="2">
        <f t="shared" si="84"/>
        <v>149.23000000000411</v>
      </c>
    </row>
    <row r="92" spans="14:51" x14ac:dyDescent="0.25">
      <c r="N92" s="10">
        <f t="shared" si="95"/>
        <v>26.700000000000042</v>
      </c>
      <c r="O92" s="10">
        <f t="shared" si="67"/>
        <v>1</v>
      </c>
      <c r="P92" s="10">
        <f t="shared" si="68"/>
        <v>1</v>
      </c>
      <c r="Q92" s="10">
        <f t="shared" si="69"/>
        <v>0</v>
      </c>
      <c r="R92" s="1">
        <f t="shared" si="70"/>
        <v>805.07000000000949</v>
      </c>
      <c r="S92" s="1">
        <f t="shared" si="71"/>
        <v>1350.0000000000209</v>
      </c>
      <c r="T92" s="1">
        <f t="shared" si="72"/>
        <v>-2079.9999999999327</v>
      </c>
      <c r="U92" s="1">
        <f t="shared" si="73"/>
        <v>-1280</v>
      </c>
      <c r="V92" s="2">
        <f t="shared" si="85"/>
        <v>445.20000000000522</v>
      </c>
      <c r="W92" s="3">
        <f t="shared" si="96"/>
        <v>-1.0100000000000016</v>
      </c>
      <c r="X92" s="3">
        <f t="shared" si="74"/>
        <v>12.700000000000042</v>
      </c>
      <c r="Y92" s="3">
        <f t="shared" si="75"/>
        <v>-1.0100000000000016</v>
      </c>
      <c r="Z92" s="3">
        <f t="shared" si="65"/>
        <v>0</v>
      </c>
      <c r="AA92" s="3">
        <f t="shared" si="86"/>
        <v>3.7100000000000435</v>
      </c>
      <c r="AB92" s="3">
        <f t="shared" si="97"/>
        <v>-3</v>
      </c>
      <c r="AC92" s="3">
        <f t="shared" si="76"/>
        <v>1.7000000000000419</v>
      </c>
      <c r="AD92" s="3">
        <f t="shared" si="77"/>
        <v>-3</v>
      </c>
      <c r="AE92" s="3">
        <f t="shared" si="98"/>
        <v>0</v>
      </c>
      <c r="AF92" s="3">
        <f t="shared" si="87"/>
        <v>1.7000000000000419</v>
      </c>
      <c r="AG92" s="3">
        <f t="shared" si="99"/>
        <v>-0.8</v>
      </c>
      <c r="AH92" s="3">
        <f t="shared" si="78"/>
        <v>0</v>
      </c>
      <c r="AI92" s="3">
        <f t="shared" si="79"/>
        <v>-0.8</v>
      </c>
      <c r="AJ92" s="3">
        <f t="shared" si="88"/>
        <v>0</v>
      </c>
      <c r="AK92" s="3">
        <f t="shared" si="89"/>
        <v>0</v>
      </c>
      <c r="AL92" s="2">
        <f t="shared" si="90"/>
        <v>445.20000000000522</v>
      </c>
      <c r="AM92" s="2">
        <f t="shared" si="80"/>
        <v>742.00000000000864</v>
      </c>
      <c r="AN92" s="2">
        <f t="shared" si="100"/>
        <v>1187.2000000000139</v>
      </c>
      <c r="AO92" s="2">
        <f t="shared" si="91"/>
        <v>-202.00000000000031</v>
      </c>
      <c r="AP92" s="2">
        <f t="shared" si="81"/>
        <v>0</v>
      </c>
      <c r="AQ92" s="2">
        <f t="shared" si="92"/>
        <v>0</v>
      </c>
      <c r="AR92" s="2">
        <f t="shared" si="101"/>
        <v>0</v>
      </c>
      <c r="AS92" s="2">
        <f t="shared" si="102"/>
        <v>241.20000000000073</v>
      </c>
      <c r="AT92" s="2">
        <f t="shared" si="93"/>
        <v>985.20000000001357</v>
      </c>
      <c r="AU92" s="1" t="e">
        <f t="shared" si="66"/>
        <v>#N/A</v>
      </c>
      <c r="AV92" s="2">
        <f t="shared" si="82"/>
        <v>30</v>
      </c>
      <c r="AW92" s="3">
        <f t="shared" si="83"/>
        <v>26.700000000000042</v>
      </c>
      <c r="AX92" s="3">
        <f t="shared" si="94"/>
        <v>3.2999999999999581</v>
      </c>
      <c r="AY92" s="2">
        <f t="shared" si="84"/>
        <v>180.13000000000409</v>
      </c>
    </row>
    <row r="93" spans="14:51" x14ac:dyDescent="0.25">
      <c r="N93" s="10">
        <f t="shared" si="95"/>
        <v>27.000000000000043</v>
      </c>
      <c r="O93" s="10">
        <f t="shared" si="67"/>
        <v>1</v>
      </c>
      <c r="P93" s="10">
        <f t="shared" si="68"/>
        <v>1</v>
      </c>
      <c r="Q93" s="10">
        <f t="shared" si="69"/>
        <v>1</v>
      </c>
      <c r="R93" s="1">
        <f t="shared" si="70"/>
        <v>870.17000000000962</v>
      </c>
      <c r="S93" s="1">
        <f t="shared" si="71"/>
        <v>1500.0000000000214</v>
      </c>
      <c r="T93" s="1">
        <f t="shared" si="72"/>
        <v>-1599.9999999999318</v>
      </c>
      <c r="U93" s="1">
        <f t="shared" si="73"/>
        <v>-1279.9999999999318</v>
      </c>
      <c r="V93" s="2">
        <f t="shared" si="85"/>
        <v>481.20000000000528</v>
      </c>
      <c r="W93" s="3">
        <f t="shared" si="96"/>
        <v>-1.0100000000000016</v>
      </c>
      <c r="X93" s="3">
        <f t="shared" si="74"/>
        <v>13.000000000000043</v>
      </c>
      <c r="Y93" s="3">
        <f t="shared" si="75"/>
        <v>-1.0100000000000016</v>
      </c>
      <c r="Z93" s="3">
        <f t="shared" si="65"/>
        <v>0</v>
      </c>
      <c r="AA93" s="3">
        <f t="shared" si="86"/>
        <v>4.0100000000000442</v>
      </c>
      <c r="AB93" s="3">
        <f t="shared" si="97"/>
        <v>-3</v>
      </c>
      <c r="AC93" s="3">
        <f t="shared" si="76"/>
        <v>2.0000000000000426</v>
      </c>
      <c r="AD93" s="3">
        <f t="shared" si="77"/>
        <v>-3</v>
      </c>
      <c r="AE93" s="3">
        <f t="shared" si="98"/>
        <v>0</v>
      </c>
      <c r="AF93" s="3">
        <f t="shared" si="87"/>
        <v>2.0000000000000426</v>
      </c>
      <c r="AG93" s="3">
        <f t="shared" si="99"/>
        <v>-0.8</v>
      </c>
      <c r="AH93" s="3">
        <f t="shared" si="78"/>
        <v>4.2632564145606011E-14</v>
      </c>
      <c r="AI93" s="3">
        <f t="shared" si="79"/>
        <v>-0.8</v>
      </c>
      <c r="AJ93" s="3">
        <f t="shared" si="88"/>
        <v>0</v>
      </c>
      <c r="AK93" s="3">
        <f t="shared" si="89"/>
        <v>4.2632564145606011E-14</v>
      </c>
      <c r="AL93" s="2">
        <f t="shared" si="90"/>
        <v>481.20000000000528</v>
      </c>
      <c r="AM93" s="2">
        <f t="shared" si="80"/>
        <v>802.00000000000887</v>
      </c>
      <c r="AN93" s="2">
        <f t="shared" si="100"/>
        <v>1283.2000000000141</v>
      </c>
      <c r="AO93" s="2">
        <f t="shared" si="91"/>
        <v>-202.00000000000031</v>
      </c>
      <c r="AP93" s="2">
        <f t="shared" si="81"/>
        <v>0</v>
      </c>
      <c r="AQ93" s="2">
        <f t="shared" si="92"/>
        <v>0</v>
      </c>
      <c r="AR93" s="2">
        <f t="shared" si="101"/>
        <v>0</v>
      </c>
      <c r="AS93" s="2">
        <f t="shared" si="102"/>
        <v>241.20000000000073</v>
      </c>
      <c r="AT93" s="2">
        <f t="shared" si="93"/>
        <v>1081.2000000000139</v>
      </c>
      <c r="AU93" s="1" t="e">
        <f t="shared" si="66"/>
        <v>#N/A</v>
      </c>
      <c r="AV93" s="2">
        <f t="shared" si="82"/>
        <v>30</v>
      </c>
      <c r="AW93" s="3">
        <f t="shared" si="83"/>
        <v>27.000000000000043</v>
      </c>
      <c r="AX93" s="3">
        <f t="shared" si="94"/>
        <v>2.9999999999999574</v>
      </c>
      <c r="AY93" s="2">
        <f t="shared" si="84"/>
        <v>211.03000000000429</v>
      </c>
    </row>
    <row r="94" spans="14:51" x14ac:dyDescent="0.25">
      <c r="N94" s="10">
        <f t="shared" si="95"/>
        <v>27.300000000000043</v>
      </c>
      <c r="O94" s="10">
        <f t="shared" si="67"/>
        <v>1</v>
      </c>
      <c r="P94" s="10">
        <f t="shared" si="68"/>
        <v>1</v>
      </c>
      <c r="Q94" s="10">
        <f t="shared" si="69"/>
        <v>1</v>
      </c>
      <c r="R94" s="1">
        <f t="shared" si="70"/>
        <v>935.27000000000976</v>
      </c>
      <c r="S94" s="1">
        <f t="shared" si="71"/>
        <v>1650.0000000000216</v>
      </c>
      <c r="T94" s="1">
        <f t="shared" si="72"/>
        <v>-1119.9999999999307</v>
      </c>
      <c r="U94" s="1">
        <f t="shared" si="73"/>
        <v>-799.99999999993076</v>
      </c>
      <c r="V94" s="2">
        <f t="shared" si="85"/>
        <v>517.20000000000539</v>
      </c>
      <c r="W94" s="3">
        <f t="shared" si="96"/>
        <v>-1.0100000000000016</v>
      </c>
      <c r="X94" s="3">
        <f t="shared" si="74"/>
        <v>13.300000000000043</v>
      </c>
      <c r="Y94" s="3">
        <f t="shared" si="75"/>
        <v>-1.0100000000000016</v>
      </c>
      <c r="Z94" s="3">
        <f t="shared" si="65"/>
        <v>0</v>
      </c>
      <c r="AA94" s="3">
        <f t="shared" si="86"/>
        <v>4.3100000000000449</v>
      </c>
      <c r="AB94" s="3">
        <f t="shared" si="97"/>
        <v>-3</v>
      </c>
      <c r="AC94" s="3">
        <f t="shared" si="76"/>
        <v>2.3000000000000433</v>
      </c>
      <c r="AD94" s="3">
        <f t="shared" si="77"/>
        <v>-3</v>
      </c>
      <c r="AE94" s="3">
        <f t="shared" si="98"/>
        <v>0</v>
      </c>
      <c r="AF94" s="3">
        <f t="shared" si="87"/>
        <v>2.3000000000000433</v>
      </c>
      <c r="AG94" s="3">
        <f t="shared" si="99"/>
        <v>-0.8</v>
      </c>
      <c r="AH94" s="3">
        <f t="shared" si="78"/>
        <v>0.30000000000004334</v>
      </c>
      <c r="AI94" s="3">
        <f t="shared" si="79"/>
        <v>-0.8</v>
      </c>
      <c r="AJ94" s="3">
        <f t="shared" si="88"/>
        <v>0</v>
      </c>
      <c r="AK94" s="3">
        <f t="shared" si="89"/>
        <v>0.30000000000004334</v>
      </c>
      <c r="AL94" s="2">
        <f t="shared" si="90"/>
        <v>517.20000000000539</v>
      </c>
      <c r="AM94" s="2">
        <f t="shared" si="80"/>
        <v>862.00000000000898</v>
      </c>
      <c r="AN94" s="2">
        <f t="shared" si="100"/>
        <v>1379.2000000000144</v>
      </c>
      <c r="AO94" s="2">
        <f t="shared" si="91"/>
        <v>-202.00000000000031</v>
      </c>
      <c r="AP94" s="2">
        <f t="shared" si="81"/>
        <v>0</v>
      </c>
      <c r="AQ94" s="2">
        <f t="shared" si="92"/>
        <v>0</v>
      </c>
      <c r="AR94" s="2">
        <f t="shared" si="101"/>
        <v>0</v>
      </c>
      <c r="AS94" s="2">
        <f t="shared" si="102"/>
        <v>241.20000000000073</v>
      </c>
      <c r="AT94" s="2">
        <f t="shared" si="93"/>
        <v>1177.2000000000141</v>
      </c>
      <c r="AU94" s="1" t="e">
        <f t="shared" si="66"/>
        <v>#N/A</v>
      </c>
      <c r="AV94" s="2">
        <f t="shared" si="82"/>
        <v>30</v>
      </c>
      <c r="AW94" s="3">
        <f t="shared" si="83"/>
        <v>27.300000000000043</v>
      </c>
      <c r="AX94" s="3">
        <f t="shared" si="94"/>
        <v>2.6999999999999567</v>
      </c>
      <c r="AY94" s="2">
        <f t="shared" si="84"/>
        <v>241.93000000000438</v>
      </c>
    </row>
    <row r="95" spans="14:51" x14ac:dyDescent="0.25">
      <c r="N95" s="10">
        <f t="shared" si="95"/>
        <v>27.600000000000044</v>
      </c>
      <c r="O95" s="10">
        <f t="shared" si="67"/>
        <v>1</v>
      </c>
      <c r="P95" s="10">
        <f t="shared" si="68"/>
        <v>1</v>
      </c>
      <c r="Q95" s="10">
        <f t="shared" si="69"/>
        <v>1</v>
      </c>
      <c r="R95" s="1">
        <f t="shared" si="70"/>
        <v>1000.3700000000099</v>
      </c>
      <c r="S95" s="1">
        <f t="shared" si="71"/>
        <v>1800.0000000000221</v>
      </c>
      <c r="T95" s="1">
        <f t="shared" si="72"/>
        <v>-639.99999999992951</v>
      </c>
      <c r="U95" s="1">
        <f t="shared" si="73"/>
        <v>-319.99999999992957</v>
      </c>
      <c r="V95" s="2">
        <f t="shared" si="85"/>
        <v>553.2000000000055</v>
      </c>
      <c r="W95" s="3">
        <f t="shared" si="96"/>
        <v>-1.0100000000000016</v>
      </c>
      <c r="X95" s="3">
        <f t="shared" si="74"/>
        <v>13.600000000000044</v>
      </c>
      <c r="Y95" s="3">
        <f t="shared" si="75"/>
        <v>-1.0100000000000016</v>
      </c>
      <c r="Z95" s="3">
        <f t="shared" si="65"/>
        <v>0</v>
      </c>
      <c r="AA95" s="3">
        <f t="shared" si="86"/>
        <v>4.6100000000000456</v>
      </c>
      <c r="AB95" s="3">
        <f t="shared" si="97"/>
        <v>-3</v>
      </c>
      <c r="AC95" s="3">
        <f t="shared" si="76"/>
        <v>2.6000000000000441</v>
      </c>
      <c r="AD95" s="3">
        <f t="shared" si="77"/>
        <v>-3</v>
      </c>
      <c r="AE95" s="3">
        <f t="shared" si="98"/>
        <v>0</v>
      </c>
      <c r="AF95" s="3">
        <f t="shared" si="87"/>
        <v>2.6000000000000441</v>
      </c>
      <c r="AG95" s="3">
        <f t="shared" si="99"/>
        <v>-0.8</v>
      </c>
      <c r="AH95" s="3">
        <f t="shared" si="78"/>
        <v>0.60000000000004405</v>
      </c>
      <c r="AI95" s="3">
        <f t="shared" si="79"/>
        <v>-0.8</v>
      </c>
      <c r="AJ95" s="3">
        <f t="shared" si="88"/>
        <v>0</v>
      </c>
      <c r="AK95" s="3">
        <f t="shared" si="89"/>
        <v>0.60000000000004405</v>
      </c>
      <c r="AL95" s="2">
        <f t="shared" si="90"/>
        <v>553.2000000000055</v>
      </c>
      <c r="AM95" s="2">
        <f t="shared" si="80"/>
        <v>922.00000000000909</v>
      </c>
      <c r="AN95" s="2">
        <f t="shared" si="100"/>
        <v>1475.2000000000146</v>
      </c>
      <c r="AO95" s="2">
        <f t="shared" si="91"/>
        <v>-202.00000000000031</v>
      </c>
      <c r="AP95" s="2">
        <f t="shared" si="81"/>
        <v>0</v>
      </c>
      <c r="AQ95" s="2">
        <f t="shared" si="92"/>
        <v>0</v>
      </c>
      <c r="AR95" s="2">
        <f t="shared" si="101"/>
        <v>0</v>
      </c>
      <c r="AS95" s="2">
        <f t="shared" si="102"/>
        <v>241.20000000000073</v>
      </c>
      <c r="AT95" s="2">
        <f t="shared" si="93"/>
        <v>1273.2000000000144</v>
      </c>
      <c r="AU95" s="1" t="e">
        <f t="shared" si="66"/>
        <v>#N/A</v>
      </c>
      <c r="AV95" s="2">
        <f t="shared" si="82"/>
        <v>30</v>
      </c>
      <c r="AW95" s="3">
        <f t="shared" si="83"/>
        <v>27.600000000000044</v>
      </c>
      <c r="AX95" s="3">
        <f t="shared" si="94"/>
        <v>2.3999999999999559</v>
      </c>
      <c r="AY95" s="2">
        <f t="shared" si="84"/>
        <v>272.83000000000447</v>
      </c>
    </row>
    <row r="96" spans="14:51" x14ac:dyDescent="0.25">
      <c r="N96" s="10">
        <f t="shared" si="95"/>
        <v>27.900000000000045</v>
      </c>
      <c r="O96" s="10">
        <f t="shared" si="67"/>
        <v>1</v>
      </c>
      <c r="P96" s="10">
        <f t="shared" si="68"/>
        <v>1</v>
      </c>
      <c r="Q96" s="10">
        <f t="shared" si="69"/>
        <v>1</v>
      </c>
      <c r="R96" s="1">
        <f t="shared" si="70"/>
        <v>1065.47000000001</v>
      </c>
      <c r="S96" s="1">
        <f t="shared" si="71"/>
        <v>1950.0000000000223</v>
      </c>
      <c r="T96" s="1">
        <f t="shared" si="72"/>
        <v>-159.99999999992838</v>
      </c>
      <c r="U96" s="1">
        <f t="shared" si="73"/>
        <v>160.00000000007157</v>
      </c>
      <c r="V96" s="2">
        <f t="shared" si="85"/>
        <v>589.2000000000055</v>
      </c>
      <c r="W96" s="3">
        <f t="shared" si="96"/>
        <v>-1.0100000000000016</v>
      </c>
      <c r="X96" s="3">
        <f t="shared" si="74"/>
        <v>13.900000000000045</v>
      </c>
      <c r="Y96" s="3">
        <f t="shared" si="75"/>
        <v>-1.0100000000000016</v>
      </c>
      <c r="Z96" s="3">
        <f t="shared" si="65"/>
        <v>0</v>
      </c>
      <c r="AA96" s="3">
        <f t="shared" si="86"/>
        <v>4.9100000000000463</v>
      </c>
      <c r="AB96" s="3">
        <f t="shared" si="97"/>
        <v>-3</v>
      </c>
      <c r="AC96" s="3">
        <f t="shared" si="76"/>
        <v>2.9000000000000448</v>
      </c>
      <c r="AD96" s="3">
        <f t="shared" si="77"/>
        <v>-3</v>
      </c>
      <c r="AE96" s="3">
        <f t="shared" si="98"/>
        <v>0</v>
      </c>
      <c r="AF96" s="3">
        <f t="shared" si="87"/>
        <v>2.9000000000000448</v>
      </c>
      <c r="AG96" s="3">
        <f t="shared" si="99"/>
        <v>-0.8</v>
      </c>
      <c r="AH96" s="3">
        <f t="shared" si="78"/>
        <v>0.90000000000004476</v>
      </c>
      <c r="AI96" s="3">
        <f t="shared" si="79"/>
        <v>-0.8</v>
      </c>
      <c r="AJ96" s="3">
        <f t="shared" si="88"/>
        <v>0</v>
      </c>
      <c r="AK96" s="3">
        <f t="shared" si="89"/>
        <v>0.90000000000004476</v>
      </c>
      <c r="AL96" s="2">
        <f t="shared" si="90"/>
        <v>589.2000000000055</v>
      </c>
      <c r="AM96" s="2">
        <f t="shared" si="80"/>
        <v>982.00000000000932</v>
      </c>
      <c r="AN96" s="2">
        <f t="shared" si="100"/>
        <v>1571.2000000000148</v>
      </c>
      <c r="AO96" s="2">
        <f t="shared" si="91"/>
        <v>-202.00000000000031</v>
      </c>
      <c r="AP96" s="2">
        <f t="shared" si="81"/>
        <v>0</v>
      </c>
      <c r="AQ96" s="2">
        <f t="shared" si="92"/>
        <v>0</v>
      </c>
      <c r="AR96" s="2">
        <f t="shared" si="101"/>
        <v>0</v>
      </c>
      <c r="AS96" s="2">
        <f t="shared" si="102"/>
        <v>241.20000000000073</v>
      </c>
      <c r="AT96" s="2">
        <f t="shared" si="93"/>
        <v>1369.2000000000146</v>
      </c>
      <c r="AU96" s="1" t="e">
        <f t="shared" si="66"/>
        <v>#N/A</v>
      </c>
      <c r="AV96" s="2">
        <f t="shared" si="82"/>
        <v>30</v>
      </c>
      <c r="AW96" s="3">
        <f t="shared" si="83"/>
        <v>27.900000000000045</v>
      </c>
      <c r="AX96" s="3">
        <f t="shared" si="94"/>
        <v>2.0999999999999552</v>
      </c>
      <c r="AY96" s="2">
        <f t="shared" si="84"/>
        <v>303.73000000000457</v>
      </c>
    </row>
    <row r="97" spans="14:51" x14ac:dyDescent="0.25">
      <c r="N97" s="10">
        <f t="shared" si="95"/>
        <v>28.200000000000045</v>
      </c>
      <c r="O97" s="10">
        <f t="shared" si="67"/>
        <v>1</v>
      </c>
      <c r="P97" s="10">
        <f t="shared" si="68"/>
        <v>1</v>
      </c>
      <c r="Q97" s="10">
        <f t="shared" si="69"/>
        <v>1</v>
      </c>
      <c r="R97" s="1">
        <f t="shared" si="70"/>
        <v>1130.5700000000102</v>
      </c>
      <c r="S97" s="1">
        <f t="shared" si="71"/>
        <v>2100.0000000000227</v>
      </c>
      <c r="T97" s="1">
        <f t="shared" si="72"/>
        <v>320.00000000007276</v>
      </c>
      <c r="U97" s="1">
        <f t="shared" si="73"/>
        <v>640.00000000007265</v>
      </c>
      <c r="V97" s="2">
        <f t="shared" si="85"/>
        <v>625.20000000000562</v>
      </c>
      <c r="W97" s="3">
        <f t="shared" si="96"/>
        <v>-1.0100000000000016</v>
      </c>
      <c r="X97" s="3">
        <f t="shared" si="74"/>
        <v>14.200000000000045</v>
      </c>
      <c r="Y97" s="3">
        <f t="shared" si="75"/>
        <v>-1.0100000000000016</v>
      </c>
      <c r="Z97" s="3">
        <f t="shared" si="65"/>
        <v>0</v>
      </c>
      <c r="AA97" s="3">
        <f t="shared" si="86"/>
        <v>5.210000000000047</v>
      </c>
      <c r="AB97" s="3">
        <f t="shared" si="97"/>
        <v>-3</v>
      </c>
      <c r="AC97" s="3">
        <f t="shared" si="76"/>
        <v>3.2000000000000455</v>
      </c>
      <c r="AD97" s="3">
        <f t="shared" si="77"/>
        <v>-3</v>
      </c>
      <c r="AE97" s="3">
        <f t="shared" si="98"/>
        <v>0</v>
      </c>
      <c r="AF97" s="3">
        <f t="shared" si="87"/>
        <v>3.2000000000000455</v>
      </c>
      <c r="AG97" s="3">
        <f t="shared" si="99"/>
        <v>-0.8</v>
      </c>
      <c r="AH97" s="3">
        <f t="shared" si="78"/>
        <v>1.2000000000000455</v>
      </c>
      <c r="AI97" s="3">
        <f t="shared" si="79"/>
        <v>-0.8</v>
      </c>
      <c r="AJ97" s="3">
        <f t="shared" si="88"/>
        <v>0</v>
      </c>
      <c r="AK97" s="3">
        <f t="shared" si="89"/>
        <v>1.2000000000000455</v>
      </c>
      <c r="AL97" s="2">
        <f t="shared" si="90"/>
        <v>625.20000000000562</v>
      </c>
      <c r="AM97" s="2">
        <f t="shared" si="80"/>
        <v>1042.0000000000093</v>
      </c>
      <c r="AN97" s="2">
        <f t="shared" si="100"/>
        <v>1667.2000000000148</v>
      </c>
      <c r="AO97" s="2">
        <f t="shared" si="91"/>
        <v>-202.00000000000031</v>
      </c>
      <c r="AP97" s="2">
        <f t="shared" si="81"/>
        <v>0</v>
      </c>
      <c r="AQ97" s="2">
        <f t="shared" si="92"/>
        <v>0</v>
      </c>
      <c r="AR97" s="2">
        <f t="shared" si="101"/>
        <v>0</v>
      </c>
      <c r="AS97" s="2">
        <f t="shared" si="102"/>
        <v>241.20000000000073</v>
      </c>
      <c r="AT97" s="2">
        <f t="shared" si="93"/>
        <v>1465.2000000000146</v>
      </c>
      <c r="AU97" s="1" t="e">
        <f t="shared" ref="AU97:AU103" si="103">IF(AX97=MIN(AX$3:AX$103),AT97,NA())</f>
        <v>#N/A</v>
      </c>
      <c r="AV97" s="2">
        <f t="shared" si="82"/>
        <v>30</v>
      </c>
      <c r="AW97" s="3">
        <f t="shared" si="83"/>
        <v>28.200000000000045</v>
      </c>
      <c r="AX97" s="3">
        <f t="shared" si="94"/>
        <v>1.7999999999999545</v>
      </c>
      <c r="AY97" s="2">
        <f t="shared" si="84"/>
        <v>334.63000000000443</v>
      </c>
    </row>
    <row r="98" spans="14:51" x14ac:dyDescent="0.25">
      <c r="N98" s="10">
        <f t="shared" si="95"/>
        <v>28.500000000000046</v>
      </c>
      <c r="O98" s="10">
        <f t="shared" si="67"/>
        <v>1</v>
      </c>
      <c r="P98" s="10">
        <f t="shared" si="68"/>
        <v>1</v>
      </c>
      <c r="Q98" s="10">
        <f t="shared" si="69"/>
        <v>1</v>
      </c>
      <c r="R98" s="1">
        <f t="shared" si="70"/>
        <v>1195.6700000000103</v>
      </c>
      <c r="S98" s="1">
        <f t="shared" si="71"/>
        <v>2250.0000000000232</v>
      </c>
      <c r="T98" s="1">
        <f t="shared" si="72"/>
        <v>800.0000000000739</v>
      </c>
      <c r="U98" s="1">
        <f t="shared" si="73"/>
        <v>1120.0000000000739</v>
      </c>
      <c r="V98" s="2">
        <f t="shared" si="85"/>
        <v>661.20000000000573</v>
      </c>
      <c r="W98" s="3">
        <f t="shared" si="96"/>
        <v>-1.0100000000000016</v>
      </c>
      <c r="X98" s="3">
        <f t="shared" si="74"/>
        <v>14.500000000000046</v>
      </c>
      <c r="Y98" s="3">
        <f t="shared" si="75"/>
        <v>-1.0100000000000016</v>
      </c>
      <c r="Z98" s="3">
        <f t="shared" si="65"/>
        <v>0</v>
      </c>
      <c r="AA98" s="3">
        <f t="shared" si="86"/>
        <v>5.5100000000000477</v>
      </c>
      <c r="AB98" s="3">
        <f t="shared" si="97"/>
        <v>-3</v>
      </c>
      <c r="AC98" s="3">
        <f t="shared" si="76"/>
        <v>3.5000000000000462</v>
      </c>
      <c r="AD98" s="3">
        <f t="shared" si="77"/>
        <v>-3</v>
      </c>
      <c r="AE98" s="3">
        <f t="shared" si="98"/>
        <v>0</v>
      </c>
      <c r="AF98" s="3">
        <f t="shared" si="87"/>
        <v>3.5000000000000462</v>
      </c>
      <c r="AG98" s="3">
        <f t="shared" si="99"/>
        <v>-0.8</v>
      </c>
      <c r="AH98" s="3">
        <f t="shared" si="78"/>
        <v>1.5000000000000462</v>
      </c>
      <c r="AI98" s="3">
        <f t="shared" si="79"/>
        <v>-0.8</v>
      </c>
      <c r="AJ98" s="3">
        <f t="shared" si="88"/>
        <v>0</v>
      </c>
      <c r="AK98" s="3">
        <f t="shared" si="89"/>
        <v>1.5000000000000462</v>
      </c>
      <c r="AL98" s="2">
        <f t="shared" si="90"/>
        <v>661.20000000000573</v>
      </c>
      <c r="AM98" s="2">
        <f t="shared" si="80"/>
        <v>1102.0000000000095</v>
      </c>
      <c r="AN98" s="2">
        <f t="shared" si="100"/>
        <v>1763.2000000000153</v>
      </c>
      <c r="AO98" s="2">
        <f t="shared" si="91"/>
        <v>-202.00000000000031</v>
      </c>
      <c r="AP98" s="2">
        <f t="shared" si="81"/>
        <v>0</v>
      </c>
      <c r="AQ98" s="2">
        <f t="shared" si="92"/>
        <v>0</v>
      </c>
      <c r="AR98" s="2">
        <f t="shared" si="101"/>
        <v>0</v>
      </c>
      <c r="AS98" s="2">
        <f t="shared" si="102"/>
        <v>241.20000000000073</v>
      </c>
      <c r="AT98" s="2">
        <f t="shared" si="93"/>
        <v>1561.2000000000151</v>
      </c>
      <c r="AU98" s="1" t="e">
        <f t="shared" si="103"/>
        <v>#N/A</v>
      </c>
      <c r="AV98" s="2">
        <f t="shared" si="82"/>
        <v>30</v>
      </c>
      <c r="AW98" s="3">
        <f t="shared" si="83"/>
        <v>28.500000000000046</v>
      </c>
      <c r="AX98" s="3">
        <f t="shared" si="94"/>
        <v>1.4999999999999538</v>
      </c>
      <c r="AY98" s="2">
        <f t="shared" si="84"/>
        <v>365.53000000000475</v>
      </c>
    </row>
    <row r="99" spans="14:51" x14ac:dyDescent="0.25">
      <c r="N99" s="10">
        <f t="shared" si="95"/>
        <v>28.800000000000047</v>
      </c>
      <c r="O99" s="10">
        <f t="shared" ref="O99:O103" si="104">IF(N99&gt;=strike1,1,0)</f>
        <v>1</v>
      </c>
      <c r="P99" s="10">
        <f t="shared" si="68"/>
        <v>1</v>
      </c>
      <c r="Q99" s="10">
        <f t="shared" si="69"/>
        <v>1</v>
      </c>
      <c r="R99" s="1">
        <f t="shared" ref="R99:R103" si="105">fullStockAllocation*(N99-stockPx)</f>
        <v>1260.7700000000104</v>
      </c>
      <c r="S99" s="1">
        <f t="shared" si="71"/>
        <v>2400.0000000000236</v>
      </c>
      <c r="T99" s="1">
        <f t="shared" si="72"/>
        <v>1280.000000000075</v>
      </c>
      <c r="U99" s="1">
        <f t="shared" si="73"/>
        <v>1600.000000000075</v>
      </c>
      <c r="V99" s="2">
        <f t="shared" si="85"/>
        <v>697.20000000000584</v>
      </c>
      <c r="W99" s="3">
        <f t="shared" si="96"/>
        <v>-1.0100000000000016</v>
      </c>
      <c r="X99" s="3">
        <f t="shared" si="74"/>
        <v>14.800000000000047</v>
      </c>
      <c r="Y99" s="3">
        <f t="shared" ref="Y99:Y103" si="106">IF($N99&lt;strike1,W99+(X99-$E$17),W99)</f>
        <v>-1.0100000000000016</v>
      </c>
      <c r="Z99" s="3">
        <f t="shared" si="65"/>
        <v>0</v>
      </c>
      <c r="AA99" s="3">
        <f t="shared" si="86"/>
        <v>5.8100000000000485</v>
      </c>
      <c r="AB99" s="3">
        <f t="shared" si="97"/>
        <v>-3</v>
      </c>
      <c r="AC99" s="3">
        <f t="shared" si="76"/>
        <v>3.8000000000000469</v>
      </c>
      <c r="AD99" s="3">
        <f t="shared" ref="AD99:AD103" si="107">IF($N99&lt;strike2,AB99+(AC99-$H$17),AB99)</f>
        <v>-3</v>
      </c>
      <c r="AE99" s="3">
        <f t="shared" si="98"/>
        <v>0</v>
      </c>
      <c r="AF99" s="3">
        <f t="shared" si="87"/>
        <v>3.8000000000000469</v>
      </c>
      <c r="AG99" s="3">
        <f t="shared" si="99"/>
        <v>-0.8</v>
      </c>
      <c r="AH99" s="3">
        <f t="shared" si="78"/>
        <v>1.8000000000000469</v>
      </c>
      <c r="AI99" s="3">
        <f t="shared" ref="AI99:AI103" si="108">IF($N99&lt;strike3,AG99+(AH99-$K$17),AG99)</f>
        <v>-0.8</v>
      </c>
      <c r="AJ99" s="3">
        <f t="shared" si="88"/>
        <v>0</v>
      </c>
      <c r="AK99" s="3">
        <f t="shared" si="89"/>
        <v>1.8000000000000469</v>
      </c>
      <c r="AL99" s="2">
        <f t="shared" si="90"/>
        <v>697.20000000000584</v>
      </c>
      <c r="AM99" s="2">
        <f t="shared" si="80"/>
        <v>1162.0000000000098</v>
      </c>
      <c r="AN99" s="2">
        <f t="shared" si="100"/>
        <v>1859.2000000000157</v>
      </c>
      <c r="AO99" s="2">
        <f t="shared" si="91"/>
        <v>-202.00000000000031</v>
      </c>
      <c r="AP99" s="2">
        <f t="shared" si="81"/>
        <v>0</v>
      </c>
      <c r="AQ99" s="2">
        <f t="shared" si="92"/>
        <v>0</v>
      </c>
      <c r="AR99" s="2">
        <f t="shared" si="101"/>
        <v>0</v>
      </c>
      <c r="AS99" s="2">
        <f t="shared" si="102"/>
        <v>241.20000000000073</v>
      </c>
      <c r="AT99" s="2">
        <f t="shared" si="93"/>
        <v>1657.2000000000155</v>
      </c>
      <c r="AU99" s="1" t="e">
        <f t="shared" si="103"/>
        <v>#N/A</v>
      </c>
      <c r="AV99" s="2">
        <f t="shared" si="82"/>
        <v>30</v>
      </c>
      <c r="AW99" s="3">
        <f t="shared" si="83"/>
        <v>28.800000000000047</v>
      </c>
      <c r="AX99" s="3">
        <f t="shared" si="94"/>
        <v>1.1999999999999531</v>
      </c>
      <c r="AY99" s="2">
        <f t="shared" si="84"/>
        <v>396.43000000000507</v>
      </c>
    </row>
    <row r="100" spans="14:51" x14ac:dyDescent="0.25">
      <c r="N100" s="10">
        <f t="shared" si="95"/>
        <v>29.100000000000048</v>
      </c>
      <c r="O100" s="10">
        <f t="shared" si="104"/>
        <v>1</v>
      </c>
      <c r="P100" s="10">
        <f t="shared" si="68"/>
        <v>1</v>
      </c>
      <c r="Q100" s="10">
        <f t="shared" si="69"/>
        <v>1</v>
      </c>
      <c r="R100" s="1">
        <f t="shared" si="105"/>
        <v>1325.8700000000106</v>
      </c>
      <c r="S100" s="1">
        <f t="shared" si="71"/>
        <v>2550.0000000000236</v>
      </c>
      <c r="T100" s="1">
        <f t="shared" si="72"/>
        <v>1760.0000000000762</v>
      </c>
      <c r="U100" s="1">
        <f t="shared" si="73"/>
        <v>2080.0000000000759</v>
      </c>
      <c r="V100" s="2">
        <f t="shared" si="85"/>
        <v>733.20000000000596</v>
      </c>
      <c r="W100" s="3">
        <f t="shared" si="96"/>
        <v>-1.0100000000000016</v>
      </c>
      <c r="X100" s="3">
        <f t="shared" si="74"/>
        <v>15.100000000000048</v>
      </c>
      <c r="Y100" s="3">
        <f t="shared" si="106"/>
        <v>-1.0100000000000016</v>
      </c>
      <c r="Z100" s="3">
        <f t="shared" si="65"/>
        <v>0</v>
      </c>
      <c r="AA100" s="3">
        <f t="shared" si="86"/>
        <v>6.1100000000000492</v>
      </c>
      <c r="AB100" s="3">
        <f t="shared" si="97"/>
        <v>-3</v>
      </c>
      <c r="AC100" s="3">
        <f t="shared" si="76"/>
        <v>4.1000000000000476</v>
      </c>
      <c r="AD100" s="3">
        <f t="shared" si="107"/>
        <v>-3</v>
      </c>
      <c r="AE100" s="3">
        <f t="shared" si="98"/>
        <v>0</v>
      </c>
      <c r="AF100" s="3">
        <f t="shared" si="87"/>
        <v>4.1000000000000476</v>
      </c>
      <c r="AG100" s="3">
        <f t="shared" si="99"/>
        <v>-0.8</v>
      </c>
      <c r="AH100" s="3">
        <f t="shared" si="78"/>
        <v>2.1000000000000476</v>
      </c>
      <c r="AI100" s="3">
        <f t="shared" si="108"/>
        <v>-0.8</v>
      </c>
      <c r="AJ100" s="3">
        <f t="shared" si="88"/>
        <v>0</v>
      </c>
      <c r="AK100" s="3">
        <f t="shared" si="89"/>
        <v>2.1000000000000476</v>
      </c>
      <c r="AL100" s="2">
        <f t="shared" si="90"/>
        <v>733.20000000000596</v>
      </c>
      <c r="AM100" s="2">
        <f t="shared" si="80"/>
        <v>1222.0000000000098</v>
      </c>
      <c r="AN100" s="2">
        <f t="shared" si="100"/>
        <v>1955.2000000000157</v>
      </c>
      <c r="AO100" s="2">
        <f t="shared" si="91"/>
        <v>-202.00000000000031</v>
      </c>
      <c r="AP100" s="2">
        <f t="shared" si="81"/>
        <v>0</v>
      </c>
      <c r="AQ100" s="2">
        <f t="shared" si="92"/>
        <v>0</v>
      </c>
      <c r="AR100" s="2">
        <f t="shared" si="101"/>
        <v>0</v>
      </c>
      <c r="AS100" s="2">
        <f t="shared" si="102"/>
        <v>241.20000000000073</v>
      </c>
      <c r="AT100" s="2">
        <f t="shared" si="93"/>
        <v>1753.2000000000155</v>
      </c>
      <c r="AU100" s="1" t="e">
        <f t="shared" si="103"/>
        <v>#N/A</v>
      </c>
      <c r="AV100" s="2">
        <f t="shared" si="82"/>
        <v>30</v>
      </c>
      <c r="AW100" s="3">
        <f t="shared" si="83"/>
        <v>29.100000000000048</v>
      </c>
      <c r="AX100" s="3">
        <f t="shared" si="94"/>
        <v>0.89999999999995239</v>
      </c>
      <c r="AY100" s="2">
        <f t="shared" si="84"/>
        <v>427.33000000000493</v>
      </c>
    </row>
    <row r="101" spans="14:51" x14ac:dyDescent="0.25">
      <c r="N101" s="10">
        <f t="shared" si="95"/>
        <v>29.400000000000048</v>
      </c>
      <c r="O101" s="10">
        <f t="shared" si="104"/>
        <v>1</v>
      </c>
      <c r="P101" s="10">
        <f t="shared" si="68"/>
        <v>1</v>
      </c>
      <c r="Q101" s="10">
        <f t="shared" si="69"/>
        <v>1</v>
      </c>
      <c r="R101" s="1">
        <f t="shared" si="105"/>
        <v>1390.9700000000107</v>
      </c>
      <c r="S101" s="1">
        <f t="shared" si="71"/>
        <v>2700.0000000000241</v>
      </c>
      <c r="T101" s="1">
        <f t="shared" si="72"/>
        <v>2240.0000000000773</v>
      </c>
      <c r="U101" s="1">
        <f t="shared" si="73"/>
        <v>2560.0000000000773</v>
      </c>
      <c r="V101" s="2">
        <f t="shared" si="85"/>
        <v>769.20000000000596</v>
      </c>
      <c r="W101" s="3">
        <f t="shared" si="96"/>
        <v>-1.0100000000000016</v>
      </c>
      <c r="X101" s="3">
        <f t="shared" si="74"/>
        <v>15.400000000000048</v>
      </c>
      <c r="Y101" s="3">
        <f t="shared" si="106"/>
        <v>-1.0100000000000016</v>
      </c>
      <c r="Z101" s="3">
        <f t="shared" si="65"/>
        <v>0</v>
      </c>
      <c r="AA101" s="3">
        <f t="shared" si="86"/>
        <v>6.4100000000000499</v>
      </c>
      <c r="AB101" s="3">
        <f t="shared" si="97"/>
        <v>-3</v>
      </c>
      <c r="AC101" s="3">
        <f t="shared" si="76"/>
        <v>4.4000000000000483</v>
      </c>
      <c r="AD101" s="3">
        <f t="shared" si="107"/>
        <v>-3</v>
      </c>
      <c r="AE101" s="3">
        <f t="shared" si="98"/>
        <v>0</v>
      </c>
      <c r="AF101" s="3">
        <f t="shared" si="87"/>
        <v>4.4000000000000483</v>
      </c>
      <c r="AG101" s="3">
        <f t="shared" si="99"/>
        <v>-0.8</v>
      </c>
      <c r="AH101" s="3">
        <f t="shared" si="78"/>
        <v>2.4000000000000483</v>
      </c>
      <c r="AI101" s="3">
        <f t="shared" si="108"/>
        <v>-0.8</v>
      </c>
      <c r="AJ101" s="3">
        <f t="shared" si="88"/>
        <v>0</v>
      </c>
      <c r="AK101" s="3">
        <f t="shared" si="89"/>
        <v>2.4000000000000483</v>
      </c>
      <c r="AL101" s="2">
        <f t="shared" si="90"/>
        <v>769.20000000000596</v>
      </c>
      <c r="AM101" s="2">
        <f t="shared" si="80"/>
        <v>1282.00000000001</v>
      </c>
      <c r="AN101" s="2">
        <f t="shared" si="100"/>
        <v>2051.2000000000162</v>
      </c>
      <c r="AO101" s="2">
        <f t="shared" si="91"/>
        <v>-202.00000000000031</v>
      </c>
      <c r="AP101" s="2">
        <f t="shared" si="81"/>
        <v>0</v>
      </c>
      <c r="AQ101" s="2">
        <f t="shared" si="92"/>
        <v>0</v>
      </c>
      <c r="AR101" s="2">
        <f t="shared" si="101"/>
        <v>0</v>
      </c>
      <c r="AS101" s="2">
        <f t="shared" si="102"/>
        <v>241.20000000000073</v>
      </c>
      <c r="AT101" s="2">
        <f t="shared" si="93"/>
        <v>1849.200000000016</v>
      </c>
      <c r="AU101" s="1" t="e">
        <f t="shared" si="103"/>
        <v>#N/A</v>
      </c>
      <c r="AV101" s="2">
        <f t="shared" si="82"/>
        <v>30</v>
      </c>
      <c r="AW101" s="3">
        <f t="shared" si="83"/>
        <v>29.400000000000048</v>
      </c>
      <c r="AX101" s="3">
        <f t="shared" si="94"/>
        <v>0.59999999999995168</v>
      </c>
      <c r="AY101" s="2">
        <f t="shared" si="84"/>
        <v>458.23000000000525</v>
      </c>
    </row>
    <row r="102" spans="14:51" x14ac:dyDescent="0.25">
      <c r="N102" s="10">
        <f t="shared" si="95"/>
        <v>29.700000000000049</v>
      </c>
      <c r="O102" s="10">
        <f t="shared" si="104"/>
        <v>1</v>
      </c>
      <c r="P102" s="10">
        <f t="shared" si="68"/>
        <v>1</v>
      </c>
      <c r="Q102" s="10">
        <f t="shared" si="69"/>
        <v>1</v>
      </c>
      <c r="R102" s="1">
        <f t="shared" si="105"/>
        <v>1456.0700000000111</v>
      </c>
      <c r="S102" s="1">
        <f t="shared" si="71"/>
        <v>2850.0000000000246</v>
      </c>
      <c r="T102" s="1">
        <f t="shared" si="72"/>
        <v>2720.0000000000782</v>
      </c>
      <c r="U102" s="1">
        <f t="shared" si="73"/>
        <v>3040.0000000000782</v>
      </c>
      <c r="V102" s="2">
        <f t="shared" si="85"/>
        <v>805.20000000000607</v>
      </c>
      <c r="W102" s="3">
        <f t="shared" si="96"/>
        <v>-1.0100000000000016</v>
      </c>
      <c r="X102" s="3">
        <f t="shared" si="74"/>
        <v>15.700000000000049</v>
      </c>
      <c r="Y102" s="3">
        <f t="shared" si="106"/>
        <v>-1.0100000000000016</v>
      </c>
      <c r="Z102" s="3">
        <f t="shared" si="65"/>
        <v>0</v>
      </c>
      <c r="AA102" s="3">
        <f t="shared" si="86"/>
        <v>6.7100000000000506</v>
      </c>
      <c r="AB102" s="3">
        <f t="shared" si="97"/>
        <v>-3</v>
      </c>
      <c r="AC102" s="3">
        <f t="shared" si="76"/>
        <v>4.700000000000049</v>
      </c>
      <c r="AD102" s="3">
        <f t="shared" si="107"/>
        <v>-3</v>
      </c>
      <c r="AE102" s="3">
        <f t="shared" si="98"/>
        <v>0</v>
      </c>
      <c r="AF102" s="3">
        <f t="shared" si="87"/>
        <v>4.700000000000049</v>
      </c>
      <c r="AG102" s="3">
        <f t="shared" si="99"/>
        <v>-0.8</v>
      </c>
      <c r="AH102" s="3">
        <f t="shared" si="78"/>
        <v>2.700000000000049</v>
      </c>
      <c r="AI102" s="3">
        <f t="shared" si="108"/>
        <v>-0.8</v>
      </c>
      <c r="AJ102" s="3">
        <f t="shared" si="88"/>
        <v>0</v>
      </c>
      <c r="AK102" s="3">
        <f t="shared" si="89"/>
        <v>2.700000000000049</v>
      </c>
      <c r="AL102" s="2">
        <f t="shared" si="90"/>
        <v>805.20000000000607</v>
      </c>
      <c r="AM102" s="2">
        <f t="shared" si="80"/>
        <v>1342.00000000001</v>
      </c>
      <c r="AN102" s="2">
        <f t="shared" si="100"/>
        <v>2147.2000000000162</v>
      </c>
      <c r="AO102" s="2">
        <f t="shared" si="91"/>
        <v>-202.00000000000031</v>
      </c>
      <c r="AP102" s="2">
        <f t="shared" si="81"/>
        <v>0</v>
      </c>
      <c r="AQ102" s="2">
        <f t="shared" si="92"/>
        <v>0</v>
      </c>
      <c r="AR102" s="2">
        <f t="shared" si="101"/>
        <v>0</v>
      </c>
      <c r="AS102" s="2">
        <f t="shared" si="102"/>
        <v>241.20000000000073</v>
      </c>
      <c r="AT102" s="2">
        <f t="shared" si="93"/>
        <v>1945.200000000016</v>
      </c>
      <c r="AU102" s="1" t="e">
        <f t="shared" si="103"/>
        <v>#N/A</v>
      </c>
      <c r="AV102" s="2">
        <f t="shared" si="82"/>
        <v>30</v>
      </c>
      <c r="AW102" s="3">
        <f t="shared" si="83"/>
        <v>29.700000000000049</v>
      </c>
      <c r="AX102" s="3">
        <f t="shared" si="94"/>
        <v>0.29999999999995097</v>
      </c>
      <c r="AY102" s="2">
        <f t="shared" si="84"/>
        <v>489.13000000000488</v>
      </c>
    </row>
    <row r="103" spans="14:51" x14ac:dyDescent="0.25">
      <c r="N103" s="3">
        <f>fvEstimate</f>
        <v>30</v>
      </c>
      <c r="O103" s="10">
        <f t="shared" si="104"/>
        <v>1</v>
      </c>
      <c r="P103" s="10">
        <f t="shared" si="68"/>
        <v>1</v>
      </c>
      <c r="Q103" s="10">
        <f t="shared" si="69"/>
        <v>1</v>
      </c>
      <c r="R103" s="1">
        <f t="shared" si="105"/>
        <v>1521.1700000000003</v>
      </c>
      <c r="S103" s="1">
        <f t="shared" si="71"/>
        <v>3000</v>
      </c>
      <c r="T103" s="1">
        <f t="shared" si="72"/>
        <v>3200</v>
      </c>
      <c r="U103" s="1">
        <f t="shared" si="73"/>
        <v>3520.0000000000005</v>
      </c>
      <c r="V103" s="2">
        <f t="shared" si="85"/>
        <v>841.20000000000016</v>
      </c>
      <c r="W103" s="3">
        <f t="shared" si="96"/>
        <v>-1.0100000000000016</v>
      </c>
      <c r="X103" s="3">
        <f t="shared" si="74"/>
        <v>16</v>
      </c>
      <c r="Y103" s="3">
        <f t="shared" si="106"/>
        <v>-1.0100000000000016</v>
      </c>
      <c r="Z103" s="3">
        <f t="shared" si="65"/>
        <v>0</v>
      </c>
      <c r="AA103" s="3">
        <f t="shared" si="86"/>
        <v>7.0100000000000016</v>
      </c>
      <c r="AB103" s="3">
        <f t="shared" si="97"/>
        <v>-3</v>
      </c>
      <c r="AC103" s="3">
        <f t="shared" si="76"/>
        <v>5</v>
      </c>
      <c r="AD103" s="3">
        <f t="shared" si="107"/>
        <v>-3</v>
      </c>
      <c r="AE103" s="3">
        <f t="shared" si="98"/>
        <v>0</v>
      </c>
      <c r="AF103" s="3">
        <f t="shared" si="87"/>
        <v>5</v>
      </c>
      <c r="AG103" s="3">
        <f t="shared" si="99"/>
        <v>-0.8</v>
      </c>
      <c r="AH103" s="3">
        <f t="shared" si="78"/>
        <v>3</v>
      </c>
      <c r="AI103" s="3">
        <f t="shared" si="108"/>
        <v>-0.8</v>
      </c>
      <c r="AJ103" s="3">
        <f t="shared" si="88"/>
        <v>0</v>
      </c>
      <c r="AK103" s="3">
        <f t="shared" si="89"/>
        <v>3</v>
      </c>
      <c r="AL103" s="2">
        <f t="shared" si="90"/>
        <v>841.20000000000016</v>
      </c>
      <c r="AM103" s="2">
        <f t="shared" si="80"/>
        <v>1402.0000000000002</v>
      </c>
      <c r="AN103" s="2">
        <f>AL103+AM103</f>
        <v>2243.2000000000003</v>
      </c>
      <c r="AO103" s="2">
        <f t="shared" si="91"/>
        <v>-202.00000000000031</v>
      </c>
      <c r="AP103" s="2">
        <f t="shared" si="81"/>
        <v>0</v>
      </c>
      <c r="AQ103" s="2">
        <f t="shared" si="92"/>
        <v>0</v>
      </c>
      <c r="AR103" s="2">
        <f t="shared" si="101"/>
        <v>0</v>
      </c>
      <c r="AS103" s="2">
        <f>AS102</f>
        <v>241.20000000000073</v>
      </c>
      <c r="AT103" s="2">
        <f>AO103+AN103+AR103</f>
        <v>2041.2</v>
      </c>
      <c r="AU103" s="1">
        <f t="shared" si="103"/>
        <v>2041.2</v>
      </c>
      <c r="AV103" s="2">
        <f t="shared" si="82"/>
        <v>30</v>
      </c>
      <c r="AW103" s="3">
        <f t="shared" si="83"/>
        <v>30</v>
      </c>
      <c r="AX103" s="3">
        <f t="shared" si="94"/>
        <v>0</v>
      </c>
      <c r="AY103" s="2">
        <f t="shared" si="84"/>
        <v>520.02999999999975</v>
      </c>
    </row>
    <row r="105" spans="14:51" x14ac:dyDescent="0.25">
      <c r="R105" s="40"/>
    </row>
    <row r="132" spans="1:5" x14ac:dyDescent="0.25">
      <c r="D132" s="2"/>
      <c r="E132" s="2"/>
    </row>
    <row r="133" spans="1:5" x14ac:dyDescent="0.25">
      <c r="C133" s="2"/>
    </row>
    <row r="134" spans="1:5" x14ac:dyDescent="0.25">
      <c r="C134" s="2"/>
      <c r="D134" s="3"/>
    </row>
    <row r="135" spans="1:5" x14ac:dyDescent="0.25">
      <c r="C135" s="3"/>
    </row>
    <row r="136" spans="1:5" x14ac:dyDescent="0.25">
      <c r="A136" s="7"/>
      <c r="C136" s="7"/>
    </row>
    <row r="137" spans="1:5" x14ac:dyDescent="0.25">
      <c r="A137" s="7"/>
      <c r="C137" s="7"/>
      <c r="D137" s="8"/>
    </row>
    <row r="138" spans="1:5" x14ac:dyDescent="0.25">
      <c r="A138" s="7"/>
      <c r="C138" s="7"/>
      <c r="D138" s="8"/>
    </row>
    <row r="139" spans="1:5" x14ac:dyDescent="0.25">
      <c r="A139" s="7"/>
      <c r="C139" s="7"/>
      <c r="D139" s="8"/>
    </row>
    <row r="140" spans="1:5" x14ac:dyDescent="0.25">
      <c r="A140" s="7"/>
      <c r="C140" s="7"/>
      <c r="D140" s="8"/>
    </row>
    <row r="141" spans="1:5" x14ac:dyDescent="0.25">
      <c r="A141" s="7"/>
      <c r="C141" s="7"/>
      <c r="D141" s="8"/>
    </row>
    <row r="142" spans="1:5" x14ac:dyDescent="0.25">
      <c r="A142" s="7"/>
      <c r="C142" s="7"/>
      <c r="D142" s="8"/>
    </row>
    <row r="143" spans="1:5" x14ac:dyDescent="0.25">
      <c r="A143" s="7"/>
      <c r="C143" s="7"/>
      <c r="D143" s="8"/>
    </row>
    <row r="144" spans="1:5" x14ac:dyDescent="0.25">
      <c r="A144" s="7"/>
      <c r="C144" s="7"/>
    </row>
    <row r="145" spans="1:1" x14ac:dyDescent="0.25">
      <c r="A145" s="7"/>
    </row>
  </sheetData>
  <mergeCells count="12">
    <mergeCell ref="D29:F29"/>
    <mergeCell ref="N1:AY1"/>
    <mergeCell ref="A5:K5"/>
    <mergeCell ref="A20:B20"/>
    <mergeCell ref="G20:H20"/>
    <mergeCell ref="A19:K19"/>
    <mergeCell ref="J20:K20"/>
    <mergeCell ref="A6:B6"/>
    <mergeCell ref="D6:E6"/>
    <mergeCell ref="G6:H6"/>
    <mergeCell ref="J6:K6"/>
    <mergeCell ref="D20:E20"/>
  </mergeCells>
  <conditionalFormatting sqref="B17">
    <cfRule type="expression" dxfId="0" priority="1">
      <formula>$B$17&lt;0</formula>
    </cfRule>
  </conditionalFormatting>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4C293-01C1-41A1-BF3E-0DF3971C8327}">
  <sheetPr codeName="Sheet2"/>
  <dimension ref="A1"/>
  <sheetViews>
    <sheetView showGridLines="0"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3</vt:i4>
      </vt:variant>
      <vt:variant>
        <vt:lpstr>Named Ranges</vt:lpstr>
      </vt:variant>
      <vt:variant>
        <vt:i4>21</vt:i4>
      </vt:variant>
    </vt:vector>
  </HeadingPairs>
  <TitlesOfParts>
    <vt:vector size="26" baseType="lpstr">
      <vt:lpstr>Bullish Strategy Builder</vt:lpstr>
      <vt:lpstr>Disclaimer</vt:lpstr>
      <vt:lpstr>Position Chart</vt:lpstr>
      <vt:lpstr>Levered vs Unlevered Chart</vt:lpstr>
      <vt:lpstr>Difference Chart</vt:lpstr>
      <vt:lpstr>contract1Size</vt:lpstr>
      <vt:lpstr>contract2Size</vt:lpstr>
      <vt:lpstr>contract3Size</vt:lpstr>
      <vt:lpstr>fullOption1</vt:lpstr>
      <vt:lpstr>fullOption2</vt:lpstr>
      <vt:lpstr>fullOption3</vt:lpstr>
      <vt:lpstr>fullStockAllocation</vt:lpstr>
      <vt:lpstr>fvEstimate</vt:lpstr>
      <vt:lpstr>option1Position</vt:lpstr>
      <vt:lpstr>option1Px</vt:lpstr>
      <vt:lpstr>option2Position</vt:lpstr>
      <vt:lpstr>option2Px</vt:lpstr>
      <vt:lpstr>option3Position</vt:lpstr>
      <vt:lpstr>option3Px</vt:lpstr>
      <vt:lpstr>presentPrice</vt:lpstr>
      <vt:lpstr>sharesOwned</vt:lpstr>
      <vt:lpstr>stockPosition</vt:lpstr>
      <vt:lpstr>stockPx</vt:lpstr>
      <vt:lpstr>strike1</vt:lpstr>
      <vt:lpstr>strike2</vt:lpstr>
      <vt:lpstr>strike3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Kobayashi-Solomon</dc:creator>
  <cp:lastModifiedBy>Erik Kobayashi-Solomon</cp:lastModifiedBy>
  <dcterms:created xsi:type="dcterms:W3CDTF">2018-08-17T01:37:44Z</dcterms:created>
  <dcterms:modified xsi:type="dcterms:W3CDTF">2019-01-09T15:54:45Z</dcterms:modified>
</cp:coreProperties>
</file>