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defaultThemeVersion="124226"/>
  <mc:AlternateContent xmlns:mc="http://schemas.openxmlformats.org/markup-compatibility/2006">
    <mc:Choice Requires="x15">
      <x15ac:absPath xmlns:x15ac="http://schemas.microsoft.com/office/spreadsheetml/2010/11/ac" url="https://d.docs.live.net/31dfedd50d51e5ce/Documents/Business/Company Research/MCHP - Microchip/"/>
    </mc:Choice>
  </mc:AlternateContent>
  <xr:revisionPtr revIDLastSave="191" documentId="8_{44D090D0-BFA1-4B62-95C5-D7F4CC37AA33}" xr6:coauthVersionLast="38" xr6:coauthVersionMax="38" xr10:uidLastSave="{AC1908C6-505C-4E25-B943-86722DAFBDA3}"/>
  <bookViews>
    <workbookView xWindow="480" yWindow="0" windowWidth="13920" windowHeight="15" tabRatio="825" xr2:uid="{00000000-000D-0000-FFFF-FFFF00000000}"/>
  </bookViews>
  <sheets>
    <sheet name="Valuation Model" sheetId="1" r:id="rId1"/>
    <sheet name="Company Analysis" sheetId="19" r:id="rId2"/>
    <sheet name="Graphing Data" sheetId="21" r:id="rId3"/>
    <sheet name="Scratch" sheetId="31" r:id="rId4"/>
    <sheet name="GAAP v NonGAAP OCP Chart" sheetId="32" r:id="rId5"/>
    <sheet name="GAAP vs Non-GAAP OCP" sheetId="30" r:id="rId6"/>
    <sheet name="Long-run OCP" sheetId="29" r:id="rId7"/>
    <sheet name="Revenue Chart" sheetId="22" r:id="rId8"/>
    <sheet name="Profit Chart" sheetId="23" r:id="rId9"/>
    <sheet name="ECF to OCP Chart" sheetId="25" r:id="rId10"/>
    <sheet name="ECF Breakdown Chart" sheetId="26" r:id="rId11"/>
    <sheet name="FCFO Chart" sheetId="27" r:id="rId12"/>
    <sheet name="Investment Efficacy Chart" sheetId="28" r:id="rId13"/>
    <sheet name="Valuation Histogram" sheetId="16" r:id="rId14"/>
    <sheet name="Histogram Data" sheetId="17" r:id="rId15"/>
    <sheet name="GDP Data" sheetId="20" r:id="rId16"/>
    <sheet name="Disclaimer" sheetId="18" r:id="rId17"/>
    <sheet name="PSW_Sheet" sheetId="11" state="veryHidden" r:id="rId18"/>
    <sheet name="_SSC" sheetId="12" state="veryHidden" r:id="rId19"/>
    <sheet name="_Options" sheetId="13" state="veryHidden" r:id="rId20"/>
  </sheets>
  <externalReferences>
    <externalReference r:id="rId21"/>
    <externalReference r:id="rId22"/>
    <externalReference r:id="rId23"/>
    <externalReference r:id="rId24"/>
    <externalReference r:id="rId25"/>
    <externalReference r:id="rId26"/>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4"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Model'!$G$68</definedName>
    <definedName name="Scenario2">'Valuation Model'!$G$79</definedName>
    <definedName name="Scenario3">'Valuation Model'!$G$90</definedName>
    <definedName name="Scenario4">'Valuation Model'!$G$101</definedName>
    <definedName name="Scenario5">'Valuation Model'!$G$112</definedName>
    <definedName name="Scenario6">'Valuation Model'!$G$123</definedName>
    <definedName name="Scenario7">'Valuation Model'!$G$134</definedName>
    <definedName name="Scenario8">'Valuation Model'!$G$145</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91029" concurrentCalc="0"/>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 i="21" l="1"/>
  <c r="L3" i="21"/>
  <c r="M3" i="21"/>
  <c r="M11" i="21"/>
  <c r="M31" i="21"/>
  <c r="M34" i="21"/>
  <c r="N3" i="21"/>
  <c r="N11" i="21"/>
  <c r="N31" i="21"/>
  <c r="N34" i="21"/>
  <c r="O3" i="21"/>
  <c r="O11" i="21"/>
  <c r="O31" i="21"/>
  <c r="O34" i="21"/>
  <c r="P3" i="21"/>
  <c r="P11" i="21"/>
  <c r="P31" i="21"/>
  <c r="P34" i="21"/>
  <c r="L4" i="21"/>
  <c r="M4" i="21"/>
  <c r="M12" i="21"/>
  <c r="M32" i="21"/>
  <c r="M35" i="21"/>
  <c r="N4" i="21"/>
  <c r="N12" i="21"/>
  <c r="N32" i="21"/>
  <c r="N35" i="21"/>
  <c r="O4" i="21"/>
  <c r="O12" i="21"/>
  <c r="O32" i="21"/>
  <c r="O35" i="21"/>
  <c r="P4" i="21"/>
  <c r="P12" i="21"/>
  <c r="P32" i="21"/>
  <c r="P35" i="21"/>
  <c r="L12" i="21"/>
  <c r="L32" i="21"/>
  <c r="L35" i="21"/>
  <c r="L11" i="21"/>
  <c r="L31" i="21"/>
  <c r="L34" i="21"/>
  <c r="H17" i="30"/>
  <c r="E17" i="30"/>
  <c r="I17" i="30"/>
  <c r="L17" i="30"/>
  <c r="H18" i="30"/>
  <c r="E18" i="30"/>
  <c r="I18" i="30"/>
  <c r="L18" i="30"/>
  <c r="H19" i="30"/>
  <c r="E19" i="30"/>
  <c r="I19" i="30"/>
  <c r="L19" i="30"/>
  <c r="H20" i="30"/>
  <c r="E20" i="30"/>
  <c r="I20" i="30"/>
  <c r="L20" i="30"/>
  <c r="H21" i="30"/>
  <c r="E21" i="30"/>
  <c r="I21" i="30"/>
  <c r="L21" i="30"/>
  <c r="H22" i="30"/>
  <c r="E22" i="30"/>
  <c r="I22" i="30"/>
  <c r="L22" i="30"/>
  <c r="H16" i="30"/>
  <c r="E16" i="30"/>
  <c r="I16" i="30"/>
  <c r="L16" i="30"/>
  <c r="J14" i="30"/>
  <c r="J15" i="30"/>
  <c r="J16" i="30"/>
  <c r="J17" i="30"/>
  <c r="J18" i="30"/>
  <c r="J19" i="30"/>
  <c r="J20" i="30"/>
  <c r="J21" i="30"/>
  <c r="J22" i="30"/>
  <c r="J13" i="30"/>
  <c r="E15" i="30"/>
  <c r="E14" i="30"/>
  <c r="E13" i="30"/>
  <c r="C22" i="29"/>
  <c r="C23" i="29"/>
  <c r="C24" i="29"/>
  <c r="C25" i="29"/>
  <c r="C26" i="29"/>
  <c r="C27" i="29"/>
  <c r="C28" i="29"/>
  <c r="C29" i="29"/>
  <c r="C30" i="29"/>
  <c r="C31" i="29"/>
  <c r="C32" i="29"/>
  <c r="C33" i="29"/>
  <c r="C34" i="29"/>
  <c r="C35" i="29"/>
  <c r="C36" i="29"/>
  <c r="C37" i="29"/>
  <c r="C38" i="29"/>
  <c r="C39" i="29"/>
  <c r="C40" i="29"/>
  <c r="C41" i="29"/>
  <c r="C42" i="29"/>
  <c r="C43" i="29"/>
  <c r="C44" i="29"/>
  <c r="C45" i="29"/>
  <c r="C46" i="29"/>
  <c r="C47" i="29"/>
  <c r="C48" i="29"/>
  <c r="C49" i="29"/>
  <c r="C50" i="29"/>
  <c r="C51" i="29"/>
  <c r="C52" i="29"/>
  <c r="C53" i="29"/>
  <c r="C54" i="29"/>
  <c r="C55" i="29"/>
  <c r="C56" i="29"/>
  <c r="C57" i="29"/>
  <c r="C58" i="29"/>
  <c r="C59" i="29"/>
  <c r="C60" i="29"/>
  <c r="C61" i="29"/>
  <c r="C62" i="29"/>
  <c r="C63" i="29"/>
  <c r="C64" i="29"/>
  <c r="C65" i="29"/>
  <c r="C66" i="29"/>
  <c r="C67" i="29"/>
  <c r="C68" i="29"/>
  <c r="C69" i="29"/>
  <c r="C70" i="29"/>
  <c r="C71" i="29"/>
  <c r="C72" i="29"/>
  <c r="C73" i="29"/>
  <c r="C74" i="29"/>
  <c r="C75" i="29"/>
  <c r="C76" i="29"/>
  <c r="C77" i="29"/>
  <c r="C78" i="29"/>
  <c r="C79" i="29"/>
  <c r="C80" i="29"/>
  <c r="C81" i="29"/>
  <c r="C82" i="29"/>
  <c r="C83" i="29"/>
  <c r="C84" i="29"/>
  <c r="C85" i="29"/>
  <c r="C86" i="29"/>
  <c r="C87" i="29"/>
  <c r="C88" i="29"/>
  <c r="C89" i="29"/>
  <c r="C90" i="29"/>
  <c r="C91" i="29"/>
  <c r="C92" i="29"/>
  <c r="C93" i="29"/>
  <c r="C94" i="29"/>
  <c r="C95" i="29"/>
  <c r="C96" i="29"/>
  <c r="C97" i="29"/>
  <c r="C98" i="29"/>
  <c r="C99" i="29"/>
  <c r="C100" i="29"/>
  <c r="B102" i="29"/>
  <c r="G21" i="19"/>
  <c r="F21" i="19"/>
  <c r="E21" i="19"/>
  <c r="K26" i="19"/>
  <c r="I25" i="19"/>
  <c r="J25" i="19"/>
  <c r="K25" i="19"/>
  <c r="D19" i="1"/>
  <c r="B2" i="19"/>
  <c r="B38" i="19"/>
  <c r="B39" i="19"/>
  <c r="C2" i="19"/>
  <c r="C38" i="19"/>
  <c r="C39" i="19"/>
  <c r="D2" i="19"/>
  <c r="D8" i="19"/>
  <c r="E2" i="19"/>
  <c r="E38" i="19"/>
  <c r="E39" i="19"/>
  <c r="F2" i="19"/>
  <c r="F38" i="19"/>
  <c r="F39" i="19"/>
  <c r="G2" i="19"/>
  <c r="G38" i="19"/>
  <c r="G39" i="19"/>
  <c r="H2" i="19"/>
  <c r="H31" i="19"/>
  <c r="I2" i="19"/>
  <c r="I17" i="19"/>
  <c r="J2" i="19"/>
  <c r="J38" i="19"/>
  <c r="J39" i="19"/>
  <c r="K2" i="19"/>
  <c r="K38" i="19"/>
  <c r="K39" i="19"/>
  <c r="C26" i="21"/>
  <c r="D26" i="21"/>
  <c r="E26" i="21"/>
  <c r="F26" i="21"/>
  <c r="G26" i="21"/>
  <c r="H26" i="21"/>
  <c r="I26" i="21"/>
  <c r="J26" i="21"/>
  <c r="K26" i="21"/>
  <c r="B26" i="21"/>
  <c r="G3" i="1"/>
  <c r="B71" i="1"/>
  <c r="B72" i="1"/>
  <c r="B73" i="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L7" i="21"/>
  <c r="M7" i="21"/>
  <c r="N7" i="21"/>
  <c r="O7" i="21"/>
  <c r="P7" i="21"/>
  <c r="M6" i="21"/>
  <c r="N6" i="21"/>
  <c r="O6" i="21"/>
  <c r="P6" i="21"/>
  <c r="L6" i="21"/>
  <c r="C2" i="21"/>
  <c r="D2" i="21"/>
  <c r="E2" i="21"/>
  <c r="F2" i="21"/>
  <c r="G2" i="21"/>
  <c r="H2" i="21"/>
  <c r="I2" i="21"/>
  <c r="J2" i="21"/>
  <c r="B2" i="21"/>
  <c r="K27" i="19"/>
  <c r="K27" i="21"/>
  <c r="J27" i="19"/>
  <c r="I27" i="19"/>
  <c r="I27" i="21"/>
  <c r="H27" i="19"/>
  <c r="H27" i="21"/>
  <c r="G27" i="19"/>
  <c r="G27" i="21"/>
  <c r="F27" i="19"/>
  <c r="F27" i="21"/>
  <c r="E27" i="19"/>
  <c r="E27" i="21"/>
  <c r="D27" i="19"/>
  <c r="D27" i="21"/>
  <c r="C27" i="19"/>
  <c r="C27" i="21"/>
  <c r="B27" i="19"/>
  <c r="K19" i="19"/>
  <c r="K22" i="21"/>
  <c r="J19" i="19"/>
  <c r="J22" i="21"/>
  <c r="I19" i="19"/>
  <c r="H19" i="19"/>
  <c r="H22" i="21"/>
  <c r="G19" i="19"/>
  <c r="G22" i="21"/>
  <c r="F19" i="19"/>
  <c r="E19" i="19"/>
  <c r="E22" i="21"/>
  <c r="D19" i="19"/>
  <c r="D22" i="21"/>
  <c r="C19" i="19"/>
  <c r="C22" i="21"/>
  <c r="B19" i="19"/>
  <c r="B22" i="21"/>
  <c r="H17" i="19"/>
  <c r="K11" i="19"/>
  <c r="J11" i="19"/>
  <c r="J10" i="21"/>
  <c r="I11" i="19"/>
  <c r="I10" i="21"/>
  <c r="H11" i="19"/>
  <c r="H10" i="21"/>
  <c r="G11" i="19"/>
  <c r="G10" i="21"/>
  <c r="F11" i="19"/>
  <c r="F12" i="19"/>
  <c r="E11" i="19"/>
  <c r="E10" i="21"/>
  <c r="D11" i="19"/>
  <c r="D10" i="21"/>
  <c r="D38" i="21"/>
  <c r="C11" i="19"/>
  <c r="C10" i="21"/>
  <c r="B11" i="19"/>
  <c r="B12" i="19"/>
  <c r="K6" i="19"/>
  <c r="J6" i="19"/>
  <c r="I6" i="19"/>
  <c r="H6" i="19"/>
  <c r="G6" i="19"/>
  <c r="K5" i="19"/>
  <c r="J5" i="19"/>
  <c r="I5" i="19"/>
  <c r="H5" i="19"/>
  <c r="G5" i="19"/>
  <c r="F5" i="19"/>
  <c r="E5" i="19"/>
  <c r="K4" i="19"/>
  <c r="J4" i="19"/>
  <c r="I4" i="19"/>
  <c r="H4" i="19"/>
  <c r="G4" i="19"/>
  <c r="F4" i="19"/>
  <c r="E4" i="19"/>
  <c r="D4" i="19"/>
  <c r="C4" i="19"/>
  <c r="C31" i="19"/>
  <c r="H7" i="17"/>
  <c r="H9" i="17"/>
  <c r="H6" i="17"/>
  <c r="G6" i="17"/>
  <c r="G7" i="17"/>
  <c r="G9" i="17"/>
  <c r="G8" i="17"/>
  <c r="G10" i="17"/>
  <c r="G11" i="17"/>
  <c r="G12" i="17"/>
  <c r="G5" i="17"/>
  <c r="H5" i="17"/>
  <c r="C2" i="1"/>
  <c r="H8" i="17"/>
  <c r="H11" i="17"/>
  <c r="H10" i="17"/>
  <c r="H12" i="17"/>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B52" i="1"/>
  <c r="B46" i="1"/>
  <c r="B47" i="1"/>
  <c r="C26" i="1"/>
  <c r="C43" i="1"/>
  <c r="D26" i="1"/>
  <c r="D43" i="1"/>
  <c r="E26" i="1"/>
  <c r="E43" i="1"/>
  <c r="F26" i="1"/>
  <c r="F43" i="1"/>
  <c r="B26" i="1"/>
  <c r="B43" i="1"/>
  <c r="B38" i="1"/>
  <c r="B39" i="1"/>
  <c r="B37" i="1"/>
  <c r="I11" i="1"/>
  <c r="I9" i="1"/>
  <c r="B12" i="17"/>
  <c r="I8" i="1"/>
  <c r="B9" i="17"/>
  <c r="I7" i="1"/>
  <c r="B10" i="17"/>
  <c r="I6" i="1"/>
  <c r="B6" i="17"/>
  <c r="I2" i="1"/>
  <c r="B5" i="17"/>
  <c r="I4" i="1"/>
  <c r="B7" i="17"/>
  <c r="I5" i="1"/>
  <c r="B11" i="17"/>
  <c r="I3" i="1"/>
  <c r="B8" i="17"/>
  <c r="F86" i="1"/>
  <c r="D18" i="1"/>
  <c r="F119" i="1"/>
  <c r="E22" i="1"/>
  <c r="J1" i="21"/>
  <c r="J37" i="21"/>
  <c r="B82" i="1"/>
  <c r="B83" i="1"/>
  <c r="B84" i="1"/>
  <c r="B27" i="1"/>
  <c r="C27" i="1"/>
  <c r="D27" i="1"/>
  <c r="E27" i="1"/>
  <c r="F27" i="1"/>
  <c r="L16" i="1"/>
  <c r="B93" i="1"/>
  <c r="B94" i="1"/>
  <c r="B95" i="1"/>
  <c r="B96" i="1"/>
  <c r="J17" i="19"/>
  <c r="B59" i="1"/>
  <c r="C59" i="1"/>
  <c r="J8" i="19"/>
  <c r="B17" i="19"/>
  <c r="B104" i="1"/>
  <c r="B105" i="1"/>
  <c r="B106" i="1"/>
  <c r="B126" i="1"/>
  <c r="C126" i="1"/>
  <c r="B115" i="1"/>
  <c r="C115" i="1"/>
  <c r="D115" i="1"/>
  <c r="B8" i="19"/>
  <c r="B137" i="1"/>
  <c r="B31" i="19"/>
  <c r="B1" i="21"/>
  <c r="B29" i="21"/>
  <c r="I22" i="21"/>
  <c r="I28" i="19"/>
  <c r="I29" i="19"/>
  <c r="K10" i="21"/>
  <c r="E5" i="21"/>
  <c r="J31" i="19"/>
  <c r="D31" i="19"/>
  <c r="D17" i="19"/>
  <c r="D1" i="21"/>
  <c r="D37" i="21"/>
  <c r="E12" i="19"/>
  <c r="I13" i="19"/>
  <c r="I41" i="19"/>
  <c r="B60" i="1"/>
  <c r="B62" i="1"/>
  <c r="B63" i="1"/>
  <c r="I31" i="19"/>
  <c r="I1" i="21"/>
  <c r="I37" i="21"/>
  <c r="E8" i="17"/>
  <c r="E1" i="21"/>
  <c r="E29" i="21"/>
  <c r="E7" i="17"/>
  <c r="I8" i="19"/>
  <c r="E10" i="17"/>
  <c r="E17" i="19"/>
  <c r="E31" i="19"/>
  <c r="I38" i="19"/>
  <c r="I39" i="19"/>
  <c r="J40" i="19"/>
  <c r="E12" i="17"/>
  <c r="E9" i="17"/>
  <c r="D12" i="19"/>
  <c r="F28" i="19"/>
  <c r="F19" i="21"/>
  <c r="J5" i="21"/>
  <c r="D38" i="19"/>
  <c r="D39" i="19"/>
  <c r="F42" i="19"/>
  <c r="B127" i="1"/>
  <c r="B128" i="1"/>
  <c r="B129" i="1"/>
  <c r="E11" i="17"/>
  <c r="H12" i="19"/>
  <c r="J9" i="21"/>
  <c r="J17" i="21"/>
  <c r="J21" i="21"/>
  <c r="F1" i="21"/>
  <c r="F29" i="21"/>
  <c r="C28" i="19"/>
  <c r="C29" i="19"/>
  <c r="C12" i="19"/>
  <c r="D13" i="19"/>
  <c r="D41" i="19"/>
  <c r="E14" i="19"/>
  <c r="E43" i="19"/>
  <c r="F64" i="1"/>
  <c r="F108" i="1"/>
  <c r="F17" i="19"/>
  <c r="H28" i="19"/>
  <c r="H32" i="19"/>
  <c r="C82" i="1"/>
  <c r="F141" i="1"/>
  <c r="E18" i="21"/>
  <c r="E38" i="21"/>
  <c r="E13" i="21"/>
  <c r="K12" i="19"/>
  <c r="G12" i="19"/>
  <c r="K28" i="19"/>
  <c r="K29" i="19"/>
  <c r="F5" i="21"/>
  <c r="E5" i="17"/>
  <c r="F8" i="19"/>
  <c r="J28" i="19"/>
  <c r="J32" i="19"/>
  <c r="F75" i="1"/>
  <c r="F97" i="1"/>
  <c r="B54" i="1"/>
  <c r="C93" i="1"/>
  <c r="C94" i="1"/>
  <c r="F31" i="19"/>
  <c r="K15" i="19"/>
  <c r="K45" i="19"/>
  <c r="J12" i="19"/>
  <c r="E13" i="19"/>
  <c r="E41" i="19"/>
  <c r="B28" i="19"/>
  <c r="B19" i="21"/>
  <c r="G5" i="21"/>
  <c r="C5" i="21"/>
  <c r="K40" i="19"/>
  <c r="I38" i="21"/>
  <c r="I13" i="21"/>
  <c r="I18" i="21"/>
  <c r="D126" i="1"/>
  <c r="C127" i="1"/>
  <c r="C60" i="1"/>
  <c r="C62" i="1"/>
  <c r="D59" i="1"/>
  <c r="E59" i="1"/>
  <c r="H13" i="21"/>
  <c r="H38" i="21"/>
  <c r="C71" i="1"/>
  <c r="B48" i="1"/>
  <c r="B49" i="1"/>
  <c r="H14" i="19"/>
  <c r="H43" i="19"/>
  <c r="H8" i="19"/>
  <c r="D18" i="21"/>
  <c r="J29" i="21"/>
  <c r="E6" i="17"/>
  <c r="I12" i="19"/>
  <c r="G13" i="19"/>
  <c r="G41" i="19"/>
  <c r="J15" i="19"/>
  <c r="J45" i="19"/>
  <c r="F22" i="21"/>
  <c r="G28" i="19"/>
  <c r="H1" i="21"/>
  <c r="H29" i="21"/>
  <c r="H38" i="19"/>
  <c r="H39" i="19"/>
  <c r="H13" i="19"/>
  <c r="H41" i="19"/>
  <c r="G14" i="19"/>
  <c r="G43" i="19"/>
  <c r="H15" i="19"/>
  <c r="H45" i="19"/>
  <c r="I15" i="19"/>
  <c r="I45" i="19"/>
  <c r="E28" i="19"/>
  <c r="E8" i="19"/>
  <c r="B27" i="21"/>
  <c r="J27" i="21"/>
  <c r="H5" i="21"/>
  <c r="D5" i="21"/>
  <c r="F130" i="1"/>
  <c r="B107" i="1"/>
  <c r="J18" i="21"/>
  <c r="J38" i="21"/>
  <c r="J13" i="21"/>
  <c r="F40" i="19"/>
  <c r="C104" i="1"/>
  <c r="B53" i="1"/>
  <c r="B138" i="1"/>
  <c r="C137" i="1"/>
  <c r="C116" i="1"/>
  <c r="C13" i="21"/>
  <c r="C18" i="21"/>
  <c r="C38" i="21"/>
  <c r="K13" i="21"/>
  <c r="K38" i="21"/>
  <c r="K18" i="21"/>
  <c r="C40" i="19"/>
  <c r="G38" i="21"/>
  <c r="G13" i="21"/>
  <c r="G18" i="21"/>
  <c r="G40" i="19"/>
  <c r="F14" i="19"/>
  <c r="F43" i="19"/>
  <c r="D13" i="21"/>
  <c r="K17" i="19"/>
  <c r="G8" i="19"/>
  <c r="K1" i="21"/>
  <c r="G1" i="21"/>
  <c r="C1" i="21"/>
  <c r="I5" i="21"/>
  <c r="K14" i="19"/>
  <c r="K43" i="19"/>
  <c r="J13" i="19"/>
  <c r="J41" i="19"/>
  <c r="I14" i="19"/>
  <c r="I43" i="19"/>
  <c r="K31" i="19"/>
  <c r="G15" i="19"/>
  <c r="G45" i="19"/>
  <c r="K13" i="19"/>
  <c r="K41" i="19"/>
  <c r="C13" i="19"/>
  <c r="C41" i="19"/>
  <c r="F13" i="19"/>
  <c r="F41" i="19"/>
  <c r="F10" i="21"/>
  <c r="B10" i="21"/>
  <c r="H18" i="21"/>
  <c r="D28" i="19"/>
  <c r="G17" i="19"/>
  <c r="H37" i="21"/>
  <c r="B9" i="21"/>
  <c r="B17" i="21"/>
  <c r="B21" i="21"/>
  <c r="K5" i="21"/>
  <c r="G31" i="19"/>
  <c r="J14" i="19"/>
  <c r="J43" i="19"/>
  <c r="C17" i="19"/>
  <c r="C8" i="19"/>
  <c r="K8" i="19"/>
  <c r="B85" i="1"/>
  <c r="B74" i="1"/>
  <c r="C28" i="1"/>
  <c r="C29" i="1"/>
  <c r="C30" i="1"/>
  <c r="C44" i="1"/>
  <c r="I29" i="21"/>
  <c r="D29" i="21"/>
  <c r="B28" i="1"/>
  <c r="B29" i="1"/>
  <c r="B30" i="1"/>
  <c r="B116" i="1"/>
  <c r="B37" i="21"/>
  <c r="G16" i="19"/>
  <c r="J16" i="19"/>
  <c r="H16" i="19"/>
  <c r="K16" i="19"/>
  <c r="I16" i="19"/>
  <c r="F16" i="19"/>
  <c r="I9" i="21"/>
  <c r="I17" i="21"/>
  <c r="I21" i="21"/>
  <c r="K32" i="19"/>
  <c r="B139" i="1"/>
  <c r="B140" i="1"/>
  <c r="C128" i="1"/>
  <c r="C129" i="1"/>
  <c r="C117" i="1"/>
  <c r="C118" i="1"/>
  <c r="C95" i="1"/>
  <c r="C96" i="1"/>
  <c r="B117" i="1"/>
  <c r="B118" i="1"/>
  <c r="G44" i="19"/>
  <c r="B55" i="1"/>
  <c r="D9" i="21"/>
  <c r="D17" i="21"/>
  <c r="D21" i="21"/>
  <c r="G42" i="19"/>
  <c r="G41" i="21"/>
  <c r="D40" i="19"/>
  <c r="D40" i="21"/>
  <c r="E42" i="19"/>
  <c r="E40" i="19"/>
  <c r="I44" i="19"/>
  <c r="B61" i="1"/>
  <c r="J19" i="21"/>
  <c r="I19" i="21"/>
  <c r="C19" i="21"/>
  <c r="I32" i="19"/>
  <c r="I33" i="19"/>
  <c r="D60" i="1"/>
  <c r="F9" i="21"/>
  <c r="F17" i="21"/>
  <c r="F21" i="21"/>
  <c r="F37" i="21"/>
  <c r="E37" i="21"/>
  <c r="E9" i="21"/>
  <c r="E17" i="21"/>
  <c r="E21" i="21"/>
  <c r="F29" i="19"/>
  <c r="H9" i="21"/>
  <c r="H17" i="21"/>
  <c r="H21" i="21"/>
  <c r="F32" i="19"/>
  <c r="F33" i="19"/>
  <c r="C32" i="19"/>
  <c r="C33" i="19"/>
  <c r="J29" i="19"/>
  <c r="F28" i="1"/>
  <c r="F29" i="1"/>
  <c r="F30" i="1"/>
  <c r="G40" i="21"/>
  <c r="E41" i="21"/>
  <c r="E40" i="21"/>
  <c r="E28" i="1"/>
  <c r="E29" i="1"/>
  <c r="E30" i="1"/>
  <c r="E44" i="1"/>
  <c r="D28" i="1"/>
  <c r="D29" i="1"/>
  <c r="D30" i="1"/>
  <c r="D44" i="1"/>
  <c r="D93" i="1"/>
  <c r="D94" i="1"/>
  <c r="H19" i="21"/>
  <c r="H29" i="19"/>
  <c r="C83" i="1"/>
  <c r="D82" i="1"/>
  <c r="K40" i="21"/>
  <c r="I42" i="19"/>
  <c r="I41" i="21"/>
  <c r="B32" i="19"/>
  <c r="B33" i="19"/>
  <c r="J40" i="21"/>
  <c r="B29" i="19"/>
  <c r="K19" i="21"/>
  <c r="F40" i="21"/>
  <c r="J42" i="19"/>
  <c r="J41" i="21"/>
  <c r="J44" i="19"/>
  <c r="K44" i="19"/>
  <c r="I40" i="19"/>
  <c r="I40" i="21"/>
  <c r="H42" i="19"/>
  <c r="H41" i="21"/>
  <c r="H44" i="19"/>
  <c r="H40" i="19"/>
  <c r="H40" i="21"/>
  <c r="F41" i="21"/>
  <c r="K42" i="19"/>
  <c r="K41" i="21"/>
  <c r="H30" i="21"/>
  <c r="H33" i="21"/>
  <c r="H33" i="19"/>
  <c r="E126" i="1"/>
  <c r="D127" i="1"/>
  <c r="G29" i="19"/>
  <c r="G19" i="21"/>
  <c r="G32" i="19"/>
  <c r="E29" i="19"/>
  <c r="E19" i="21"/>
  <c r="E32" i="19"/>
  <c r="C72" i="1"/>
  <c r="D71" i="1"/>
  <c r="C63" i="1"/>
  <c r="C61" i="1"/>
  <c r="B13" i="21"/>
  <c r="B38" i="21"/>
  <c r="B39" i="21"/>
  <c r="C39" i="21"/>
  <c r="B18" i="21"/>
  <c r="C37" i="21"/>
  <c r="C9" i="21"/>
  <c r="C17" i="21"/>
  <c r="C21" i="21"/>
  <c r="C29" i="21"/>
  <c r="F13" i="21"/>
  <c r="F38" i="21"/>
  <c r="F18" i="21"/>
  <c r="G9" i="21"/>
  <c r="G17" i="21"/>
  <c r="G21" i="21"/>
  <c r="G29" i="21"/>
  <c r="G37" i="21"/>
  <c r="C138" i="1"/>
  <c r="D137" i="1"/>
  <c r="D104" i="1"/>
  <c r="C105" i="1"/>
  <c r="K7" i="21"/>
  <c r="K6" i="21"/>
  <c r="K29" i="21"/>
  <c r="K37" i="21"/>
  <c r="L1" i="21"/>
  <c r="K9" i="21"/>
  <c r="K17" i="21"/>
  <c r="K21" i="21"/>
  <c r="K14" i="21"/>
  <c r="K15" i="21"/>
  <c r="E60" i="1"/>
  <c r="E62" i="1"/>
  <c r="F59" i="1"/>
  <c r="F60" i="1"/>
  <c r="F62" i="1"/>
  <c r="D29" i="19"/>
  <c r="D19" i="21"/>
  <c r="D32" i="19"/>
  <c r="C40" i="21"/>
  <c r="J33" i="19"/>
  <c r="J30" i="21"/>
  <c r="J33" i="21"/>
  <c r="D116" i="1"/>
  <c r="E115" i="1"/>
  <c r="D39" i="21"/>
  <c r="K35" i="19"/>
  <c r="E39" i="21"/>
  <c r="F39" i="21"/>
  <c r="G39" i="21"/>
  <c r="C106" i="1"/>
  <c r="C107" i="1"/>
  <c r="D62" i="1"/>
  <c r="D63" i="1"/>
  <c r="D117" i="1"/>
  <c r="D118" i="1"/>
  <c r="D61" i="1"/>
  <c r="C73" i="1"/>
  <c r="C74" i="1"/>
  <c r="C139" i="1"/>
  <c r="C140" i="1"/>
  <c r="D95" i="1"/>
  <c r="D96" i="1"/>
  <c r="D128" i="1"/>
  <c r="D129" i="1"/>
  <c r="C84" i="1"/>
  <c r="C85" i="1"/>
  <c r="I30" i="21"/>
  <c r="I33" i="21"/>
  <c r="I34" i="19"/>
  <c r="J36" i="19"/>
  <c r="J34" i="19"/>
  <c r="F30" i="21"/>
  <c r="F33" i="21"/>
  <c r="J35" i="19"/>
  <c r="C30" i="21"/>
  <c r="C33" i="21"/>
  <c r="C34" i="19"/>
  <c r="B30" i="21"/>
  <c r="B33" i="21"/>
  <c r="E93" i="1"/>
  <c r="F93" i="1"/>
  <c r="F94" i="1"/>
  <c r="F95" i="1"/>
  <c r="K34" i="19"/>
  <c r="D83" i="1"/>
  <c r="E82" i="1"/>
  <c r="K36" i="19"/>
  <c r="K30" i="21"/>
  <c r="K33" i="21"/>
  <c r="K33" i="19"/>
  <c r="H39" i="21"/>
  <c r="I39" i="21"/>
  <c r="J39" i="21"/>
  <c r="K39" i="21"/>
  <c r="E94" i="1"/>
  <c r="E71" i="1"/>
  <c r="D72" i="1"/>
  <c r="E30" i="21"/>
  <c r="E33" i="21"/>
  <c r="E33" i="19"/>
  <c r="F34" i="19"/>
  <c r="E127" i="1"/>
  <c r="F126" i="1"/>
  <c r="F127" i="1"/>
  <c r="F128" i="1"/>
  <c r="G30" i="21"/>
  <c r="G33" i="21"/>
  <c r="G34" i="19"/>
  <c r="I35" i="19"/>
  <c r="G33" i="19"/>
  <c r="H35" i="19"/>
  <c r="H34" i="19"/>
  <c r="E116" i="1"/>
  <c r="F115" i="1"/>
  <c r="F116" i="1"/>
  <c r="F117" i="1"/>
  <c r="E104" i="1"/>
  <c r="D105" i="1"/>
  <c r="E137" i="1"/>
  <c r="D138" i="1"/>
  <c r="B50" i="1"/>
  <c r="B51" i="1"/>
  <c r="D22" i="1"/>
  <c r="F44" i="1"/>
  <c r="C22" i="1"/>
  <c r="D30" i="21"/>
  <c r="D33" i="21"/>
  <c r="G36" i="19"/>
  <c r="E34" i="19"/>
  <c r="F35" i="19"/>
  <c r="D33" i="19"/>
  <c r="E35" i="19"/>
  <c r="D34" i="19"/>
  <c r="G35" i="19"/>
  <c r="H36" i="19"/>
  <c r="I36" i="19"/>
  <c r="F61" i="1"/>
  <c r="L29" i="21"/>
  <c r="L9" i="21"/>
  <c r="M1" i="21"/>
  <c r="L17" i="1"/>
  <c r="B44" i="1"/>
  <c r="E63" i="1"/>
  <c r="E61" i="1"/>
  <c r="D139" i="1"/>
  <c r="D140" i="1"/>
  <c r="D106" i="1"/>
  <c r="D107" i="1"/>
  <c r="E117" i="1"/>
  <c r="E118" i="1"/>
  <c r="E128" i="1"/>
  <c r="E129" i="1"/>
  <c r="D73" i="1"/>
  <c r="D74" i="1"/>
  <c r="E95" i="1"/>
  <c r="E96" i="1"/>
  <c r="D84" i="1"/>
  <c r="D85" i="1"/>
  <c r="E83" i="1"/>
  <c r="F82" i="1"/>
  <c r="F83" i="1"/>
  <c r="F84" i="1"/>
  <c r="K34" i="21"/>
  <c r="K35" i="21"/>
  <c r="F131" i="1"/>
  <c r="F132" i="1"/>
  <c r="G132" i="1"/>
  <c r="F129" i="1"/>
  <c r="G130" i="1"/>
  <c r="F98" i="1"/>
  <c r="F99" i="1"/>
  <c r="G99" i="1"/>
  <c r="F96" i="1"/>
  <c r="G97" i="1"/>
  <c r="F71" i="1"/>
  <c r="F72" i="1"/>
  <c r="F73" i="1"/>
  <c r="E72" i="1"/>
  <c r="B22" i="1"/>
  <c r="F22" i="1"/>
  <c r="L18" i="1"/>
  <c r="N1" i="21"/>
  <c r="M29" i="21"/>
  <c r="M9" i="21"/>
  <c r="F137" i="1"/>
  <c r="F138" i="1"/>
  <c r="F139" i="1"/>
  <c r="E138" i="1"/>
  <c r="E105" i="1"/>
  <c r="F104" i="1"/>
  <c r="F105" i="1"/>
  <c r="F106" i="1"/>
  <c r="F65" i="1"/>
  <c r="F66" i="1"/>
  <c r="G66" i="1"/>
  <c r="F63" i="1"/>
  <c r="G64" i="1"/>
  <c r="F120" i="1"/>
  <c r="F121" i="1"/>
  <c r="G121" i="1"/>
  <c r="F118" i="1"/>
  <c r="G119" i="1"/>
  <c r="E84" i="1"/>
  <c r="E85" i="1"/>
  <c r="E73" i="1"/>
  <c r="E74" i="1"/>
  <c r="E139" i="1"/>
  <c r="E140" i="1"/>
  <c r="E106" i="1"/>
  <c r="E107" i="1"/>
  <c r="B23" i="1"/>
  <c r="F87" i="1"/>
  <c r="F88" i="1"/>
  <c r="G88" i="1"/>
  <c r="F85" i="1"/>
  <c r="G96" i="1"/>
  <c r="G100" i="1"/>
  <c r="G101" i="1"/>
  <c r="K5" i="1"/>
  <c r="C11" i="17"/>
  <c r="F76" i="1"/>
  <c r="F77" i="1"/>
  <c r="G77" i="1"/>
  <c r="F74" i="1"/>
  <c r="G75" i="1"/>
  <c r="G129" i="1"/>
  <c r="G133" i="1"/>
  <c r="G134" i="1"/>
  <c r="K8" i="1"/>
  <c r="C9" i="17"/>
  <c r="D23" i="1"/>
  <c r="I12" i="1"/>
  <c r="E23" i="1"/>
  <c r="C23" i="1"/>
  <c r="F109" i="1"/>
  <c r="F110" i="1"/>
  <c r="G110" i="1"/>
  <c r="F107" i="1"/>
  <c r="G108" i="1"/>
  <c r="G118" i="1"/>
  <c r="G122" i="1"/>
  <c r="G123" i="1"/>
  <c r="K7" i="1"/>
  <c r="C10" i="17"/>
  <c r="F140" i="1"/>
  <c r="G141" i="1"/>
  <c r="F142" i="1"/>
  <c r="F143" i="1"/>
  <c r="G143" i="1"/>
  <c r="G63" i="1"/>
  <c r="G67" i="1"/>
  <c r="G68" i="1"/>
  <c r="K2" i="1"/>
  <c r="C5" i="17"/>
  <c r="O1" i="21"/>
  <c r="N29" i="21"/>
  <c r="N9" i="21"/>
  <c r="G86" i="1"/>
  <c r="G85" i="1"/>
  <c r="G74" i="1"/>
  <c r="G78" i="1"/>
  <c r="G79" i="1"/>
  <c r="K3" i="1"/>
  <c r="C8" i="17"/>
  <c r="G140" i="1"/>
  <c r="G144" i="1"/>
  <c r="G145" i="1"/>
  <c r="K9" i="1"/>
  <c r="C12" i="17"/>
  <c r="O9" i="21"/>
  <c r="P1" i="21"/>
  <c r="O29" i="21"/>
  <c r="G107" i="1"/>
  <c r="G111" i="1"/>
  <c r="G112" i="1"/>
  <c r="K6" i="1"/>
  <c r="C6" i="17"/>
  <c r="G89" i="1"/>
  <c r="G90" i="1"/>
  <c r="K4" i="1"/>
  <c r="C7" i="17"/>
  <c r="B1" i="17"/>
  <c r="P29" i="21"/>
  <c r="P9" i="21"/>
  <c r="B2" i="17"/>
  <c r="K5" i="17"/>
  <c r="N5" i="17"/>
  <c r="K6" i="17"/>
  <c r="K53" i="17"/>
  <c r="K30" i="17"/>
  <c r="K26" i="17"/>
  <c r="K13" i="17"/>
  <c r="K41" i="17"/>
  <c r="K37" i="17"/>
  <c r="K25" i="17"/>
  <c r="K45" i="17"/>
  <c r="K31" i="17"/>
  <c r="K35" i="17"/>
  <c r="K47" i="17"/>
  <c r="K46" i="17"/>
  <c r="K19" i="17"/>
  <c r="K39" i="17"/>
  <c r="K44" i="17"/>
  <c r="K9" i="17"/>
  <c r="K27" i="17"/>
  <c r="K42" i="17"/>
  <c r="K14" i="17"/>
  <c r="K16" i="17"/>
  <c r="K49" i="17"/>
  <c r="K40" i="17"/>
  <c r="K32" i="17"/>
  <c r="K51" i="17"/>
  <c r="K12" i="17"/>
  <c r="K8" i="17"/>
  <c r="K52" i="17"/>
  <c r="K11" i="17"/>
  <c r="K50" i="17"/>
  <c r="K48" i="17"/>
  <c r="K36" i="17"/>
  <c r="K20" i="17"/>
  <c r="K28" i="17"/>
  <c r="K43" i="17"/>
  <c r="K24" i="17"/>
  <c r="K22" i="17"/>
  <c r="K18" i="17"/>
  <c r="K33" i="17"/>
  <c r="K7" i="17"/>
  <c r="K10" i="17"/>
  <c r="K54" i="17"/>
  <c r="K29" i="17"/>
  <c r="K15" i="17"/>
  <c r="K17" i="17"/>
  <c r="K55" i="17"/>
  <c r="K21" i="17"/>
  <c r="K34" i="17"/>
  <c r="K23" i="17"/>
  <c r="K38" i="17"/>
  <c r="N21" i="17"/>
  <c r="O21" i="17"/>
  <c r="N33" i="17"/>
  <c r="O33" i="17"/>
  <c r="N8" i="17"/>
  <c r="O8" i="17"/>
  <c r="N14" i="17"/>
  <c r="O14" i="17"/>
  <c r="N47" i="17"/>
  <c r="O47" i="17"/>
  <c r="N55" i="17"/>
  <c r="O55" i="17"/>
  <c r="N54" i="17"/>
  <c r="O54" i="17"/>
  <c r="N18" i="17"/>
  <c r="O18" i="17"/>
  <c r="N28" i="17"/>
  <c r="O28" i="17"/>
  <c r="N50" i="17"/>
  <c r="O50" i="17"/>
  <c r="N12" i="17"/>
  <c r="O12" i="17"/>
  <c r="N49" i="17"/>
  <c r="O49" i="17"/>
  <c r="N42" i="17"/>
  <c r="O42" i="17"/>
  <c r="N39" i="17"/>
  <c r="O39" i="17"/>
  <c r="O5" i="17"/>
  <c r="N25" i="17"/>
  <c r="O25" i="17"/>
  <c r="N26" i="17"/>
  <c r="O26" i="17"/>
  <c r="N48" i="17"/>
  <c r="O48" i="17"/>
  <c r="N13" i="17"/>
  <c r="O13" i="17"/>
  <c r="N23" i="17"/>
  <c r="O23" i="17"/>
  <c r="N10" i="17"/>
  <c r="O10" i="17"/>
  <c r="N22" i="17"/>
  <c r="O22" i="17"/>
  <c r="N20" i="17"/>
  <c r="O20" i="17"/>
  <c r="N11" i="17"/>
  <c r="O11" i="17"/>
  <c r="N51" i="17"/>
  <c r="O51" i="17"/>
  <c r="N16" i="17"/>
  <c r="O16" i="17"/>
  <c r="N27" i="17"/>
  <c r="O27" i="17"/>
  <c r="N19" i="17"/>
  <c r="O19" i="17"/>
  <c r="N35" i="17"/>
  <c r="O35" i="17"/>
  <c r="N37" i="17"/>
  <c r="O37" i="17"/>
  <c r="N30" i="17"/>
  <c r="O30" i="17"/>
  <c r="D7" i="17"/>
  <c r="D9" i="17"/>
  <c r="D11" i="17"/>
  <c r="D5" i="17"/>
  <c r="D8" i="17"/>
  <c r="D12" i="17"/>
  <c r="D10" i="17"/>
  <c r="D6" i="17"/>
  <c r="N29" i="17"/>
  <c r="O29" i="17"/>
  <c r="N43" i="17"/>
  <c r="O43" i="17"/>
  <c r="N40" i="17"/>
  <c r="O40" i="17"/>
  <c r="N44" i="17"/>
  <c r="O44" i="17"/>
  <c r="N45" i="17"/>
  <c r="O45" i="17"/>
  <c r="N38" i="17"/>
  <c r="O38" i="17"/>
  <c r="N17" i="17"/>
  <c r="O17" i="17"/>
  <c r="N34" i="17"/>
  <c r="O34" i="17"/>
  <c r="N15" i="17"/>
  <c r="O15" i="17"/>
  <c r="N7" i="17"/>
  <c r="O7" i="17"/>
  <c r="N24" i="17"/>
  <c r="O24" i="17"/>
  <c r="N36" i="17"/>
  <c r="O36" i="17"/>
  <c r="N52" i="17"/>
  <c r="O52" i="17"/>
  <c r="N32" i="17"/>
  <c r="O32" i="17"/>
  <c r="N6" i="17"/>
  <c r="O6" i="17"/>
  <c r="N9" i="17"/>
  <c r="O9" i="17"/>
  <c r="N46" i="17"/>
  <c r="O46" i="17"/>
  <c r="N31" i="17"/>
  <c r="O31" i="17"/>
  <c r="N41" i="17"/>
  <c r="O41" i="17"/>
  <c r="N53" i="17"/>
  <c r="O53" i="17"/>
  <c r="M40" i="17"/>
  <c r="L44" i="17"/>
  <c r="M53" i="17"/>
  <c r="M6" i="17"/>
  <c r="M41" i="17"/>
  <c r="M9" i="17"/>
  <c r="L43" i="17"/>
  <c r="L36" i="17"/>
  <c r="L17" i="17"/>
  <c r="M24" i="17"/>
  <c r="M34" i="17"/>
  <c r="L33" i="17"/>
  <c r="L30" i="17"/>
  <c r="M27" i="17"/>
  <c r="M13" i="17"/>
  <c r="L25" i="17"/>
  <c r="M5" i="17"/>
  <c r="L49" i="17"/>
  <c r="L18" i="17"/>
  <c r="L53" i="17"/>
  <c r="M46" i="17"/>
  <c r="L9" i="17"/>
  <c r="L52" i="17"/>
  <c r="M36" i="17"/>
  <c r="L15" i="17"/>
  <c r="L34" i="17"/>
  <c r="L45" i="17"/>
  <c r="M44" i="17"/>
  <c r="M29" i="17"/>
  <c r="L35" i="17"/>
  <c r="L19" i="17"/>
  <c r="M51" i="17"/>
  <c r="L11" i="17"/>
  <c r="M10" i="17"/>
  <c r="M23" i="17"/>
  <c r="M26" i="17"/>
  <c r="M25" i="17"/>
  <c r="M42" i="17"/>
  <c r="M49" i="17"/>
  <c r="L28" i="17"/>
  <c r="M18" i="17"/>
  <c r="M47" i="17"/>
  <c r="M14" i="17"/>
  <c r="M21" i="17"/>
  <c r="L54" i="17"/>
  <c r="L14" i="17"/>
  <c r="M31" i="17"/>
  <c r="L46" i="17"/>
  <c r="L32" i="17"/>
  <c r="M52" i="17"/>
  <c r="L7" i="17"/>
  <c r="M15" i="17"/>
  <c r="M38" i="17"/>
  <c r="M45" i="17"/>
  <c r="M43" i="17"/>
  <c r="L29" i="17"/>
  <c r="M30" i="17"/>
  <c r="L37" i="17"/>
  <c r="M35" i="17"/>
  <c r="L16" i="17"/>
  <c r="L51" i="17"/>
  <c r="L22" i="17"/>
  <c r="L10" i="17"/>
  <c r="M48" i="17"/>
  <c r="L26" i="17"/>
  <c r="M39" i="17"/>
  <c r="L42" i="17"/>
  <c r="M50" i="17"/>
  <c r="M28" i="17"/>
  <c r="M55" i="17"/>
  <c r="L47" i="17"/>
  <c r="M33" i="17"/>
  <c r="L21" i="17"/>
  <c r="M19" i="17"/>
  <c r="M11" i="17"/>
  <c r="M20" i="17"/>
  <c r="L23" i="17"/>
  <c r="M12" i="17"/>
  <c r="M8" i="17"/>
  <c r="L41" i="17"/>
  <c r="L31" i="17"/>
  <c r="L6" i="17"/>
  <c r="M32" i="17"/>
  <c r="L24" i="17"/>
  <c r="M7" i="17"/>
  <c r="M17" i="17"/>
  <c r="L38" i="17"/>
  <c r="L40" i="17"/>
  <c r="M37" i="17"/>
  <c r="L27" i="17"/>
  <c r="M16" i="17"/>
  <c r="L20" i="17"/>
  <c r="M22" i="17"/>
  <c r="L13" i="17"/>
  <c r="L48" i="17"/>
  <c r="L5" i="17"/>
  <c r="L39" i="17"/>
  <c r="L12" i="17"/>
  <c r="L50" i="17"/>
  <c r="M54" i="17"/>
  <c r="L55" i="17"/>
  <c r="L8" i="17"/>
  <c r="K14" i="30"/>
  <c r="K1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xr:uid="{3760E1D1-B783-4E9C-A959-946237D0CCBB}">
      <text>
        <r>
          <rPr>
            <b/>
            <sz val="9"/>
            <color indexed="81"/>
            <rFont val="Tahoma"/>
            <charset val="1"/>
          </rPr>
          <t>Erik Kobayashi-Solomon:</t>
        </r>
        <r>
          <rPr>
            <sz val="9"/>
            <color indexed="81"/>
            <rFont val="Tahoma"/>
            <charset val="1"/>
          </rPr>
          <t xml:space="preserve">
10-Q / Nov 5, 2018</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2" authorId="0" shapeId="0" xr:uid="{82C856D3-FF15-41CB-920B-D8FAAB779B2E}">
      <text>
        <r>
          <rPr>
            <b/>
            <sz val="9"/>
            <color indexed="81"/>
            <rFont val="Tahoma"/>
            <family val="2"/>
          </rPr>
          <t>Erik Kobayashi-Solomon:</t>
        </r>
        <r>
          <rPr>
            <sz val="9"/>
            <color indexed="81"/>
            <rFont val="Tahoma"/>
            <family val="2"/>
          </rPr>
          <t xml:space="preserve">
If you want to estimate ECF as a percentage of OCP, select "1" from the cell B12. If you want to provide a direct estimate of ECF in nominal (i.e., dollar) terms, select "0" from the cell B12.</t>
        </r>
      </text>
    </comment>
    <comment ref="C13" authorId="0" shapeId="0" xr:uid="{2AEF87FC-B898-4C72-837D-15CC955CA96E}">
      <text>
        <r>
          <rPr>
            <b/>
            <sz val="9"/>
            <color indexed="81"/>
            <rFont val="Tahoma"/>
            <charset val="1"/>
          </rPr>
          <t>Erik Kobayashi-Solomon:</t>
        </r>
        <r>
          <rPr>
            <sz val="9"/>
            <color indexed="81"/>
            <rFont val="Tahoma"/>
            <charset val="1"/>
          </rPr>
          <t xml:space="preserve">
(10/19/18) $7850 spent on MicroSemi acquisition. Adding $600mm for anti-dilutive stock buybacks and for new building as mentioned by Eric B. (CFO)</t>
        </r>
      </text>
    </comment>
    <comment ref="A14"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7"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 ref="I25" authorId="0" shapeId="0" xr:uid="{0924081A-EF50-4E53-B90D-F17126179CA8}">
      <text>
        <r>
          <rPr>
            <b/>
            <sz val="9"/>
            <color indexed="81"/>
            <rFont val="Tahoma"/>
            <charset val="1"/>
          </rPr>
          <t>Erik Kobayashi-Solomon:</t>
        </r>
        <r>
          <rPr>
            <sz val="9"/>
            <color indexed="81"/>
            <rFont val="Tahoma"/>
            <charset val="1"/>
          </rPr>
          <t xml:space="preserve">
Shares used for acquisition</t>
        </r>
      </text>
    </comment>
    <comment ref="J25" authorId="0" shapeId="0" xr:uid="{476216F2-8994-4D57-BABE-2CAEBF110FDC}">
      <text>
        <r>
          <rPr>
            <b/>
            <sz val="9"/>
            <color indexed="81"/>
            <rFont val="Tahoma"/>
            <charset val="1"/>
          </rPr>
          <t>Erik Kobayashi-Solomon:</t>
        </r>
        <r>
          <rPr>
            <sz val="9"/>
            <color indexed="81"/>
            <rFont val="Tahoma"/>
            <charset val="1"/>
          </rPr>
          <t xml:space="preserve">
Shares used for acquisition</t>
        </r>
      </text>
    </comment>
  </commentList>
</comments>
</file>

<file path=xl/sharedStrings.xml><?xml version="1.0" encoding="utf-8"?>
<sst xmlns="http://schemas.openxmlformats.org/spreadsheetml/2006/main" count="418" uniqueCount="225">
  <si>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</si>
  <si>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</si>
  <si>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</si>
  <si>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</si>
  <si>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</si>
  <si>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</si>
  <si>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</si>
  <si>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</si>
  <si>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</si>
  <si>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</si>
  <si>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</si>
  <si>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</si>
  <si>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</si>
  <si>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</si>
  <si>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</si>
  <si>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</si>
  <si>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</si>
  <si>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</si>
  <si>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</si>
  <si>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</si>
  <si>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</si>
  <si>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</si>
  <si>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</si>
  <si>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</si>
  <si>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</si>
  <si>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</si>
  <si>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</si>
  <si>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</si>
  <si>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</si>
  <si>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</si>
  <si>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</si>
  <si>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</si>
  <si>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</si>
  <si>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</si>
  <si>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</si>
  <si>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</si>
  <si>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</si>
  <si>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</si>
  <si>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</si>
  <si>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</si>
  <si>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</si>
  <si>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</si>
  <si>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</si>
  <si>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</si>
  <si>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</si>
  <si>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</si>
  <si>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</si>
  <si>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</si>
  <si>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</si>
  <si>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</si>
  <si>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</si>
  <si>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</si>
  <si>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</si>
  <si>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</si>
  <si>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</si>
  <si>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</si>
  <si>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</si>
  <si>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</si>
  <si>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</si>
  <si>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</si>
  <si>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</si>
  <si>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</si>
  <si>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</si>
  <si>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</si>
  <si>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</si>
  <si>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</si>
  <si>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</si>
  <si>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</si>
  <si>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</si>
  <si>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</si>
  <si>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</si>
  <si>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</si>
  <si>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</si>
  <si>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</si>
  <si>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</si>
  <si>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</si>
  <si>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</si>
  <si>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</si>
  <si>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</si>
  <si>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</si>
  <si>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</si>
  <si>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</si>
  <si>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</si>
  <si>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</si>
  <si>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</si>
  <si>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</si>
  <si>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</si>
  <si>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</si>
  <si>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</si>
  <si>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</si>
  <si>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</si>
  <si>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</si>
  <si>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</si>
  <si>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</si>
  <si>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</si>
  <si>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</si>
  <si>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</si>
  <si>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</si>
  <si>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</si>
  <si>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</si>
  <si>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</si>
  <si>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</si>
  <si>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</si>
  <si>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</si>
  <si>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</si>
  <si>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</si>
  <si>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</si>
  <si>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</si>
  <si>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</si>
  <si>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</si>
  <si>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</si>
  <si>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</si>
  <si>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</si>
  <si>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</si>
  <si>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</si>
  <si>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</si>
  <si>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</si>
  <si>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</si>
  <si>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</si>
  <si>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</si>
  <si>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</si>
  <si>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</si>
  <si>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</si>
  <si>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</si>
  <si>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</si>
  <si>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</si>
  <si>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</si>
  <si>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</si>
  <si>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</si>
  <si>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</si>
  <si>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</si>
  <si>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</si>
  <si>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</si>
  <si>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</si>
  <si>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</si>
  <si>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</si>
  <si>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</si>
  <si>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</si>
  <si>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</si>
  <si>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</si>
  <si>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</si>
  <si>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</si>
  <si>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</si>
  <si>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</si>
  <si>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</si>
  <si>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</si>
  <si>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</si>
  <si>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</si>
  <si>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</si>
  <si>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</si>
  <si>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</si>
  <si>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</si>
  <si>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</si>
  <si>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</si>
  <si>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</si>
  <si>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</si>
  <si>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</si>
  <si>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</si>
  <si>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</si>
  <si>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</si>
  <si>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</si>
  <si>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</si>
  <si>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</si>
  <si>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</si>
  <si>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</si>
  <si>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</si>
  <si>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</si>
  <si>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</si>
  <si>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</si>
  <si>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</si>
  <si>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</si>
  <si>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</si>
  <si>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</si>
  <si>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</si>
  <si>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</si>
  <si>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</si>
  <si>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</si>
  <si>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</si>
  <si>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</si>
  <si>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</si>
  <si>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</si>
  <si>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</si>
  <si>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</si>
  <si>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</si>
  <si>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</si>
  <si>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</si>
  <si>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</si>
  <si>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</si>
  <si>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</si>
  <si>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</si>
  <si>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</si>
  <si>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Nominal Expansionary Cash Flow (ECF)</t>
  </si>
  <si>
    <t>ECF Controls</t>
  </si>
  <si>
    <t>Microchip Technology</t>
  </si>
  <si>
    <t>MCHP</t>
  </si>
  <si>
    <t>Microchip Technology Inc Owners' Cash Profits (TTM)</t>
  </si>
  <si>
    <t>Owners' Cash Profits (Annual)</t>
  </si>
  <si>
    <t>Microchip Technology Inc</t>
  </si>
  <si>
    <t>Total Depreciation and Amortization (Annual)</t>
  </si>
  <si>
    <t>Cash from Operations (Annual)</t>
  </si>
  <si>
    <t>Metric</t>
  </si>
  <si>
    <t>Name</t>
  </si>
  <si>
    <t>Symbol</t>
  </si>
  <si>
    <t>Fill Method: No Fill</t>
  </si>
  <si>
    <t>Aggregation Method: End of Period (default)</t>
  </si>
  <si>
    <t>Frequency: Unchanged Frequency</t>
  </si>
  <si>
    <t xml:space="preserve">Date Range: 11/01/2008 - </t>
  </si>
  <si>
    <t>YCharts Data Tables: Multi-Security Timeseries</t>
  </si>
  <si>
    <t>GAAP OCP</t>
  </si>
  <si>
    <t>GAAP D&amp;A</t>
  </si>
  <si>
    <t>Inflation</t>
  </si>
  <si>
    <t>Non-GAAP D&amp;A</t>
  </si>
  <si>
    <t>Amortization of Acq. Intangibles</t>
  </si>
  <si>
    <t>Non-GAAP Maintenance Capex</t>
  </si>
  <si>
    <t>MCU</t>
  </si>
  <si>
    <t>Analog</t>
  </si>
  <si>
    <t>FPGA</t>
  </si>
  <si>
    <t>Memory</t>
  </si>
  <si>
    <t>Multi-Market &amp; Other (MMO)</t>
  </si>
  <si>
    <t>Licensing</t>
  </si>
  <si>
    <t>2Q19 Revenue Share</t>
  </si>
  <si>
    <t>MAINX % Sales</t>
  </si>
  <si>
    <t>Year</t>
  </si>
  <si>
    <t>GAAP OCP Margin</t>
  </si>
  <si>
    <t>Adjusted Non-GAAP OCP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</si>
</sst>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0.0"/>
  </numFmts>
  <fonts count="55">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72">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0" fontId="52" fillId="0" borderId="23" xfId="0" applyFont="1" applyBorder="1" applyAlignment="1">
      <alignment horizontal="left" indent="2"/>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208" fontId="0" fillId="0" borderId="0" xfId="0" applyNumberFormat="1"/>
    <xf numFmtId="0" fontId="3" fillId="3" borderId="4" xfId="0" applyFont="1" applyFill="1" applyBorder="1" applyAlignment="1">
      <alignment horizontal="left"/>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164" fontId="52" fillId="2" borderId="0" xfId="1" applyNumberFormat="1" applyFont="1" applyFill="1" applyBorder="1" applyProtection="1">
      <protection locked="0"/>
    </xf>
    <xf numFmtId="164" fontId="52" fillId="2" borderId="23" xfId="1" applyNumberFormat="1" applyFont="1" applyFill="1" applyBorder="1" applyProtection="1">
      <protection locked="0"/>
    </xf>
    <xf numFmtId="164" fontId="0" fillId="2" borderId="0" xfId="1" applyNumberFormat="1" applyFont="1" applyFill="1" applyProtection="1">
      <protection locked="0"/>
    </xf>
    <xf numFmtId="0" fontId="0" fillId="8" borderId="6" xfId="0" applyFill="1" applyBorder="1" applyAlignment="1">
      <alignment horizontal="left"/>
    </xf>
    <xf numFmtId="165" fontId="0" fillId="2" borderId="6" xfId="1" applyNumberFormat="1" applyFont="1" applyFill="1" applyBorder="1" applyAlignment="1">
      <alignment horizontal="right"/>
    </xf>
    <xf numFmtId="165" fontId="0" fillId="2" borderId="1" xfId="1" applyNumberFormat="1" applyFont="1" applyFill="1" applyBorder="1"/>
    <xf numFmtId="0" fontId="0" fillId="2" borderId="6" xfId="0" applyFill="1" applyBorder="1" applyAlignment="1">
      <alignment horizontal="center"/>
    </xf>
    <xf numFmtId="10" fontId="0" fillId="0" borderId="0" xfId="0" applyNumberFormat="1"/>
    <xf numFmtId="9" fontId="0" fillId="0" borderId="0" xfId="3" applyNumberFormat="1" applyFont="1"/>
    <xf numFmtId="0" fontId="3" fillId="3" borderId="4" xfId="0" applyFont="1" applyFill="1" applyBorder="1" applyAlignment="1">
      <alignment horizontal="left"/>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4">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patternType="none">
          <bgColor auto="1"/>
        </patternFill>
      </fill>
    </dxf>
    <dxf>
      <fill>
        <patternFill>
          <bgColor theme="3" tint="0.79998168889431442"/>
        </patternFill>
      </fill>
    </dxf>
    <dxf>
      <fill>
        <patternFill>
          <bgColor theme="3" tint="0.79998168889431442"/>
        </patternFill>
      </fill>
    </dxf>
    <dxf>
      <fill>
        <patternFill patternType="none">
          <bgColor auto="1"/>
        </patternFill>
      </fill>
    </dxf>
  </dxfs>
  <tableStyles count="0" defaultTableStyle="TableStyleMedium2" defaultPivotStyle="PivotStyleLight16"/>
  <colors>
    <mruColors>
      <color rgb="FF575A5D"/>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7.xml"/><Relationship Id="rId18" Type="http://schemas.openxmlformats.org/officeDocument/2006/relationships/worksheet" Target="worksheets/sheet10.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6.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8.xml"/><Relationship Id="rId20" Type="http://schemas.openxmlformats.org/officeDocument/2006/relationships/worksheet" Target="worksheets/sheet1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hartsheet" Target="chartsheets/sheet5.xml"/><Relationship Id="rId24" Type="http://schemas.openxmlformats.org/officeDocument/2006/relationships/externalLink" Target="externalLinks/externalLink4.xml"/><Relationship Id="rId5" Type="http://schemas.openxmlformats.org/officeDocument/2006/relationships/chartsheet" Target="chartsheets/sheet1.xml"/><Relationship Id="rId15" Type="http://schemas.openxmlformats.org/officeDocument/2006/relationships/worksheet" Target="worksheets/sheet7.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chartsheet" Target="chartsheets/sheet4.xml"/><Relationship Id="rId19" Type="http://schemas.openxmlformats.org/officeDocument/2006/relationships/worksheet" Target="worksheets/sheet11.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chartsheet" Target="chartsheets/sheet8.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endParaRPr lang="en-US"/>
        </a:p>
      </c:txPr>
    </c:title>
    <c:autoTitleDeleted val="0"/>
    <c:plotArea>
      <c:layout/>
      <c:pieChart>
        <c:varyColors val="1"/>
        <c:ser>
          <c:idx val="0"/>
          <c:order val="0"/>
          <c:tx>
            <c:strRef>
              <c:f>Scratch!$B$1</c:f>
              <c:strCache>
                <c:ptCount val="1"/>
                <c:pt idx="0">
                  <c:v>2Q19 Revenue Share</c:v>
                </c:pt>
              </c:strCache>
            </c:strRef>
          </c:tx>
          <c:dPt>
            <c:idx val="0"/>
            <c:bubble3D val="0"/>
            <c:spPr>
              <a:solidFill>
                <a:srgbClr val="0049AA"/>
              </a:solidFill>
              <a:ln w="19050">
                <a:solidFill>
                  <a:schemeClr val="lt1"/>
                </a:solidFill>
              </a:ln>
              <a:effectLst/>
            </c:spPr>
            <c:extLst>
              <c:ext xmlns:c16="http://schemas.microsoft.com/office/drawing/2014/chart" uri="{C3380CC4-5D6E-409C-BE32-E72D297353CC}">
                <c16:uniqueId val="{00000001-606E-4367-B91F-842ACED2039A}"/>
              </c:ext>
            </c:extLst>
          </c:dPt>
          <c:dPt>
            <c:idx val="1"/>
            <c:bubble3D val="0"/>
            <c:spPr>
              <a:solidFill>
                <a:srgbClr val="575A5D"/>
              </a:solidFill>
              <a:ln w="19050">
                <a:solidFill>
                  <a:schemeClr val="lt1"/>
                </a:solidFill>
              </a:ln>
              <a:effectLst/>
            </c:spPr>
            <c:extLst>
              <c:ext xmlns:c16="http://schemas.microsoft.com/office/drawing/2014/chart" uri="{C3380CC4-5D6E-409C-BE32-E72D297353CC}">
                <c16:uniqueId val="{00000002-606E-4367-B91F-842ACED2039A}"/>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3-606E-4367-B91F-842ACED2039A}"/>
              </c:ext>
            </c:extLst>
          </c:dPt>
          <c:dPt>
            <c:idx val="3"/>
            <c:bubble3D val="0"/>
            <c:spPr>
              <a:solidFill>
                <a:schemeClr val="tx2">
                  <a:lumMod val="40000"/>
                  <a:lumOff val="60000"/>
                </a:schemeClr>
              </a:solidFill>
              <a:ln w="19050">
                <a:solidFill>
                  <a:schemeClr val="lt1"/>
                </a:solidFill>
              </a:ln>
              <a:effectLst/>
            </c:spPr>
            <c:extLst>
              <c:ext xmlns:c16="http://schemas.microsoft.com/office/drawing/2014/chart" uri="{C3380CC4-5D6E-409C-BE32-E72D297353CC}">
                <c16:uniqueId val="{00000004-606E-4367-B91F-842ACED2039A}"/>
              </c:ext>
            </c:extLst>
          </c:dPt>
          <c:dPt>
            <c:idx val="4"/>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5-606E-4367-B91F-842ACED2039A}"/>
              </c:ext>
            </c:extLst>
          </c:dPt>
          <c:dPt>
            <c:idx val="5"/>
            <c:bubble3D val="0"/>
            <c:spPr>
              <a:solidFill>
                <a:schemeClr val="accent3">
                  <a:lumMod val="40000"/>
                  <a:lumOff val="60000"/>
                </a:schemeClr>
              </a:solidFill>
              <a:ln w="19050">
                <a:solidFill>
                  <a:schemeClr val="lt1"/>
                </a:solidFill>
              </a:ln>
              <a:effectLst/>
            </c:spPr>
            <c:extLst>
              <c:ext xmlns:c16="http://schemas.microsoft.com/office/drawing/2014/chart" uri="{C3380CC4-5D6E-409C-BE32-E72D297353CC}">
                <c16:uniqueId val="{00000006-606E-4367-B91F-842ACED2039A}"/>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Narrow" panose="020B060602020203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6="http://schemas.microsoft.com/office/drawing/2014/chart" uri="{C3380CC4-5D6E-409C-BE32-E72D297353CC}">
                  <c16:uniqueId val="{00000001-606E-4367-B91F-842ACED2039A}"/>
                </c:ext>
              </c:extLst>
            </c:dLbl>
            <c:dLbl>
              <c:idx val="1"/>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Narrow" panose="020B060602020203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6="http://schemas.microsoft.com/office/drawing/2014/chart" uri="{C3380CC4-5D6E-409C-BE32-E72D297353CC}">
                  <c16:uniqueId val="{00000002-606E-4367-B91F-842ACED2039A}"/>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Scratch!$A$2:$A$7</c:f>
              <c:strCache>
                <c:ptCount val="6"/>
                <c:pt idx="0">
                  <c:v>MCU</c:v>
                </c:pt>
                <c:pt idx="1">
                  <c:v>Analog</c:v>
                </c:pt>
                <c:pt idx="2">
                  <c:v>FPGA</c:v>
                </c:pt>
                <c:pt idx="3">
                  <c:v>Multi-Market &amp; Other (MMO)</c:v>
                </c:pt>
                <c:pt idx="4">
                  <c:v>Memory</c:v>
                </c:pt>
                <c:pt idx="5">
                  <c:v>Licensing</c:v>
                </c:pt>
              </c:strCache>
            </c:strRef>
          </c:cat>
          <c:val>
            <c:numRef>
              <c:f>Scratch!$B$2:$B$7</c:f>
              <c:numCache>
                <c:formatCode>0%</c:formatCode>
                <c:ptCount val="6"/>
                <c:pt idx="0">
                  <c:v>0.54200000000000004</c:v>
                </c:pt>
                <c:pt idx="1">
                  <c:v>0.28999999999999998</c:v>
                </c:pt>
                <c:pt idx="2">
                  <c:v>0.06</c:v>
                </c:pt>
                <c:pt idx="3">
                  <c:v>5.1999999999999998E-2</c:v>
                </c:pt>
                <c:pt idx="4">
                  <c:v>3.1E-2</c:v>
                </c:pt>
                <c:pt idx="5">
                  <c:v>2.5000000000000001E-2</c:v>
                </c:pt>
              </c:numCache>
            </c:numRef>
          </c:val>
          <c:extLst>
            <c:ext xmlns:c16="http://schemas.microsoft.com/office/drawing/2014/chart" uri="{C3380CC4-5D6E-409C-BE32-E72D297353CC}">
              <c16:uniqueId val="{00000000-606E-4367-B91F-842ACED2039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Microchip Technology (MCHP)</c:v>
            </c:pt>
          </c:strCache>
        </c:strRef>
      </c:tx>
      <c:overlay val="0"/>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3.16</c:v>
                </c:pt>
                <c:pt idx="2">
                  <c:v>6.32</c:v>
                </c:pt>
                <c:pt idx="3">
                  <c:v>9.48</c:v>
                </c:pt>
                <c:pt idx="4">
                  <c:v>12.64</c:v>
                </c:pt>
                <c:pt idx="5">
                  <c:v>15.8</c:v>
                </c:pt>
                <c:pt idx="6">
                  <c:v>18.96</c:v>
                </c:pt>
                <c:pt idx="7">
                  <c:v>22.12</c:v>
                </c:pt>
                <c:pt idx="8">
                  <c:v>25.28</c:v>
                </c:pt>
                <c:pt idx="9">
                  <c:v>28.439999999999998</c:v>
                </c:pt>
                <c:pt idx="10">
                  <c:v>31.599999999999998</c:v>
                </c:pt>
                <c:pt idx="11">
                  <c:v>34.76</c:v>
                </c:pt>
                <c:pt idx="12">
                  <c:v>37.919999999999995</c:v>
                </c:pt>
                <c:pt idx="13">
                  <c:v>41.079999999999991</c:v>
                </c:pt>
                <c:pt idx="14">
                  <c:v>44.239999999999995</c:v>
                </c:pt>
                <c:pt idx="15">
                  <c:v>47.4</c:v>
                </c:pt>
                <c:pt idx="16">
                  <c:v>50.56</c:v>
                </c:pt>
                <c:pt idx="17">
                  <c:v>53.720000000000006</c:v>
                </c:pt>
                <c:pt idx="18">
                  <c:v>56.88000000000001</c:v>
                </c:pt>
                <c:pt idx="19">
                  <c:v>60.040000000000006</c:v>
                </c:pt>
                <c:pt idx="20">
                  <c:v>63.20000000000001</c:v>
                </c:pt>
                <c:pt idx="21">
                  <c:v>66.360000000000014</c:v>
                </c:pt>
                <c:pt idx="22">
                  <c:v>69.520000000000024</c:v>
                </c:pt>
                <c:pt idx="23">
                  <c:v>72.680000000000021</c:v>
                </c:pt>
                <c:pt idx="24">
                  <c:v>75.840000000000018</c:v>
                </c:pt>
                <c:pt idx="25">
                  <c:v>79.000000000000014</c:v>
                </c:pt>
                <c:pt idx="26">
                  <c:v>82.160000000000025</c:v>
                </c:pt>
                <c:pt idx="27">
                  <c:v>85.320000000000022</c:v>
                </c:pt>
                <c:pt idx="28">
                  <c:v>88.480000000000032</c:v>
                </c:pt>
                <c:pt idx="29">
                  <c:v>91.640000000000029</c:v>
                </c:pt>
                <c:pt idx="30">
                  <c:v>94.800000000000026</c:v>
                </c:pt>
                <c:pt idx="31">
                  <c:v>97.960000000000036</c:v>
                </c:pt>
                <c:pt idx="32">
                  <c:v>101.12000000000003</c:v>
                </c:pt>
                <c:pt idx="33">
                  <c:v>104.28000000000004</c:v>
                </c:pt>
                <c:pt idx="34">
                  <c:v>107.44000000000004</c:v>
                </c:pt>
                <c:pt idx="35">
                  <c:v>110.60000000000005</c:v>
                </c:pt>
                <c:pt idx="36">
                  <c:v>113.76000000000005</c:v>
                </c:pt>
                <c:pt idx="37">
                  <c:v>116.92000000000004</c:v>
                </c:pt>
                <c:pt idx="38">
                  <c:v>120.08000000000006</c:v>
                </c:pt>
                <c:pt idx="39">
                  <c:v>123.24000000000005</c:v>
                </c:pt>
                <c:pt idx="40">
                  <c:v>126.40000000000006</c:v>
                </c:pt>
                <c:pt idx="41">
                  <c:v>129.56000000000006</c:v>
                </c:pt>
                <c:pt idx="42">
                  <c:v>132.72000000000006</c:v>
                </c:pt>
                <c:pt idx="43">
                  <c:v>135.88000000000008</c:v>
                </c:pt>
                <c:pt idx="44">
                  <c:v>139.04000000000008</c:v>
                </c:pt>
                <c:pt idx="45">
                  <c:v>142.20000000000007</c:v>
                </c:pt>
                <c:pt idx="46">
                  <c:v>145.36000000000007</c:v>
                </c:pt>
                <c:pt idx="47">
                  <c:v>148.52000000000007</c:v>
                </c:pt>
                <c:pt idx="48">
                  <c:v>151.68000000000009</c:v>
                </c:pt>
                <c:pt idx="49">
                  <c:v>154.84000000000009</c:v>
                </c:pt>
                <c:pt idx="50">
                  <c:v>158.00000000000006</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6.25E-2</c:v>
                </c:pt>
                <c:pt idx="27">
                  <c:v>0</c:v>
                </c:pt>
                <c:pt idx="28">
                  <c:v>0</c:v>
                </c:pt>
                <c:pt idx="29">
                  <c:v>0</c:v>
                </c:pt>
                <c:pt idx="30">
                  <c:v>6.25E-2</c:v>
                </c:pt>
                <c:pt idx="31">
                  <c:v>0</c:v>
                </c:pt>
                <c:pt idx="32">
                  <c:v>6.25E-2</c:v>
                </c:pt>
                <c:pt idx="33">
                  <c:v>6.25E-2</c:v>
                </c:pt>
                <c:pt idx="34">
                  <c:v>0</c:v>
                </c:pt>
                <c:pt idx="35">
                  <c:v>0</c:v>
                </c:pt>
                <c:pt idx="36">
                  <c:v>0</c:v>
                </c:pt>
                <c:pt idx="37">
                  <c:v>6.25E-2</c:v>
                </c:pt>
                <c:pt idx="38">
                  <c:v>0</c:v>
                </c:pt>
                <c:pt idx="39">
                  <c:v>6.25E-2</c:v>
                </c:pt>
                <c:pt idx="40">
                  <c:v>6.25E-2</c:v>
                </c:pt>
                <c:pt idx="41">
                  <c:v>0</c:v>
                </c:pt>
                <c:pt idx="42">
                  <c:v>0</c:v>
                </c:pt>
                <c:pt idx="43">
                  <c:v>0</c:v>
                </c:pt>
                <c:pt idx="44">
                  <c:v>0</c:v>
                </c:pt>
                <c:pt idx="45">
                  <c:v>0</c:v>
                </c:pt>
                <c:pt idx="46">
                  <c:v>0</c:v>
                </c:pt>
                <c:pt idx="47">
                  <c:v>6.25E-2</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3.16</c:v>
                </c:pt>
                <c:pt idx="2">
                  <c:v>6.32</c:v>
                </c:pt>
                <c:pt idx="3">
                  <c:v>9.48</c:v>
                </c:pt>
                <c:pt idx="4">
                  <c:v>12.64</c:v>
                </c:pt>
                <c:pt idx="5">
                  <c:v>15.8</c:v>
                </c:pt>
                <c:pt idx="6">
                  <c:v>18.96</c:v>
                </c:pt>
                <c:pt idx="7">
                  <c:v>22.12</c:v>
                </c:pt>
                <c:pt idx="8">
                  <c:v>25.28</c:v>
                </c:pt>
                <c:pt idx="9">
                  <c:v>28.439999999999998</c:v>
                </c:pt>
                <c:pt idx="10">
                  <c:v>31.599999999999998</c:v>
                </c:pt>
                <c:pt idx="11">
                  <c:v>34.76</c:v>
                </c:pt>
                <c:pt idx="12">
                  <c:v>37.919999999999995</c:v>
                </c:pt>
                <c:pt idx="13">
                  <c:v>41.079999999999991</c:v>
                </c:pt>
                <c:pt idx="14">
                  <c:v>44.239999999999995</c:v>
                </c:pt>
                <c:pt idx="15">
                  <c:v>47.4</c:v>
                </c:pt>
                <c:pt idx="16">
                  <c:v>50.56</c:v>
                </c:pt>
                <c:pt idx="17">
                  <c:v>53.720000000000006</c:v>
                </c:pt>
                <c:pt idx="18">
                  <c:v>56.88000000000001</c:v>
                </c:pt>
                <c:pt idx="19">
                  <c:v>60.040000000000006</c:v>
                </c:pt>
                <c:pt idx="20">
                  <c:v>63.20000000000001</c:v>
                </c:pt>
                <c:pt idx="21">
                  <c:v>66.360000000000014</c:v>
                </c:pt>
                <c:pt idx="22">
                  <c:v>69.520000000000024</c:v>
                </c:pt>
                <c:pt idx="23">
                  <c:v>72.680000000000021</c:v>
                </c:pt>
                <c:pt idx="24">
                  <c:v>75.840000000000018</c:v>
                </c:pt>
                <c:pt idx="25">
                  <c:v>79.000000000000014</c:v>
                </c:pt>
                <c:pt idx="26">
                  <c:v>82.160000000000025</c:v>
                </c:pt>
                <c:pt idx="27">
                  <c:v>85.320000000000022</c:v>
                </c:pt>
                <c:pt idx="28">
                  <c:v>88.480000000000032</c:v>
                </c:pt>
                <c:pt idx="29">
                  <c:v>91.640000000000029</c:v>
                </c:pt>
                <c:pt idx="30">
                  <c:v>94.800000000000026</c:v>
                </c:pt>
                <c:pt idx="31">
                  <c:v>97.960000000000036</c:v>
                </c:pt>
                <c:pt idx="32">
                  <c:v>101.12000000000003</c:v>
                </c:pt>
                <c:pt idx="33">
                  <c:v>104.28000000000004</c:v>
                </c:pt>
                <c:pt idx="34">
                  <c:v>107.44000000000004</c:v>
                </c:pt>
                <c:pt idx="35">
                  <c:v>110.60000000000005</c:v>
                </c:pt>
                <c:pt idx="36">
                  <c:v>113.76000000000005</c:v>
                </c:pt>
                <c:pt idx="37">
                  <c:v>116.92000000000004</c:v>
                </c:pt>
                <c:pt idx="38">
                  <c:v>120.08000000000006</c:v>
                </c:pt>
                <c:pt idx="39">
                  <c:v>123.24000000000005</c:v>
                </c:pt>
                <c:pt idx="40">
                  <c:v>126.40000000000006</c:v>
                </c:pt>
                <c:pt idx="41">
                  <c:v>129.56000000000006</c:v>
                </c:pt>
                <c:pt idx="42">
                  <c:v>132.72000000000006</c:v>
                </c:pt>
                <c:pt idx="43">
                  <c:v>135.88000000000008</c:v>
                </c:pt>
                <c:pt idx="44">
                  <c:v>139.04000000000008</c:v>
                </c:pt>
                <c:pt idx="45">
                  <c:v>142.20000000000007</c:v>
                </c:pt>
                <c:pt idx="46">
                  <c:v>145.36000000000007</c:v>
                </c:pt>
                <c:pt idx="47">
                  <c:v>148.52000000000007</c:v>
                </c:pt>
                <c:pt idx="48">
                  <c:v>151.68000000000009</c:v>
                </c:pt>
                <c:pt idx="49">
                  <c:v>154.84000000000009</c:v>
                </c:pt>
                <c:pt idx="50">
                  <c:v>158.00000000000006</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2.5784390292436431E-271</c:v>
                </c:pt>
                <c:pt idx="1">
                  <c:v>3.4835066059353767E-35</c:v>
                </c:pt>
                <c:pt idx="2">
                  <c:v>5.8169444880844241E-22</c:v>
                </c:pt>
                <c:pt idx="3">
                  <c:v>1.0017106681183198E-15</c:v>
                </c:pt>
                <c:pt idx="4">
                  <c:v>5.6480896201983242E-12</c:v>
                </c:pt>
                <c:pt idx="5">
                  <c:v>1.8881075733294604E-9</c:v>
                </c:pt>
                <c:pt idx="6">
                  <c:v>1.2251160533002797E-7</c:v>
                </c:pt>
                <c:pt idx="7">
                  <c:v>2.7841267193957382E-6</c:v>
                </c:pt>
                <c:pt idx="8">
                  <c:v>3.087630131735836E-5</c:v>
                </c:pt>
                <c:pt idx="9">
                  <c:v>2.0465842102739039E-4</c:v>
                </c:pt>
                <c:pt idx="10">
                  <c:v>9.2496745122423577E-4</c:v>
                </c:pt>
                <c:pt idx="11">
                  <c:v>3.1182354814968142E-3</c:v>
                </c:pt>
                <c:pt idx="12">
                  <c:v>8.3552919760033987E-3</c:v>
                </c:pt>
                <c:pt idx="13">
                  <c:v>1.863812290794881E-2</c:v>
                </c:pt>
                <c:pt idx="14">
                  <c:v>3.5832549725621055E-2</c:v>
                </c:pt>
                <c:pt idx="15">
                  <c:v>6.0965659060609523E-2</c:v>
                </c:pt>
                <c:pt idx="16">
                  <c:v>9.3706708462611227E-2</c:v>
                </c:pt>
                <c:pt idx="17">
                  <c:v>0.13225286646453299</c:v>
                </c:pt>
                <c:pt idx="18">
                  <c:v>0.17364215052751938</c:v>
                </c:pt>
                <c:pt idx="19">
                  <c:v>0.21434692707027486</c:v>
                </c:pt>
                <c:pt idx="20">
                  <c:v>0.25093423606793275</c:v>
                </c:pt>
                <c:pt idx="21">
                  <c:v>0.280609662717618</c:v>
                </c:pt>
                <c:pt idx="22">
                  <c:v>0.30154349460239482</c:v>
                </c:pt>
                <c:pt idx="23">
                  <c:v>0.31296343101192303</c:v>
                </c:pt>
                <c:pt idx="24">
                  <c:v>0.31505817194698321</c:v>
                </c:pt>
                <c:pt idx="25">
                  <c:v>0.3087631200736069</c:v>
                </c:pt>
                <c:pt idx="26">
                  <c:v>0.29549934797518762</c:v>
                </c:pt>
                <c:pt idx="27">
                  <c:v>0.27692119288108347</c:v>
                </c:pt>
                <c:pt idx="28">
                  <c:v>0.25470675687957101</c:v>
                </c:pt>
                <c:pt idx="29">
                  <c:v>0.2304061876395144</c:v>
                </c:pt>
                <c:pt idx="30">
                  <c:v>0.20534823945041328</c:v>
                </c:pt>
                <c:pt idx="31">
                  <c:v>0.18059692759602758</c:v>
                </c:pt>
                <c:pt idx="32">
                  <c:v>0.15694623540040786</c:v>
                </c:pt>
                <c:pt idx="33">
                  <c:v>0.13494038459850119</c:v>
                </c:pt>
                <c:pt idx="34">
                  <c:v>0.11490872429131656</c:v>
                </c:pt>
                <c:pt idx="35">
                  <c:v>9.7006715904446025E-2</c:v>
                </c:pt>
                <c:pt idx="36">
                  <c:v>8.1257042342486485E-2</c:v>
                </c:pt>
                <c:pt idx="37">
                  <c:v>6.7587125539155607E-2</c:v>
                </c:pt>
                <c:pt idx="38">
                  <c:v>5.5861115908122573E-2</c:v>
                </c:pt>
                <c:pt idx="39">
                  <c:v>4.5905692764922235E-2</c:v>
                </c:pt>
                <c:pt idx="40">
                  <c:v>3.7529844016041466E-2</c:v>
                </c:pt>
                <c:pt idx="41">
                  <c:v>3.0539268701561716E-2</c:v>
                </c:pt>
                <c:pt idx="42">
                  <c:v>2.4746264332641703E-2</c:v>
                </c:pt>
                <c:pt idx="43">
                  <c:v>1.9976008012001629E-2</c:v>
                </c:pt>
                <c:pt idx="44">
                  <c:v>1.6070083999856336E-2</c:v>
                </c:pt>
                <c:pt idx="45">
                  <c:v>1.288800032122101E-2</c:v>
                </c:pt>
                <c:pt idx="46">
                  <c:v>1.0307306802954197E-2</c:v>
                </c:pt>
                <c:pt idx="47">
                  <c:v>8.2227974966726687E-3</c:v>
                </c:pt>
                <c:pt idx="48">
                  <c:v>6.5451634147678239E-3</c:v>
                </c:pt>
                <c:pt idx="49">
                  <c:v>5.1993621629658152E-3</c:v>
                </c:pt>
                <c:pt idx="50">
                  <c:v>4.1228906453935951E-3</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txPr>
    <a:bodyPr/>
    <a:lstStyle/>
    <a:p>
      <a:pPr>
        <a:defRPr sz="2000">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r>
              <a:rPr lang="en-US"/>
              <a:t>Microchip OCP Margin GAAP v Non-GAAP</a:t>
            </a:r>
          </a:p>
        </c:rich>
      </c:tx>
      <c:overlay val="0"/>
      <c:spPr>
        <a:noFill/>
        <a:ln>
          <a:noFill/>
        </a:ln>
        <a:effectLst/>
      </c:spPr>
      <c:txPr>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'GAAP vs Non-GAAP OCP'!$J$12</c:f>
              <c:strCache>
                <c:ptCount val="1"/>
                <c:pt idx="0">
                  <c:v>GAAP OCP Margin</c:v>
                </c:pt>
              </c:strCache>
            </c:strRef>
          </c:tx>
          <c:spPr>
            <a:ln w="28575" cap="rnd">
              <a:solidFill>
                <a:srgbClr val="575A5D"/>
              </a:solidFill>
              <a:round/>
            </a:ln>
            <a:effectLst/>
          </c:spPr>
          <c:marker>
            <c:symbol val="none"/>
          </c:marker>
          <c:cat>
            <c:numRef>
              <c:f>'GAAP vs Non-GAAP OCP'!$A$13:$A$22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'GAAP vs Non-GAAP OCP'!$J$13:$J$22</c:f>
              <c:numCache>
                <c:formatCode>0%</c:formatCode>
                <c:ptCount val="10"/>
                <c:pt idx="0">
                  <c:v>0.23577560868684386</c:v>
                </c:pt>
                <c:pt idx="1">
                  <c:v>0.37975634384934931</c:v>
                </c:pt>
                <c:pt idx="2">
                  <c:v>0.31817409166859983</c:v>
                </c:pt>
                <c:pt idx="3">
                  <c:v>0.22406251988177933</c:v>
                </c:pt>
                <c:pt idx="4">
                  <c:v>0.15949426633274807</c:v>
                </c:pt>
                <c:pt idx="5">
                  <c:v>0.25091162722780502</c:v>
                </c:pt>
                <c:pt idx="6">
                  <c:v>0.20637231979342682</c:v>
                </c:pt>
                <c:pt idx="7">
                  <c:v>0.21109764997004604</c:v>
                </c:pt>
                <c:pt idx="8">
                  <c:v>0.16994219449634324</c:v>
                </c:pt>
                <c:pt idx="9">
                  <c:v>0.19824321744372989</c:v>
                </c:pt>
              </c:numCache>
            </c:numRef>
          </c:val>
          <c:smooth val="0"/>
          <c:extLst>
            <c:ext xmlns:c16="http://schemas.microsoft.com/office/drawing/2014/chart" uri="{C3380CC4-5D6E-409C-BE32-E72D297353CC}">
              <c16:uniqueId val="{00000000-A075-43A8-911A-D3AA30A88462}"/>
            </c:ext>
          </c:extLst>
        </c:ser>
        <c:ser>
          <c:idx val="1"/>
          <c:order val="1"/>
          <c:tx>
            <c:strRef>
              <c:f>'GAAP vs Non-GAAP OCP'!$K$12</c:f>
              <c:strCache>
                <c:ptCount val="1"/>
                <c:pt idx="0">
                  <c:v>Adjusted Non-GAAP OCP Margin</c:v>
                </c:pt>
              </c:strCache>
            </c:strRef>
          </c:tx>
          <c:spPr>
            <a:ln w="28575" cap="rnd">
              <a:solidFill>
                <a:srgbClr val="0049AA"/>
              </a:solidFill>
              <a:round/>
            </a:ln>
            <a:effectLst/>
          </c:spPr>
          <c:marker>
            <c:symbol val="none"/>
          </c:marker>
          <c:cat>
            <c:numRef>
              <c:f>'GAAP vs Non-GAAP OCP'!$A$13:$A$22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'GAAP vs Non-GAAP OCP'!$K$13:$K$22</c:f>
              <c:numCache>
                <c:formatCode>0%</c:formatCode>
                <c:ptCount val="10"/>
                <c:pt idx="0">
                  <c:v>0.3077659762680966</c:v>
                </c:pt>
                <c:pt idx="1">
                  <c:v>0.3077659762680966</c:v>
                </c:pt>
                <c:pt idx="2">
                  <c:v>0.31817409166859983</c:v>
                </c:pt>
                <c:pt idx="3">
                  <c:v>0.23231811324834717</c:v>
                </c:pt>
                <c:pt idx="4">
                  <c:v>0.23105427252075839</c:v>
                </c:pt>
                <c:pt idx="5">
                  <c:v>0.30060234720463025</c:v>
                </c:pt>
                <c:pt idx="6">
                  <c:v>0.28863266954997902</c:v>
                </c:pt>
                <c:pt idx="7">
                  <c:v>0.29229547816921486</c:v>
                </c:pt>
                <c:pt idx="8">
                  <c:v>0.271383181045595</c:v>
                </c:pt>
                <c:pt idx="9">
                  <c:v>0.32308152873033946</c:v>
                </c:pt>
              </c:numCache>
            </c:numRef>
          </c:val>
          <c:smooth val="0"/>
          <c:extLst>
            <c:ext xmlns:c16="http://schemas.microsoft.com/office/drawing/2014/chart" uri="{C3380CC4-5D6E-409C-BE32-E72D297353CC}">
              <c16:uniqueId val="{00000001-A075-43A8-911A-D3AA30A88462}"/>
            </c:ext>
          </c:extLst>
        </c:ser>
        <c:dLbls>
          <c:showLegendKey val="0"/>
          <c:showVal val="0"/>
          <c:showCatName val="0"/>
          <c:showSerName val="0"/>
          <c:showPercent val="0"/>
          <c:showBubbleSize val="0"/>
        </c:dLbls>
        <c:smooth val="0"/>
        <c:axId val="539423032"/>
        <c:axId val="539424672"/>
      </c:lineChart>
      <c:catAx>
        <c:axId val="539423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539424672"/>
        <c:crosses val="autoZero"/>
        <c:auto val="1"/>
        <c:lblAlgn val="ctr"/>
        <c:lblOffset val="100"/>
        <c:noMultiLvlLbl val="0"/>
      </c:catAx>
      <c:valAx>
        <c:axId val="539424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5394230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solidFill>
            <a:sysClr val="windowText" lastClr="000000"/>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'Long-run OCP'!$A$22:$A$100</c:f>
              <c:numCache>
                <c:formatCode>m/d/yyyy</c:formatCode>
                <c:ptCount val="43"/>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pt idx="38">
                  <c:v>43008</c:v>
                </c:pt>
                <c:pt idx="39">
                  <c:v>43100</c:v>
                </c:pt>
                <c:pt idx="40">
                  <c:v>43190</c:v>
                </c:pt>
                <c:pt idx="41">
                  <c:v>43281</c:v>
                </c:pt>
                <c:pt idx="42">
                  <c:v>43373</c:v>
                </c:pt>
              </c:numCache>
            </c:numRef>
          </c:cat>
          <c:val>
            <c:numRef>
              <c:f>'Long-run OCP'!$C$22:$C$100</c:f>
              <c:numCache>
                <c:formatCode>General</c:formatCode>
                <c:ptCount val="43"/>
                <c:pt idx="0">
                  <c:v>0.18667627341061155</c:v>
                </c:pt>
                <c:pt idx="1">
                  <c:v>0.25478845678155482</c:v>
                </c:pt>
                <c:pt idx="2">
                  <c:v>0.24000667671448173</c:v>
                </c:pt>
                <c:pt idx="3">
                  <c:v>5.915732209902691E-2</c:v>
                </c:pt>
                <c:pt idx="4">
                  <c:v>-1.4845993707789384E-2</c:v>
                </c:pt>
                <c:pt idx="5">
                  <c:v>-6.7920791317870322E-2</c:v>
                </c:pt>
                <c:pt idx="6">
                  <c:v>-8.1390259482788774E-2</c:v>
                </c:pt>
                <c:pt idx="7">
                  <c:v>2.0181202067016457E-2</c:v>
                </c:pt>
                <c:pt idx="8">
                  <c:v>9.5163791728573477E-2</c:v>
                </c:pt>
                <c:pt idx="9">
                  <c:v>0.11323147393716271</c:v>
                </c:pt>
                <c:pt idx="10">
                  <c:v>9.9638993193684744E-2</c:v>
                </c:pt>
                <c:pt idx="11">
                  <c:v>0.10436728722293154</c:v>
                </c:pt>
                <c:pt idx="12">
                  <c:v>7.941477004009867E-2</c:v>
                </c:pt>
                <c:pt idx="13">
                  <c:v>3.4045603500333144E-2</c:v>
                </c:pt>
                <c:pt idx="14">
                  <c:v>2.6313129044071681E-2</c:v>
                </c:pt>
                <c:pt idx="15">
                  <c:v>-6.8163429478789173E-3</c:v>
                </c:pt>
                <c:pt idx="16">
                  <c:v>-2.9137075683982605E-4</c:v>
                </c:pt>
                <c:pt idx="17">
                  <c:v>3.181839396625219E-2</c:v>
                </c:pt>
                <c:pt idx="18">
                  <c:v>-4.0627572138418722E-2</c:v>
                </c:pt>
                <c:pt idx="19">
                  <c:v>-2.675770908364794E-2</c:v>
                </c:pt>
                <c:pt idx="20">
                  <c:v>-5.9601725319202825E-2</c:v>
                </c:pt>
                <c:pt idx="21">
                  <c:v>-5.1985580245639706E-2</c:v>
                </c:pt>
                <c:pt idx="22">
                  <c:v>-1.2250198191512629E-2</c:v>
                </c:pt>
                <c:pt idx="23">
                  <c:v>8.8927409034878613E-2</c:v>
                </c:pt>
                <c:pt idx="24">
                  <c:v>0.1787032582103838</c:v>
                </c:pt>
                <c:pt idx="25">
                  <c:v>0.17840593965049334</c:v>
                </c:pt>
                <c:pt idx="26">
                  <c:v>0.20240452069985215</c:v>
                </c:pt>
                <c:pt idx="27">
                  <c:v>0.10869978217768472</c:v>
                </c:pt>
                <c:pt idx="28">
                  <c:v>4.2462192103890573E-2</c:v>
                </c:pt>
                <c:pt idx="29">
                  <c:v>4.0382952389088844E-2</c:v>
                </c:pt>
                <c:pt idx="30">
                  <c:v>7.5263118879627111E-3</c:v>
                </c:pt>
                <c:pt idx="31">
                  <c:v>1.5430569759389279E-3</c:v>
                </c:pt>
                <c:pt idx="32">
                  <c:v>-6.1637246292630676E-3</c:v>
                </c:pt>
                <c:pt idx="33">
                  <c:v>1.1653881450729875E-2</c:v>
                </c:pt>
                <c:pt idx="34">
                  <c:v>2.4768306333232459E-2</c:v>
                </c:pt>
                <c:pt idx="35">
                  <c:v>8.5086493924846129E-2</c:v>
                </c:pt>
                <c:pt idx="36">
                  <c:v>0.13319828982006121</c:v>
                </c:pt>
                <c:pt idx="37">
                  <c:v>0.1324758296510502</c:v>
                </c:pt>
                <c:pt idx="38">
                  <c:v>0.25722875551943147</c:v>
                </c:pt>
                <c:pt idx="39">
                  <c:v>0.22670877170334047</c:v>
                </c:pt>
                <c:pt idx="40">
                  <c:v>0.25621544831452336</c:v>
                </c:pt>
                <c:pt idx="41">
                  <c:v>0.22237818009190669</c:v>
                </c:pt>
                <c:pt idx="42">
                  <c:v>0.16901891343834907</c:v>
                </c:pt>
              </c:numCache>
            </c:numRef>
          </c:val>
          <c:smooth val="0"/>
          <c:extLst>
            <c:ext xmlns:c16="http://schemas.microsoft.com/office/drawing/2014/chart" uri="{C3380CC4-5D6E-409C-BE32-E72D297353CC}">
              <c16:uniqueId val="{00000000-4879-4CFA-9089-29841E07F80F}"/>
            </c:ext>
          </c:extLst>
        </c:ser>
        <c:dLbls>
          <c:showLegendKey val="0"/>
          <c:showVal val="0"/>
          <c:showCatName val="0"/>
          <c:showSerName val="0"/>
          <c:showPercent val="0"/>
          <c:showBubbleSize val="0"/>
        </c:dLbls>
        <c:smooth val="0"/>
        <c:axId val="783007056"/>
        <c:axId val="783007712"/>
      </c:lineChart>
      <c:dateAx>
        <c:axId val="7830070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007712"/>
        <c:crosses val="autoZero"/>
        <c:auto val="1"/>
        <c:lblOffset val="100"/>
        <c:baseTimeUnit val="months"/>
      </c:dateAx>
      <c:valAx>
        <c:axId val="783007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007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Data'!$B$2:$P$2</c:f>
              <c:numCache>
                <c:formatCode>_(* #,##0_);_(* \(#,##0\);_(* "-"??_);_(@_)</c:formatCode>
                <c:ptCount val="15"/>
                <c:pt idx="0">
                  <c:v>903.29700000000003</c:v>
                </c:pt>
                <c:pt idx="1">
                  <c:v>947.72900000000004</c:v>
                </c:pt>
                <c:pt idx="2">
                  <c:v>1487.2049999999999</c:v>
                </c:pt>
                <c:pt idx="3">
                  <c:v>1383.1759999999999</c:v>
                </c:pt>
                <c:pt idx="4">
                  <c:v>1581.623</c:v>
                </c:pt>
                <c:pt idx="5">
                  <c:v>1931.2170000000001</c:v>
                </c:pt>
                <c:pt idx="6">
                  <c:v>2147.0360000000001</c:v>
                </c:pt>
                <c:pt idx="7">
                  <c:v>2173.3339999999998</c:v>
                </c:pt>
                <c:pt idx="8">
                  <c:v>3407.8069999999998</c:v>
                </c:pt>
                <c:pt idx="9">
                  <c:v>3980.8</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Data'!$B$3:$P$3</c:f>
              <c:numCache>
                <c:formatCode>General</c:formatCode>
                <c:ptCount val="15"/>
                <c:pt idx="10" formatCode="_(* #,##0_);_(* \(#,##0\);_(* &quot;-&quot;??_);_(@_)">
                  <c:v>5692.5439999999999</c:v>
                </c:pt>
                <c:pt idx="11" formatCode="_(* #,##0_);_(* \(#,##0\);_(* &quot;-&quot;??_);_(@_)">
                  <c:v>6091.0220800000006</c:v>
                </c:pt>
                <c:pt idx="12" formatCode="_(* #,##0_);_(* \(#,##0\);_(* &quot;-&quot;??_);_(@_)">
                  <c:v>6517.3936256000006</c:v>
                </c:pt>
                <c:pt idx="13" formatCode="_(* #,##0_);_(* \(#,##0\);_(* &quot;-&quot;??_);_(@_)">
                  <c:v>6973.6111793920008</c:v>
                </c:pt>
                <c:pt idx="14" formatCode="_(* #,##0_);_(* \(#,##0\);_(* &quot;-&quot;??_);_(@_)">
                  <c:v>7461.7639619494412</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Data'!$B$4:$P$4</c:f>
              <c:numCache>
                <c:formatCode>General</c:formatCode>
                <c:ptCount val="15"/>
                <c:pt idx="10" formatCode="_(* #,##0_);_(* \(#,##0\);_(* &quot;-&quot;??_);_(@_)">
                  <c:v>5652.7359999999999</c:v>
                </c:pt>
                <c:pt idx="11" formatCode="_(* #,##0_);_(* \(#,##0\);_(* &quot;-&quot;??_);_(@_)">
                  <c:v>5878.8454400000001</c:v>
                </c:pt>
                <c:pt idx="12" formatCode="_(* #,##0_);_(* \(#,##0\);_(* &quot;-&quot;??_);_(@_)">
                  <c:v>6113.9992576000004</c:v>
                </c:pt>
                <c:pt idx="13" formatCode="_(* #,##0_);_(* \(#,##0\);_(* &quot;-&quot;??_);_(@_)">
                  <c:v>6358.5592279040011</c:v>
                </c:pt>
                <c:pt idx="14" formatCode="_(* #,##0_);_(* \(#,##0\);_(* &quot;-&quot;??_);_(@_)">
                  <c:v>6612.9015970201617</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Data'!$B$5:$P$5</c:f>
              <c:numCache>
                <c:formatCode>0%</c:formatCode>
                <c:ptCount val="15"/>
                <c:pt idx="1">
                  <c:v>4.9188694305416725E-2</c:v>
                </c:pt>
                <c:pt idx="2">
                  <c:v>0.56923023353722413</c:v>
                </c:pt>
                <c:pt idx="3">
                  <c:v>-6.9949334489865178E-2</c:v>
                </c:pt>
                <c:pt idx="4">
                  <c:v>0.14347198042765363</c:v>
                </c:pt>
                <c:pt idx="5">
                  <c:v>0.2210349748328142</c:v>
                </c:pt>
                <c:pt idx="6">
                  <c:v>0.11175284807455599</c:v>
                </c:pt>
                <c:pt idx="7">
                  <c:v>1.2248513765023006E-2</c:v>
                </c:pt>
                <c:pt idx="8">
                  <c:v>0.56800887484390339</c:v>
                </c:pt>
                <c:pt idx="9">
                  <c:v>0.16814127091117559</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Data'!$B$6:$P$6</c:f>
              <c:numCache>
                <c:formatCode>General</c:formatCode>
                <c:ptCount val="15"/>
                <c:pt idx="9" formatCode="0%">
                  <c:v>0.16814127091117559</c:v>
                </c:pt>
                <c:pt idx="10" formatCode="0%">
                  <c:v>0.43</c:v>
                </c:pt>
                <c:pt idx="11" formatCode="0%">
                  <c:v>7.0000000000000007E-2</c:v>
                </c:pt>
                <c:pt idx="12" formatCode="0%">
                  <c:v>7.0000000000000007E-2</c:v>
                </c:pt>
                <c:pt idx="13" formatCode="0%">
                  <c:v>7.0000000000000007E-2</c:v>
                </c:pt>
                <c:pt idx="14" formatCode="0%">
                  <c:v>7.0000000000000007E-2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Data'!$B$7:$P$7</c:f>
              <c:numCache>
                <c:formatCode>General</c:formatCode>
                <c:ptCount val="15"/>
                <c:pt idx="9" formatCode="0%">
                  <c:v>0.16814127091117559</c:v>
                </c:pt>
                <c:pt idx="10" formatCode="0%">
                  <c:v>0.42</c:v>
                </c:pt>
                <c:pt idx="11" formatCode="0%">
                  <c:v>0.04</c:v>
                </c:pt>
                <c:pt idx="12" formatCode="0%">
                  <c:v>0.04</c:v>
                </c:pt>
                <c:pt idx="13" formatCode="0%">
                  <c:v>0.04</c:v>
                </c:pt>
                <c:pt idx="14" formatCode="0%">
                  <c:v>0.04</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solidFill>
            <a:schemeClr val="tx1"/>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Data'!$B$10:$P$10</c:f>
              <c:numCache>
                <c:formatCode>_(* #,##0_);_(* \(#,##0\);_(* "-"??_);_(@_)</c:formatCode>
                <c:ptCount val="15"/>
                <c:pt idx="0">
                  <c:v>212.97540000000001</c:v>
                </c:pt>
                <c:pt idx="1">
                  <c:v>359.90609999999998</c:v>
                </c:pt>
                <c:pt idx="2">
                  <c:v>473.19009999999997</c:v>
                </c:pt>
                <c:pt idx="3">
                  <c:v>321.33683861039583</c:v>
                </c:pt>
                <c:pt idx="4">
                  <c:v>365.44075166709945</c:v>
                </c:pt>
                <c:pt idx="5">
                  <c:v>580.52836316148444</c:v>
                </c:pt>
                <c:pt idx="6">
                  <c:v>619.70473229990876</c:v>
                </c:pt>
                <c:pt idx="7">
                  <c:v>635.25570075141241</c:v>
                </c:pt>
                <c:pt idx="8">
                  <c:v>924.82150404944582</c:v>
                </c:pt>
                <c:pt idx="9">
                  <c:v>1286.1229495697353</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Data'!$B$11:$P$11</c:f>
              <c:numCache>
                <c:formatCode>General</c:formatCode>
                <c:ptCount val="15"/>
                <c:pt idx="10" formatCode="_(* #,##0_);_(* \(#,##0\);_(* &quot;-&quot;??_);_(@_)">
                  <c:v>1593.9123200000001</c:v>
                </c:pt>
                <c:pt idx="11" formatCode="_(* #,##0_);_(* \(#,##0\);_(* &quot;-&quot;??_);_(@_)">
                  <c:v>1827.3066240000001</c:v>
                </c:pt>
                <c:pt idx="12" formatCode="_(* #,##0_);_(* \(#,##0\);_(* &quot;-&quot;??_);_(@_)">
                  <c:v>2020.3920239360002</c:v>
                </c:pt>
                <c:pt idx="13" formatCode="_(* #,##0_);_(* \(#,##0\);_(* &quot;-&quot;??_);_(@_)">
                  <c:v>2161.8194656115202</c:v>
                </c:pt>
                <c:pt idx="14" formatCode="_(* #,##0_);_(* \(#,##0\);_(* &quot;-&quot;??_);_(@_)">
                  <c:v>2313.1468282043265</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Data'!$B$12:$P$12</c:f>
              <c:numCache>
                <c:formatCode>General</c:formatCode>
                <c:ptCount val="15"/>
                <c:pt idx="10" formatCode="_(* #,##0_);_(* \(#,##0\);_(* &quot;-&quot;??_);_(@_)">
                  <c:v>1413.184</c:v>
                </c:pt>
                <c:pt idx="11" formatCode="_(* #,##0_);_(* \(#,##0\);_(* &quot;-&quot;??_);_(@_)">
                  <c:v>1528.4998144000001</c:v>
                </c:pt>
                <c:pt idx="12" formatCode="_(* #,##0_);_(* \(#,##0\);_(* &quot;-&quot;??_);_(@_)">
                  <c:v>1650.7797995520002</c:v>
                </c:pt>
                <c:pt idx="13" formatCode="_(* #,##0_);_(* \(#,##0\);_(* &quot;-&quot;??_);_(@_)">
                  <c:v>1716.8109915340804</c:v>
                </c:pt>
                <c:pt idx="14" formatCode="_(* #,##0_);_(* \(#,##0\);_(* &quot;-&quot;??_);_(@_)">
                  <c:v>1785.4834311954437</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Data'!$B$13:$P$13</c:f>
              <c:numCache>
                <c:formatCode>0%</c:formatCode>
                <c:ptCount val="15"/>
                <c:pt idx="0">
                  <c:v>0.23577560868684386</c:v>
                </c:pt>
                <c:pt idx="1">
                  <c:v>0.37975634384934931</c:v>
                </c:pt>
                <c:pt idx="2">
                  <c:v>0.31817409166859983</c:v>
                </c:pt>
                <c:pt idx="3">
                  <c:v>0.23231811324834717</c:v>
                </c:pt>
                <c:pt idx="4">
                  <c:v>0.23105427252075839</c:v>
                </c:pt>
                <c:pt idx="5">
                  <c:v>0.30060234720463025</c:v>
                </c:pt>
                <c:pt idx="6">
                  <c:v>0.28863266954997902</c:v>
                </c:pt>
                <c:pt idx="7">
                  <c:v>0.29229547816921486</c:v>
                </c:pt>
                <c:pt idx="8">
                  <c:v>0.271383181045595</c:v>
                </c:pt>
                <c:pt idx="9">
                  <c:v>0.32308152873033946</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Data'!$B$14:$P$14</c:f>
              <c:numCache>
                <c:formatCode>General</c:formatCode>
                <c:ptCount val="15"/>
                <c:pt idx="9" formatCode="0%">
                  <c:v>0.32308152873033946</c:v>
                </c:pt>
                <c:pt idx="10" formatCode="0%">
                  <c:v>0.28000000000000003</c:v>
                </c:pt>
                <c:pt idx="11" formatCode="0%">
                  <c:v>0.3</c:v>
                </c:pt>
                <c:pt idx="12" formatCode="0%">
                  <c:v>0.31</c:v>
                </c:pt>
                <c:pt idx="13" formatCode="0%">
                  <c:v>0.31</c:v>
                </c:pt>
                <c:pt idx="14" formatCode="0%">
                  <c:v>0.31</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Data'!$B$15:$P$15</c:f>
              <c:numCache>
                <c:formatCode>General</c:formatCode>
                <c:ptCount val="15"/>
                <c:pt idx="9" formatCode="0%">
                  <c:v>0.32308152873033946</c:v>
                </c:pt>
                <c:pt idx="10" formatCode="0%">
                  <c:v>0.25</c:v>
                </c:pt>
                <c:pt idx="11" formatCode="0%">
                  <c:v>0.26</c:v>
                </c:pt>
                <c:pt idx="12" formatCode="0%">
                  <c:v>0.27</c:v>
                </c:pt>
                <c:pt idx="13" formatCode="0%">
                  <c:v>0.27</c:v>
                </c:pt>
                <c:pt idx="14" formatCode="0%">
                  <c:v>0.27</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solidFill>
            <a:schemeClr val="tx1"/>
          </a:solidFill>
          <a:latin typeface="Arial Narrow" panose="020B060602020203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r>
              <a:rPr lang="en-US" sz="2400"/>
              <a:t>Expansionary Cash Flow versus Owners' Cash Profits</a:t>
            </a:r>
          </a:p>
        </c:rich>
      </c:tx>
      <c:overlay val="0"/>
      <c:spPr>
        <a:noFill/>
        <a:ln>
          <a:noFill/>
        </a:ln>
        <a:effectLst/>
      </c:spPr>
      <c:txPr>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Data'!$B$18:$K$18</c:f>
              <c:numCache>
                <c:formatCode>_(* #,##0_);_(* \(#,##0\);_(* "-"??_);_(@_)</c:formatCode>
                <c:ptCount val="10"/>
                <c:pt idx="0">
                  <c:v>212.97540000000001</c:v>
                </c:pt>
                <c:pt idx="1">
                  <c:v>359.90609999999998</c:v>
                </c:pt>
                <c:pt idx="2">
                  <c:v>473.19009999999997</c:v>
                </c:pt>
                <c:pt idx="3">
                  <c:v>321.33683861039583</c:v>
                </c:pt>
                <c:pt idx="4">
                  <c:v>365.44075166709945</c:v>
                </c:pt>
                <c:pt idx="5">
                  <c:v>580.52836316148444</c:v>
                </c:pt>
                <c:pt idx="6">
                  <c:v>619.70473229990876</c:v>
                </c:pt>
                <c:pt idx="7">
                  <c:v>635.25570075141241</c:v>
                </c:pt>
                <c:pt idx="8">
                  <c:v>924.82150404944582</c:v>
                </c:pt>
                <c:pt idx="9">
                  <c:v>1286.1229495697353</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Data'!$B$19:$K$19</c:f>
              <c:numCache>
                <c:formatCode>_(* #,##0_);_(* \(#,##0\);_(* "-"??_);_(@_)</c:formatCode>
                <c:ptCount val="10"/>
                <c:pt idx="0">
                  <c:v>51.894942801833338</c:v>
                </c:pt>
                <c:pt idx="1">
                  <c:v>43.16962329719464</c:v>
                </c:pt>
                <c:pt idx="2">
                  <c:v>130.00636608594854</c:v>
                </c:pt>
                <c:pt idx="3">
                  <c:v>73.330238132187702</c:v>
                </c:pt>
                <c:pt idx="4">
                  <c:v>796.33517270873244</c:v>
                </c:pt>
                <c:pt idx="5">
                  <c:v>100.66281222815678</c:v>
                </c:pt>
                <c:pt idx="6">
                  <c:v>777.43960919632525</c:v>
                </c:pt>
                <c:pt idx="7">
                  <c:v>848.72048570140737</c:v>
                </c:pt>
                <c:pt idx="8">
                  <c:v>3876.0760750677259</c:v>
                </c:pt>
                <c:pt idx="9">
                  <c:v>617.65576363128207</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r>
              <a:rPr lang="en-US"/>
              <a:t>Expansionary Cash Flow Breakdown</a:t>
            </a:r>
          </a:p>
        </c:rich>
      </c:tx>
      <c:overlay val="0"/>
      <c:spPr>
        <a:noFill/>
        <a:ln>
          <a:noFill/>
        </a:ln>
        <a:effectLst/>
      </c:spPr>
      <c:txPr>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Data'!$B$22:$K$22</c:f>
              <c:numCache>
                <c:formatCode>_(* #,##0_);_(* \(#,##0\);_(* "-"??_);_(@_)</c:formatCode>
                <c:ptCount val="10"/>
                <c:pt idx="0">
                  <c:v>6.6923999999999921</c:v>
                </c:pt>
                <c:pt idx="1">
                  <c:v>-44.536900000000045</c:v>
                </c:pt>
                <c:pt idx="2">
                  <c:v>14.983100000000022</c:v>
                </c:pt>
                <c:pt idx="3">
                  <c:v>-28.271161389604167</c:v>
                </c:pt>
                <c:pt idx="4">
                  <c:v>-43.106248332900535</c:v>
                </c:pt>
                <c:pt idx="5">
                  <c:v>17.036363161484431</c:v>
                </c:pt>
                <c:pt idx="6">
                  <c:v>47.994732299908748</c:v>
                </c:pt>
                <c:pt idx="7">
                  <c:v>-11.33229924858756</c:v>
                </c:pt>
                <c:pt idx="8">
                  <c:v>-59.320495950554147</c:v>
                </c:pt>
                <c:pt idx="9">
                  <c:v>73.322949569735385</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Data'!$B$24:$K$24</c:f>
              <c:numCache>
                <c:formatCode>_(* #,##0_);_(* \(#,##0\);_(* "-"??_);_(@_)</c:formatCode>
                <c:ptCount val="10"/>
                <c:pt idx="0">
                  <c:v>0</c:v>
                </c:pt>
                <c:pt idx="1">
                  <c:v>58.402000000000001</c:v>
                </c:pt>
                <c:pt idx="2">
                  <c:v>112.70699999999999</c:v>
                </c:pt>
                <c:pt idx="3">
                  <c:v>44.397999999999996</c:v>
                </c:pt>
                <c:pt idx="4">
                  <c:v>757.03200000000004</c:v>
                </c:pt>
                <c:pt idx="5">
                  <c:v>20.256</c:v>
                </c:pt>
                <c:pt idx="6">
                  <c:v>659.92899999999997</c:v>
                </c:pt>
                <c:pt idx="7">
                  <c:v>361.97899999999998</c:v>
                </c:pt>
                <c:pt idx="8">
                  <c:v>2747.5160000000001</c:v>
                </c:pt>
                <c:pt idx="9">
                  <c:v>0</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Data'!$B$27:$K$27</c:f>
              <c:numCache>
                <c:formatCode>_(* #,##0_);_(* \(#,##0\);_(* "-"??_);_(@_)</c:formatCode>
                <c:ptCount val="10"/>
                <c:pt idx="0">
                  <c:v>45.36854280183335</c:v>
                </c:pt>
                <c:pt idx="1">
                  <c:v>29.404523297194686</c:v>
                </c:pt>
                <c:pt idx="2">
                  <c:v>33.984266085948519</c:v>
                </c:pt>
                <c:pt idx="3">
                  <c:v>57.614399521791867</c:v>
                </c:pt>
                <c:pt idx="4">
                  <c:v>82.715421041632851</c:v>
                </c:pt>
                <c:pt idx="5">
                  <c:v>79.151449066672342</c:v>
                </c:pt>
                <c:pt idx="6">
                  <c:v>68.911876896416558</c:v>
                </c:pt>
                <c:pt idx="7">
                  <c:v>511.69778494999497</c:v>
                </c:pt>
                <c:pt idx="8">
                  <c:v>1210.0975710182802</c:v>
                </c:pt>
                <c:pt idx="9">
                  <c:v>553.83281406154663</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Data'!$B$23:$K$23</c:f>
              <c:numCache>
                <c:formatCode>_(* #,##0_);_(* \(#,##0\);_(* "-"??_);_(@_)</c:formatCode>
                <c:ptCount val="10"/>
                <c:pt idx="0">
                  <c:v>-0.16600000000000001</c:v>
                </c:pt>
                <c:pt idx="1">
                  <c:v>-0.1</c:v>
                </c:pt>
                <c:pt idx="2">
                  <c:v>-31.667999999999999</c:v>
                </c:pt>
                <c:pt idx="3">
                  <c:v>-0.41099999999999998</c:v>
                </c:pt>
                <c:pt idx="4">
                  <c:v>-0.30599999999999999</c:v>
                </c:pt>
                <c:pt idx="5">
                  <c:v>-16.234999999999999</c:v>
                </c:pt>
                <c:pt idx="6">
                  <c:v>0</c:v>
                </c:pt>
                <c:pt idx="7">
                  <c:v>-14.3</c:v>
                </c:pt>
                <c:pt idx="8">
                  <c:v>-23</c:v>
                </c:pt>
                <c:pt idx="9">
                  <c:v>-10.3</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Data'!$B$26:$K$26</c:f>
              <c:numCache>
                <c:formatCode>_(* #,##0_);_(* \(#,##0\);_(* "-"??_);_(@_)</c:formatCode>
                <c:ptCount val="10"/>
                <c:pt idx="0">
                  <c:v>0</c:v>
                </c:pt>
                <c:pt idx="1">
                  <c:v>0</c:v>
                </c:pt>
                <c:pt idx="2">
                  <c:v>0</c:v>
                </c:pt>
                <c:pt idx="3">
                  <c:v>0</c:v>
                </c:pt>
                <c:pt idx="4">
                  <c:v>0</c:v>
                </c:pt>
                <c:pt idx="5">
                  <c:v>-0.45400000000000001</c:v>
                </c:pt>
                <c:pt idx="6">
                  <c:v>-0.60399999999999998</c:v>
                </c:pt>
                <c:pt idx="7">
                  <c:v>-0.67600000000000005</c:v>
                </c:pt>
                <c:pt idx="8">
                  <c:v>-0.78300000000000003</c:v>
                </c:pt>
                <c:pt idx="9">
                  <c:v>-0.8</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2000">
          <a:solidFill>
            <a:sysClr val="windowText" lastClr="000000"/>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r>
              <a:rPr lang="en-US"/>
              <a:t>Free Cash Flow History &amp; Scenarios</a:t>
            </a:r>
          </a:p>
        </c:rich>
      </c:tx>
      <c:overlay val="0"/>
      <c:spPr>
        <a:noFill/>
        <a:ln>
          <a:noFill/>
        </a:ln>
        <a:effectLst/>
      </c:spPr>
      <c:txPr>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Ref>
              <c:f>'Graphing Data'!$B$1:$P$1</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Data'!$B$30:$P$30</c:f>
              <c:numCache>
                <c:formatCode>_(* #,##0_);_(* \(#,##0\);_(* "-"??_);_(@_)</c:formatCode>
                <c:ptCount val="15"/>
                <c:pt idx="0">
                  <c:v>161.08045719816667</c:v>
                </c:pt>
                <c:pt idx="1">
                  <c:v>316.73647670280536</c:v>
                </c:pt>
                <c:pt idx="2">
                  <c:v>343.18373391405146</c:v>
                </c:pt>
                <c:pt idx="3">
                  <c:v>248.00660047820813</c:v>
                </c:pt>
                <c:pt idx="4">
                  <c:v>-430.894421041633</c:v>
                </c:pt>
                <c:pt idx="5">
                  <c:v>479.86555093332765</c:v>
                </c:pt>
                <c:pt idx="6">
                  <c:v>-157.73487689641649</c:v>
                </c:pt>
                <c:pt idx="7">
                  <c:v>-213.46478494999496</c:v>
                </c:pt>
                <c:pt idx="8">
                  <c:v>-2951.2545710182803</c:v>
                </c:pt>
                <c:pt idx="9">
                  <c:v>668.46718593845321</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Ref>
              <c:f>'Graphing Data'!$B$1:$P$1</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Data'!$B$32:$P$32</c:f>
              <c:numCache>
                <c:formatCode>General</c:formatCode>
                <c:ptCount val="15"/>
                <c:pt idx="10" formatCode="_(* #,##0_);_(* \(#,##0\);_(* &quot;-&quot;??_);_(@_)">
                  <c:v>-7086.8159999999998</c:v>
                </c:pt>
                <c:pt idx="11" formatCode="_(* #,##0_);_(* \(#,##0\);_(* &quot;-&quot;??_);_(@_)">
                  <c:v>1353.4998144000001</c:v>
                </c:pt>
                <c:pt idx="12" formatCode="_(* #,##0_);_(* \(#,##0\);_(* &quot;-&quot;??_);_(@_)">
                  <c:v>1475.7797995520002</c:v>
                </c:pt>
                <c:pt idx="13" formatCode="_(* #,##0_);_(* \(#,##0\);_(* &quot;-&quot;??_);_(@_)">
                  <c:v>1541.8109915340804</c:v>
                </c:pt>
                <c:pt idx="14" formatCode="_(* #,##0_);_(* \(#,##0\);_(* &quot;-&quot;??_);_(@_)">
                  <c:v>1610.4834311954437</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Ref>
              <c:f>'Graphing Data'!$B$1:$P$1</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Data'!$B$31:$P$31</c:f>
              <c:numCache>
                <c:formatCode>General</c:formatCode>
                <c:ptCount val="15"/>
                <c:pt idx="10" formatCode="_(* #,##0_);_(* \(#,##0\);_(* &quot;-&quot;??_);_(@_)">
                  <c:v>-6906.0876799999996</c:v>
                </c:pt>
                <c:pt idx="11" formatCode="_(* #,##0_);_(* \(#,##0\);_(* &quot;-&quot;??_);_(@_)">
                  <c:v>1652.3066240000001</c:v>
                </c:pt>
                <c:pt idx="12" formatCode="_(* #,##0_);_(* \(#,##0\);_(* &quot;-&quot;??_);_(@_)">
                  <c:v>1845.3920239360002</c:v>
                </c:pt>
                <c:pt idx="13" formatCode="_(* #,##0_);_(* \(#,##0\);_(* &quot;-&quot;??_);_(@_)">
                  <c:v>1986.8194656115202</c:v>
                </c:pt>
                <c:pt idx="14" formatCode="_(* #,##0_);_(* \(#,##0\);_(* &quot;-&quot;??_);_(@_)">
                  <c:v>2138.1468282043265</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Data'!$B$33:$P$33</c:f>
              <c:numCache>
                <c:formatCode>0%</c:formatCode>
                <c:ptCount val="15"/>
                <c:pt idx="0">
                  <c:v>0.17832502177928927</c:v>
                </c:pt>
                <c:pt idx="1">
                  <c:v>0.33420574521071461</c:v>
                </c:pt>
                <c:pt idx="2">
                  <c:v>0.2307575175675522</c:v>
                </c:pt>
                <c:pt idx="3">
                  <c:v>0.17930227279696015</c:v>
                </c:pt>
                <c:pt idx="4">
                  <c:v>-0.27243813541003953</c:v>
                </c:pt>
                <c:pt idx="5">
                  <c:v>0.24847831752378299</c:v>
                </c:pt>
                <c:pt idx="6">
                  <c:v>-7.3466340059699278E-2</c:v>
                </c:pt>
                <c:pt idx="7">
                  <c:v>-9.8219962946328079E-2</c:v>
                </c:pt>
                <c:pt idx="8">
                  <c:v>-0.8660274983349352</c:v>
                </c:pt>
                <c:pt idx="9">
                  <c:v>0.16792282604965161</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Data'!$B$35:$P$35</c:f>
              <c:numCache>
                <c:formatCode>General</c:formatCode>
                <c:ptCount val="15"/>
                <c:pt idx="9" formatCode="0%">
                  <c:v>0.16792282604965161</c:v>
                </c:pt>
                <c:pt idx="10" formatCode="0.0%">
                  <c:v>-1.2536966170010415</c:v>
                </c:pt>
                <c:pt idx="11" formatCode="0.0%">
                  <c:v>0.2302322502290518</c:v>
                </c:pt>
                <c:pt idx="12" formatCode="0.0%">
                  <c:v>0.24137716368178058</c:v>
                </c:pt>
                <c:pt idx="13" formatCode="0.0%">
                  <c:v>0.24247804200171208</c:v>
                </c:pt>
                <c:pt idx="14" formatCode="0.0%">
                  <c:v>0.24353657884780008</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39903</c:v>
                </c:pt>
                <c:pt idx="1">
                  <c:v>40268</c:v>
                </c:pt>
                <c:pt idx="2">
                  <c:v>40633</c:v>
                </c:pt>
                <c:pt idx="3">
                  <c:v>40999</c:v>
                </c:pt>
                <c:pt idx="4">
                  <c:v>41364</c:v>
                </c:pt>
                <c:pt idx="5">
                  <c:v>41729</c:v>
                </c:pt>
                <c:pt idx="6">
                  <c:v>42094</c:v>
                </c:pt>
                <c:pt idx="7">
                  <c:v>42460</c:v>
                </c:pt>
                <c:pt idx="8">
                  <c:v>42825</c:v>
                </c:pt>
                <c:pt idx="9">
                  <c:v>43190</c:v>
                </c:pt>
                <c:pt idx="10">
                  <c:v>43555</c:v>
                </c:pt>
                <c:pt idx="11">
                  <c:v>43920</c:v>
                </c:pt>
                <c:pt idx="12">
                  <c:v>44285</c:v>
                </c:pt>
                <c:pt idx="13">
                  <c:v>44650</c:v>
                </c:pt>
                <c:pt idx="14">
                  <c:v>45015</c:v>
                </c:pt>
              </c:numCache>
            </c:numRef>
          </c:cat>
          <c:val>
            <c:numRef>
              <c:f>'Graphing Data'!$B$34:$P$34</c:f>
              <c:numCache>
                <c:formatCode>General</c:formatCode>
                <c:ptCount val="15"/>
                <c:pt idx="9" formatCode="0%">
                  <c:v>0.16792282604965161</c:v>
                </c:pt>
                <c:pt idx="10" formatCode="0.0%">
                  <c:v>-1.2131812560429924</c:v>
                </c:pt>
                <c:pt idx="11" formatCode="0.0%">
                  <c:v>0.27126918968581376</c:v>
                </c:pt>
                <c:pt idx="12" formatCode="0.0%">
                  <c:v>0.2831487754073026</c:v>
                </c:pt>
                <c:pt idx="13" formatCode="0.0%">
                  <c:v>0.2849053975769183</c:v>
                </c:pt>
                <c:pt idx="14" formatCode="0.0%">
                  <c:v>0.28654710053917598</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solidFill>
            <a:sysClr val="windowText" lastClr="000000"/>
          </a:solidFill>
          <a:latin typeface="Arial Narrow" panose="020B060602020203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r>
              <a:rPr lang="en-US"/>
              <a:t>Historical Investment Efficacy</a:t>
            </a:r>
          </a:p>
        </c:rich>
      </c:tx>
      <c:overlay val="0"/>
      <c:spPr>
        <a:noFill/>
        <a:ln>
          <a:noFill/>
        </a:ln>
        <a:effectLst/>
      </c:spPr>
      <c:txPr>
        <a:bodyPr rot="0" spcFirstLastPara="1" vertOverflow="ellipsis" vert="horz" wrap="square" anchor="ctr" anchorCtr="1"/>
        <a:lstStyle/>
        <a:p>
          <a:pPr>
            <a:defRPr sz="2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MCHP Actual OCP ($, LHS)</c:v>
                </c:pt>
              </c:strCache>
            </c:strRef>
          </c:tx>
          <c:spPr>
            <a:solidFill>
              <a:srgbClr val="0046AD"/>
            </a:solidFill>
            <a:ln>
              <a:noFill/>
            </a:ln>
            <a:effectLst/>
          </c:spPr>
          <c:invertIfNegative val="0"/>
          <c:cat>
            <c:numRef>
              <c:f>'Graphing Data'!$B$1:$K$1</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Data'!$B$38:$K$38</c:f>
              <c:numCache>
                <c:formatCode>_(* #,##0_);_(* \(#,##0\);_(* "-"??_);_(@_)</c:formatCode>
                <c:ptCount val="10"/>
                <c:pt idx="0">
                  <c:v>212.97540000000001</c:v>
                </c:pt>
                <c:pt idx="1">
                  <c:v>359.90609999999998</c:v>
                </c:pt>
                <c:pt idx="2">
                  <c:v>473.19009999999997</c:v>
                </c:pt>
                <c:pt idx="3">
                  <c:v>321.33683861039583</c:v>
                </c:pt>
                <c:pt idx="4">
                  <c:v>365.44075166709945</c:v>
                </c:pt>
                <c:pt idx="5">
                  <c:v>580.52836316148444</c:v>
                </c:pt>
                <c:pt idx="6">
                  <c:v>619.70473229990876</c:v>
                </c:pt>
                <c:pt idx="7">
                  <c:v>635.25570075141241</c:v>
                </c:pt>
                <c:pt idx="8">
                  <c:v>924.82150404944582</c:v>
                </c:pt>
                <c:pt idx="9">
                  <c:v>1286.1229495697353</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MCHP OCP if GDP-Growth ($, LHS)</c:v>
                </c:pt>
              </c:strCache>
            </c:strRef>
          </c:tx>
          <c:spPr>
            <a:solidFill>
              <a:srgbClr val="0046AD">
                <a:alpha val="50000"/>
              </a:srgbClr>
            </a:solidFill>
            <a:ln>
              <a:noFill/>
            </a:ln>
            <a:effectLst/>
          </c:spPr>
          <c:invertIfNegative val="0"/>
          <c:cat>
            <c:numRef>
              <c:f>'Graphing Data'!$B$1:$K$1</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Data'!$B$39:$K$39</c:f>
              <c:numCache>
                <c:formatCode>_(* #,##0_);_(* \(#,##0\);_(* "-"??_);_(@_)</c:formatCode>
                <c:ptCount val="10"/>
                <c:pt idx="0">
                  <c:v>212.97540000000001</c:v>
                </c:pt>
                <c:pt idx="1">
                  <c:v>217.37589561523649</c:v>
                </c:pt>
                <c:pt idx="2">
                  <c:v>225.62756521944672</c:v>
                </c:pt>
                <c:pt idx="3">
                  <c:v>236.26012208788993</c:v>
                </c:pt>
                <c:pt idx="4">
                  <c:v>244.34299744575532</c:v>
                </c:pt>
                <c:pt idx="5">
                  <c:v>252.36220479842044</c:v>
                </c:pt>
                <c:pt idx="6">
                  <c:v>261.55704927036481</c:v>
                </c:pt>
                <c:pt idx="7">
                  <c:v>271.33211656086326</c:v>
                </c:pt>
                <c:pt idx="8">
                  <c:v>282.17815373139422</c:v>
                </c:pt>
                <c:pt idx="9">
                  <c:v>292.48936485173016</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MCHP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Data'!$B$40:$K$40</c:f>
              <c:numCache>
                <c:formatCode>0%</c:formatCode>
                <c:ptCount val="10"/>
                <c:pt idx="1">
                  <c:v>0.66923318084982353</c:v>
                </c:pt>
                <c:pt idx="2">
                  <c:v>0.27679950682896326</c:v>
                </c:pt>
                <c:pt idx="3">
                  <c:v>-0.36803822976918421</c:v>
                </c:pt>
                <c:pt idx="4">
                  <c:v>0.10303958101990207</c:v>
                </c:pt>
                <c:pt idx="5">
                  <c:v>0.55575093708880918</c:v>
                </c:pt>
                <c:pt idx="6">
                  <c:v>3.104887894850461E-2</c:v>
                </c:pt>
                <c:pt idx="7">
                  <c:v>-1.2278443211670265E-2</c:v>
                </c:pt>
                <c:pt idx="8">
                  <c:v>0.41585229873487983</c:v>
                </c:pt>
                <c:pt idx="9">
                  <c:v>0.35413005133586983</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MCHP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39903</c:v>
                </c:pt>
                <c:pt idx="1">
                  <c:v>40268</c:v>
                </c:pt>
                <c:pt idx="2">
                  <c:v>40633</c:v>
                </c:pt>
                <c:pt idx="3">
                  <c:v>40999</c:v>
                </c:pt>
                <c:pt idx="4">
                  <c:v>41364</c:v>
                </c:pt>
                <c:pt idx="5">
                  <c:v>41729</c:v>
                </c:pt>
                <c:pt idx="6">
                  <c:v>42094</c:v>
                </c:pt>
                <c:pt idx="7">
                  <c:v>42460</c:v>
                </c:pt>
                <c:pt idx="8">
                  <c:v>42825</c:v>
                </c:pt>
                <c:pt idx="9">
                  <c:v>43190</c:v>
                </c:pt>
              </c:numCache>
            </c:numRef>
          </c:cat>
          <c:val>
            <c:numRef>
              <c:f>'Graphing Data'!$B$41:$K$41</c:f>
              <c:numCache>
                <c:formatCode>0%</c:formatCode>
                <c:ptCount val="10"/>
                <c:pt idx="3">
                  <c:v>6.8092783802422563E-2</c:v>
                </c:pt>
                <c:pt idx="4">
                  <c:v>-3.4906237401259865E-2</c:v>
                </c:pt>
                <c:pt idx="5">
                  <c:v>5.4680170662474881E-2</c:v>
                </c:pt>
                <c:pt idx="6">
                  <c:v>0.20092164679611901</c:v>
                </c:pt>
                <c:pt idx="7">
                  <c:v>0.13673813341981722</c:v>
                </c:pt>
                <c:pt idx="8">
                  <c:v>0.14960578265213464</c:v>
                </c:pt>
                <c:pt idx="9">
                  <c:v>0.26777638476096843</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solidFill>
            <a:sysClr val="windowText" lastClr="000000"/>
          </a:solidFill>
          <a:latin typeface="Arial Narrow" panose="020B060602020203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E0EFE86-48A3-45AF-AE85-41F9CBE71E5D}">
  <sheetPr/>
  <sheetViews>
    <sheetView zoomScale="61" workbookViewId="0" zoomToFit="1"/>
  </sheetViews>
  <pageMargins left="0.7" right="0.7" top="0.75" bottom="0.75" header="0.3" footer="0.3"/>
  <pageSetup paperSize="5" orientation="landscape" horizontalDpi="0" verticalDpi="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4"/>
  <sheetViews>
    <sheetView zoomScale="61"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5"/>
  <sheetViews>
    <sheetView zoomScale="61"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6"/>
  <sheetViews>
    <sheetView zoomScale="61"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7"/>
  <sheetViews>
    <sheetView zoomScale="61"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8"/>
  <sheetViews>
    <sheetView zoomScale="61"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9"/>
  <sheetViews>
    <sheetView zoomScale="61" workbookViewId="0" zoomToFit="1"/>
  </sheetViews>
  <pageMargins left="0.7" right="0.7" top="0.75" bottom="0.75" header="0.3" footer="0.3"/>
  <pageSetup paperSize="5"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10"/>
  <sheetViews>
    <sheetView zoomScale="61" workbookViewId="0" zoomToFit="1"/>
  </sheetViews>
  <pageMargins left="0.7" right="0.7" top="0.75" bottom="0.75" header="0.3" footer="0.3"/>
  <pageSetup paperSize="5"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640555</xdr:colOff>
      <xdr:row>0</xdr:row>
      <xdr:rowOff>78581</xdr:rowOff>
    </xdr:from>
    <xdr:to>
      <xdr:col>11</xdr:col>
      <xdr:colOff>30955</xdr:colOff>
      <xdr:row>25</xdr:row>
      <xdr:rowOff>126206</xdr:rowOff>
    </xdr:to>
    <xdr:graphicFrame macro="">
      <xdr:nvGraphicFramePr>
        <xdr:cNvPr id="2" name="Chart 1">
          <a:extLst>
            <a:ext uri="{FF2B5EF4-FFF2-40B4-BE49-F238E27FC236}">
              <a16:creationId xmlns:a16="http://schemas.microsoft.com/office/drawing/2014/main" id="{EA85A224-8D86-414E-B52D-B854B2FF33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22797541" cy="12554262"/>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22797541" cy="1255426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22797541" cy="12554262"/>
    <xdr:graphicFrame macro="">
      <xdr:nvGraphicFramePr>
        <xdr:cNvPr id="2" name="Chart 1">
          <a:extLst>
            <a:ext uri="{FF2B5EF4-FFF2-40B4-BE49-F238E27FC236}">
              <a16:creationId xmlns:a16="http://schemas.microsoft.com/office/drawing/2014/main" id="{C1F8D703-BFA0-4EFB-A70E-0C3EE9F8D2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5</xdr:col>
      <xdr:colOff>0</xdr:colOff>
      <xdr:row>59</xdr:row>
      <xdr:rowOff>180974</xdr:rowOff>
    </xdr:from>
    <xdr:to>
      <xdr:col>14</xdr:col>
      <xdr:colOff>100012</xdr:colOff>
      <xdr:row>76</xdr:row>
      <xdr:rowOff>66674</xdr:rowOff>
    </xdr:to>
    <xdr:graphicFrame macro="">
      <xdr:nvGraphicFramePr>
        <xdr:cNvPr id="2" name="Chart 1">
          <a:extLst>
            <a:ext uri="{FF2B5EF4-FFF2-40B4-BE49-F238E27FC236}">
              <a16:creationId xmlns:a16="http://schemas.microsoft.com/office/drawing/2014/main" id="{65A3B93C-BD36-4CD8-93F1-D30666688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22797541" cy="12554262"/>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22797541" cy="125542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22797541" cy="125542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0.13493</cdr:x>
      <cdr:y>0.07214</cdr:y>
    </cdr:from>
    <cdr:to>
      <cdr:x>0.35193</cdr:x>
      <cdr:y>0.17702</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3076107" y="905656"/>
          <a:ext cx="4947032" cy="13166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400">
              <a:latin typeface="Arial Narrow" panose="020B0606020202030204" pitchFamily="34" charset="0"/>
            </a:rPr>
            <a:t>Owners' Cash</a:t>
          </a:r>
          <a:r>
            <a:rPr lang="en-US" sz="2400" baseline="0">
              <a:latin typeface="Arial Narrow" panose="020B0606020202030204" pitchFamily="34" charset="0"/>
            </a:rPr>
            <a:t> Profits</a:t>
          </a:r>
        </a:p>
        <a:p xmlns:a="http://schemas.openxmlformats.org/drawingml/2006/main">
          <a:r>
            <a:rPr lang="en-US" sz="2400" baseline="0">
              <a:latin typeface="Arial Narrow" panose="020B0606020202030204" pitchFamily="34" charset="0"/>
            </a:rPr>
            <a:t>Expansionary Cash Flow</a:t>
          </a:r>
        </a:p>
      </cdr:txBody>
    </cdr:sp>
  </cdr:relSizeAnchor>
  <cdr:relSizeAnchor xmlns:cdr="http://schemas.openxmlformats.org/drawingml/2006/chartDrawing">
    <cdr:from>
      <cdr:x>0.26373</cdr:x>
      <cdr:y>0.07291</cdr:y>
    </cdr:from>
    <cdr:to>
      <cdr:x>0.34964</cdr:x>
      <cdr:y>0.09657</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6017887" y="917091"/>
          <a:ext cx="1960292" cy="297610"/>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0.26319</cdr:x>
      <cdr:y>0.11593</cdr:y>
    </cdr:from>
    <cdr:to>
      <cdr:x>0.3491</cdr:x>
      <cdr:y>0.13151</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6005565" y="1458223"/>
          <a:ext cx="1960292" cy="195974"/>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absoluteAnchor>
    <xdr:pos x="0" y="0"/>
    <xdr:ext cx="22797541" cy="125542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22797541" cy="125542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6"/>
  <sheetViews>
    <sheetView showGridLines="0" tabSelected="1" zoomScaleNormal="100" workbookViewId="0">
      <selection activeCell="A2" sqref="A2"/>
    </sheetView>
  </sheetViews>
  <sheetFormatPr defaultRowHeight="14.25"/>
  <cols>
    <col min="1" max="1" width="38.73046875" bestFit="1" customWidth="1"/>
    <col min="2" max="7" width="11.73046875" customWidth="1"/>
    <col min="8" max="9" width="10.59765625" bestFit="1" customWidth="1"/>
    <col min="10" max="10" width="11.3984375" customWidth="1"/>
    <col min="11" max="11" width="10.59765625" bestFit="1" customWidth="1"/>
    <col min="12" max="13" width="9.59765625" bestFit="1" customWidth="1"/>
    <col min="14" max="14" width="10.59765625" bestFit="1" customWidth="1"/>
    <col min="15" max="15" width="11.59765625" bestFit="1" customWidth="1"/>
  </cols>
  <sheetData>
    <row r="1" spans="1:13" ht="14.65" thickBot="1">
      <c r="A1" s="151" t="s">
        <v>61</v>
      </c>
      <c r="B1" s="151"/>
      <c r="C1" s="151"/>
      <c r="D1" s="151"/>
      <c r="E1" s="151"/>
      <c r="F1" s="151"/>
      <c r="G1" s="151"/>
      <c r="I1" s="170" t="s">
        <v>51</v>
      </c>
      <c r="J1" s="171"/>
      <c r="K1" s="90" t="s">
        <v>58</v>
      </c>
      <c r="L1" s="62" t="s">
        <v>108</v>
      </c>
    </row>
    <row r="2" spans="1:13">
      <c r="A2" s="50" t="s">
        <v>193</v>
      </c>
      <c r="B2" s="43" t="s">
        <v>194</v>
      </c>
      <c r="C2" s="97" t="str">
        <f>A2&amp;" ("&amp;ticker&amp;")"</f>
        <v>Microchip Technology (MCHP)</v>
      </c>
      <c r="E2" s="3" t="s">
        <v>57</v>
      </c>
      <c r="F2" s="3"/>
      <c r="G2" s="49">
        <v>75</v>
      </c>
      <c r="I2" s="166" t="str">
        <f>(ROUND(AVERAGE(C9:G9)*100,0)&amp;"% | "&amp;ROUND(AVERAGE(C11:G11)*100,0)&amp;"% | "&amp;ROUND(C19*100,0)&amp;"%")</f>
        <v>12% | 26% | 5%</v>
      </c>
      <c r="J2" s="167"/>
      <c r="K2" s="91">
        <f ca="1">TRUNC(Scenario1)+B14/G4</f>
        <v>81</v>
      </c>
      <c r="L2" s="93" t="s">
        <v>53</v>
      </c>
      <c r="M2" s="44"/>
    </row>
    <row r="3" spans="1:13">
      <c r="A3" t="s">
        <v>0</v>
      </c>
      <c r="B3" s="13">
        <v>43190</v>
      </c>
      <c r="E3" t="s">
        <v>60</v>
      </c>
      <c r="G3" s="30">
        <f>'Company Analysis'!K3</f>
        <v>3980.8</v>
      </c>
      <c r="I3" s="166" t="str">
        <f>(ROUND(AVERAGE(C9:G9)*100,0)&amp;"% | "&amp;ROUND(AVERAGE(C11:G11)*100,0)&amp;"% | "&amp;ROUND(C18*100,0)&amp;"%")</f>
        <v>12% | 26% | 10%</v>
      </c>
      <c r="J3" s="167"/>
      <c r="K3" s="91">
        <f ca="1">TRUNC(Scenario2)+B14/G4</f>
        <v>104</v>
      </c>
      <c r="L3" s="93" t="s">
        <v>53</v>
      </c>
      <c r="M3" s="45"/>
    </row>
    <row r="4" spans="1:13" ht="14.65" thickBot="1">
      <c r="A4" s="67" t="s">
        <v>1</v>
      </c>
      <c r="B4" s="51">
        <v>0.1</v>
      </c>
      <c r="C4" s="12"/>
      <c r="D4" s="12"/>
      <c r="E4" s="12" t="s">
        <v>6</v>
      </c>
      <c r="F4" s="12"/>
      <c r="G4" s="52">
        <v>236.50966399999999</v>
      </c>
      <c r="I4" s="166" t="str">
        <f>(ROUND(AVERAGE(C9:G9)*100,0)&amp;"% | "&amp;ROUND(AVERAGE(C10:G10)*100,0)&amp;"% | "&amp;ROUND(C19*100,0)&amp;"%")</f>
        <v>12% | 30% | 5%</v>
      </c>
      <c r="J4" s="167"/>
      <c r="K4" s="91">
        <f ca="1">TRUNC(Scenario3)+B14/G4</f>
        <v>100</v>
      </c>
      <c r="L4" s="94" t="s">
        <v>53</v>
      </c>
      <c r="M4" s="46"/>
    </row>
    <row r="5" spans="1:13">
      <c r="B5" s="2"/>
      <c r="I5" s="166" t="str">
        <f>(ROUND(AVERAGE(C9:G9)*100,0)&amp;"% | "&amp;ROUND(AVERAGE(C10:G10)*100,0)&amp;"% | "&amp;ROUND(C18*100,0)&amp;"%")</f>
        <v>12% | 30% | 10%</v>
      </c>
      <c r="J5" s="167"/>
      <c r="K5" s="91">
        <f ca="1">TRUNC(Scenario4)+B14/G4</f>
        <v>127</v>
      </c>
      <c r="L5" s="94" t="s">
        <v>53</v>
      </c>
      <c r="M5" s="46"/>
    </row>
    <row r="6" spans="1:13" s="9" customFormat="1" ht="14.65" thickBot="1">
      <c r="A6" s="151" t="s">
        <v>96</v>
      </c>
      <c r="B6" s="151"/>
      <c r="C6" s="151"/>
      <c r="D6" s="151"/>
      <c r="E6" s="151"/>
      <c r="F6" s="151"/>
      <c r="G6" s="151"/>
      <c r="H6" s="8"/>
      <c r="I6" s="166" t="str">
        <f>(ROUND(AVERAGE(C8:G8)*100,0)&amp;"% | "&amp;ROUND(AVERAGE(C11:G11)*100,0)&amp;"% | "&amp;ROUND(C19*100,0)&amp;"%")</f>
        <v>14% | 26% | 5%</v>
      </c>
      <c r="J6" s="167"/>
      <c r="K6" s="91">
        <f ca="1">TRUNC(Scenario5)+B14/G4</f>
        <v>96</v>
      </c>
      <c r="L6" s="93" t="s">
        <v>53</v>
      </c>
      <c r="M6" s="47"/>
    </row>
    <row r="7" spans="1:13">
      <c r="A7" s="7"/>
      <c r="B7" s="7" t="s">
        <v>2</v>
      </c>
      <c r="C7" s="39">
        <v>1</v>
      </c>
      <c r="D7" s="39">
        <v>2</v>
      </c>
      <c r="E7" s="39">
        <v>3</v>
      </c>
      <c r="F7" s="39">
        <v>4</v>
      </c>
      <c r="G7" s="39">
        <v>5</v>
      </c>
      <c r="I7" s="166" t="str">
        <f>(ROUND(AVERAGE(C8:G8)*100,0)&amp;"% | "&amp;ROUND(AVERAGE(C11:G11)*100,0)&amp;"% | "&amp;ROUND(C18*100,0)&amp;"%")</f>
        <v>14% | 26% | 10%</v>
      </c>
      <c r="J7" s="167"/>
      <c r="K7" s="91">
        <f ca="1">TRUNC(Scenario6)+B14/G4</f>
        <v>122</v>
      </c>
      <c r="L7" s="95" t="s">
        <v>53</v>
      </c>
    </row>
    <row r="8" spans="1:13">
      <c r="A8" s="164" t="s">
        <v>5</v>
      </c>
      <c r="B8" s="22" t="s">
        <v>3</v>
      </c>
      <c r="C8" s="23">
        <v>0.43</v>
      </c>
      <c r="D8" s="23">
        <v>7.0000000000000007E-2</v>
      </c>
      <c r="E8" s="23">
        <v>7.0000000000000007E-2</v>
      </c>
      <c r="F8" s="23">
        <v>7.0000000000000007E-2</v>
      </c>
      <c r="G8" s="23">
        <v>7.0000000000000007E-2</v>
      </c>
      <c r="I8" s="166" t="str">
        <f>(ROUND(AVERAGE(C8:G8)*100,0)&amp;"% | "&amp;ROUND(AVERAGE(C10:G10)*100,0)&amp;"% | "&amp;ROUND(C19*100,0)&amp;"%")</f>
        <v>14% | 30% | 5%</v>
      </c>
      <c r="J8" s="167"/>
      <c r="K8" s="91">
        <f ca="1">TRUNC(Scenario7)+B14/G4</f>
        <v>117</v>
      </c>
      <c r="L8" s="95" t="s">
        <v>53</v>
      </c>
    </row>
    <row r="9" spans="1:13">
      <c r="A9" s="165"/>
      <c r="B9" s="14" t="s">
        <v>4</v>
      </c>
      <c r="C9" s="24">
        <v>0.42</v>
      </c>
      <c r="D9" s="24">
        <v>0.04</v>
      </c>
      <c r="E9" s="24">
        <v>0.04</v>
      </c>
      <c r="F9" s="24">
        <v>0.04</v>
      </c>
      <c r="G9" s="24">
        <v>0.04</v>
      </c>
      <c r="I9" s="168" t="str">
        <f>(ROUND(AVERAGE(C8:G8)*100,0)&amp;"% | "&amp;ROUND(AVERAGE(C10:G10)*100,0)&amp;"% | "&amp;ROUND(C18*100,0)&amp;"%")</f>
        <v>14% | 30% | 10%</v>
      </c>
      <c r="J9" s="169"/>
      <c r="K9" s="92">
        <f ca="1">TRUNC(Scenario8)+B14/G4</f>
        <v>148</v>
      </c>
      <c r="L9" s="96" t="s">
        <v>53</v>
      </c>
    </row>
    <row r="10" spans="1:13">
      <c r="A10" s="162" t="s">
        <v>124</v>
      </c>
      <c r="B10" s="22" t="s">
        <v>3</v>
      </c>
      <c r="C10" s="135">
        <v>0.28000000000000003</v>
      </c>
      <c r="D10" s="135">
        <v>0.3</v>
      </c>
      <c r="E10" s="135">
        <v>0.31</v>
      </c>
      <c r="F10" s="135">
        <v>0.31</v>
      </c>
      <c r="G10" s="135">
        <v>0.31</v>
      </c>
    </row>
    <row r="11" spans="1:13">
      <c r="A11" s="163"/>
      <c r="B11" s="14" t="s">
        <v>4</v>
      </c>
      <c r="C11" s="136">
        <v>0.25</v>
      </c>
      <c r="D11" s="136">
        <v>0.26</v>
      </c>
      <c r="E11" s="136">
        <v>0.27</v>
      </c>
      <c r="F11" s="136">
        <v>0.27</v>
      </c>
      <c r="G11" s="136">
        <v>0.27</v>
      </c>
      <c r="I11" s="152" t="str">
        <f>A2&amp;" ("&amp;B2&amp;")"</f>
        <v>Microchip Technology (MCHP)</v>
      </c>
      <c r="J11" s="153"/>
      <c r="K11" s="153"/>
      <c r="L11" s="154"/>
    </row>
    <row r="12" spans="1:13">
      <c r="A12" s="145" t="s">
        <v>62</v>
      </c>
      <c r="B12" s="148">
        <v>0</v>
      </c>
      <c r="C12" s="25"/>
      <c r="D12" s="25"/>
      <c r="E12" s="25"/>
      <c r="F12" s="25"/>
      <c r="G12" s="25"/>
      <c r="I12" s="155" t="str">
        <f ca="1">"$"&amp;ROUND(F22/G4,0)&amp;" Scenario"</f>
        <v>$147 Scenario</v>
      </c>
      <c r="J12" s="156"/>
      <c r="K12" s="156"/>
      <c r="L12" s="157"/>
    </row>
    <row r="13" spans="1:13">
      <c r="A13" s="1" t="s">
        <v>191</v>
      </c>
      <c r="B13" s="1"/>
      <c r="C13" s="147">
        <v>-8500</v>
      </c>
      <c r="D13" s="147">
        <v>-175</v>
      </c>
      <c r="E13" s="147">
        <v>-175</v>
      </c>
      <c r="F13" s="147">
        <v>-175</v>
      </c>
      <c r="G13" s="147">
        <v>-175</v>
      </c>
      <c r="I13" s="72" t="s">
        <v>16</v>
      </c>
      <c r="K13" s="73"/>
      <c r="L13" s="64" t="s">
        <v>4</v>
      </c>
    </row>
    <row r="14" spans="1:13">
      <c r="A14" s="145" t="s">
        <v>10</v>
      </c>
      <c r="B14" s="146">
        <v>0</v>
      </c>
      <c r="I14" s="70" t="s">
        <v>17</v>
      </c>
      <c r="K14" s="71"/>
      <c r="L14" s="64" t="s">
        <v>3</v>
      </c>
    </row>
    <row r="15" spans="1:13">
      <c r="B15" s="2"/>
      <c r="I15" s="74" t="s">
        <v>118</v>
      </c>
      <c r="J15" s="75"/>
      <c r="K15" s="75"/>
      <c r="L15" s="65" t="s">
        <v>4</v>
      </c>
    </row>
    <row r="16" spans="1:13" ht="14.65" thickBot="1">
      <c r="A16" s="138" t="s">
        <v>97</v>
      </c>
      <c r="B16" s="138"/>
      <c r="C16" s="138"/>
      <c r="D16" s="3"/>
      <c r="E16" s="138" t="s">
        <v>98</v>
      </c>
      <c r="F16" s="138"/>
      <c r="G16" s="138"/>
      <c r="I16" s="48" t="s">
        <v>117</v>
      </c>
      <c r="K16" s="3"/>
      <c r="L16" s="56">
        <f>(F27/G3)^0.2-1</f>
        <v>0.10683871201929729</v>
      </c>
    </row>
    <row r="17" spans="1:12">
      <c r="A17" s="66" t="s">
        <v>11</v>
      </c>
      <c r="B17" s="26">
        <v>5</v>
      </c>
      <c r="C17" t="s">
        <v>12</v>
      </c>
      <c r="E17" s="71" t="s">
        <v>14</v>
      </c>
      <c r="G17" s="31">
        <v>2.5000000000000001E-2</v>
      </c>
      <c r="I17" s="70" t="s">
        <v>116</v>
      </c>
      <c r="K17" s="71"/>
      <c r="L17" s="53">
        <f>SUM(B30:F30)/SUM(B27:F27)</f>
        <v>0.30254106461488145</v>
      </c>
    </row>
    <row r="18" spans="1:12">
      <c r="A18" s="140" t="s">
        <v>59</v>
      </c>
      <c r="B18" s="21" t="s">
        <v>3</v>
      </c>
      <c r="C18" s="23">
        <v>0.1</v>
      </c>
      <c r="D18" s="36">
        <f>IF(C18=B$4,C18-0.0001,C18)</f>
        <v>9.9900000000000003E-2</v>
      </c>
      <c r="E18" s="71" t="s">
        <v>15</v>
      </c>
      <c r="G18" s="31">
        <v>2.5000000000000001E-2</v>
      </c>
      <c r="I18" s="74" t="s">
        <v>119</v>
      </c>
      <c r="K18" s="27"/>
      <c r="L18" s="55">
        <f ca="1">(F22/G4)/G2-1</f>
        <v>0.96513878355063154</v>
      </c>
    </row>
    <row r="19" spans="1:12">
      <c r="A19" s="141"/>
      <c r="B19" s="15" t="s">
        <v>4</v>
      </c>
      <c r="C19" s="24">
        <v>0.05</v>
      </c>
      <c r="D19" s="36">
        <f>IF(C19=B$4,C19-0.0001,C19)</f>
        <v>0.05</v>
      </c>
      <c r="G19" s="11"/>
      <c r="J19" s="54"/>
      <c r="K19" s="54"/>
      <c r="L19" s="54"/>
    </row>
    <row r="20" spans="1:12">
      <c r="C20" s="3"/>
      <c r="D20" s="3"/>
      <c r="E20" s="3"/>
      <c r="F20" s="3"/>
      <c r="I20" s="158" t="s">
        <v>123</v>
      </c>
      <c r="J20" s="159"/>
      <c r="K20" s="159"/>
      <c r="L20" s="160"/>
    </row>
    <row r="21" spans="1:12" ht="14.65" thickBot="1">
      <c r="A21" s="58" t="s">
        <v>7</v>
      </c>
      <c r="B21" s="63" t="s">
        <v>92</v>
      </c>
      <c r="C21" s="63" t="s">
        <v>93</v>
      </c>
      <c r="D21" s="63" t="s">
        <v>94</v>
      </c>
      <c r="E21" s="63" t="s">
        <v>95</v>
      </c>
      <c r="F21" s="63" t="s">
        <v>8</v>
      </c>
      <c r="I21" s="100"/>
      <c r="J21" s="101"/>
      <c r="K21" s="68" t="s">
        <v>120</v>
      </c>
      <c r="L21" s="69" t="s">
        <v>121</v>
      </c>
    </row>
    <row r="22" spans="1:12">
      <c r="A22" s="16" t="s">
        <v>13</v>
      </c>
      <c r="B22" s="17">
        <f ca="1">SUM(B44:F44)</f>
        <v>7319.6650598465203</v>
      </c>
      <c r="C22" s="17">
        <f ca="1">B55*F44</f>
        <v>5795.1786285999015</v>
      </c>
      <c r="D22" s="17">
        <f ca="1">B52*B51</f>
        <v>21743.229817373223</v>
      </c>
      <c r="E22" s="17">
        <f>B14</f>
        <v>0</v>
      </c>
      <c r="F22" s="17">
        <f ca="1">B22+C22+D22+E22</f>
        <v>34858.073505819644</v>
      </c>
      <c r="I22" s="99" t="s">
        <v>122</v>
      </c>
      <c r="J22" s="15"/>
      <c r="K22" s="102">
        <v>0.25</v>
      </c>
      <c r="L22" s="103">
        <v>0.25600000000000001</v>
      </c>
    </row>
    <row r="23" spans="1:12">
      <c r="A23" s="16" t="s">
        <v>9</v>
      </c>
      <c r="B23" s="59">
        <f ca="1">IFERROR(B22/$F22,"")</f>
        <v>0.20998478469053902</v>
      </c>
      <c r="C23" s="59">
        <f ca="1">IFERROR(C22/$F22,"")</f>
        <v>0.16625068587431779</v>
      </c>
      <c r="D23" s="59">
        <f ca="1">IFERROR(D22/$F22,"")</f>
        <v>0.62376452943514327</v>
      </c>
      <c r="E23" s="59">
        <f ca="1">IFERROR(E22/$F22,"")</f>
        <v>0</v>
      </c>
      <c r="F23" s="59">
        <v>1</v>
      </c>
    </row>
    <row r="24" spans="1:12">
      <c r="A24" s="16"/>
      <c r="B24" s="20"/>
      <c r="C24" s="20"/>
      <c r="D24" s="20"/>
      <c r="E24" s="20"/>
      <c r="F24" s="20"/>
    </row>
    <row r="25" spans="1:12" ht="15.75" hidden="1" customHeight="1" thickBot="1">
      <c r="A25" s="58" t="s">
        <v>74</v>
      </c>
      <c r="B25" s="60">
        <v>1</v>
      </c>
      <c r="C25" s="60">
        <v>2</v>
      </c>
      <c r="D25" s="60">
        <v>3</v>
      </c>
      <c r="E25" s="60">
        <v>4</v>
      </c>
      <c r="F25" s="60">
        <v>5</v>
      </c>
      <c r="I25" t="s">
        <v>115</v>
      </c>
      <c r="K25" s="98">
        <v>0.25</v>
      </c>
      <c r="L25" s="98">
        <v>0.25</v>
      </c>
    </row>
    <row r="26" spans="1:12" s="9" customFormat="1" ht="12" hidden="1" customHeight="1">
      <c r="B26" s="32">
        <f>DATE(YEAR($B$3)+B25,MONTH($B$3),DAY($B$3))</f>
        <v>43555</v>
      </c>
      <c r="C26" s="32">
        <f t="shared" ref="C26:F26" si="0">DATE(YEAR($B$3)+C25,MONTH($B$3),DAY($B$3))</f>
        <v>43921</v>
      </c>
      <c r="D26" s="32">
        <f t="shared" si="0"/>
        <v>44286</v>
      </c>
      <c r="E26" s="32">
        <f t="shared" si="0"/>
        <v>44651</v>
      </c>
      <c r="F26" s="32">
        <f t="shared" si="0"/>
        <v>45016</v>
      </c>
      <c r="I26" s="9" t="s">
        <v>57</v>
      </c>
      <c r="L26" s="9">
        <v>26.29</v>
      </c>
    </row>
    <row r="27" spans="1:12" hidden="1">
      <c r="A27" t="s">
        <v>37</v>
      </c>
      <c r="B27" s="29">
        <f>(CHOOSE($B37,C8,C9)+1)*G3</f>
        <v>5652.7359999999999</v>
      </c>
      <c r="C27" s="29">
        <f>(CHOOSE($B37,D8,D9)+1)*B27</f>
        <v>5878.8454400000001</v>
      </c>
      <c r="D27" s="29">
        <f>(CHOOSE($B37,E8,E9)+1)*C27</f>
        <v>6113.9992576000004</v>
      </c>
      <c r="E27" s="29">
        <f>(CHOOSE($B37,F8,F9)+1)*D27</f>
        <v>6358.5592279040011</v>
      </c>
      <c r="F27" s="29">
        <f>(CHOOSE($B37,G8,G9)+1)*E27</f>
        <v>6612.9015970201617</v>
      </c>
    </row>
    <row r="28" spans="1:12" hidden="1">
      <c r="A28" t="s">
        <v>71</v>
      </c>
      <c r="B28" s="57">
        <f>CHOOSE($B38,C10,C11)*B27</f>
        <v>1582.7660800000001</v>
      </c>
      <c r="C28" s="5">
        <f>CHOOSE($B38,D10,D11)*C27</f>
        <v>1763.653632</v>
      </c>
      <c r="D28" s="5">
        <f>CHOOSE($B38,E10,E11)*D27</f>
        <v>1895.3397698560002</v>
      </c>
      <c r="E28" s="5">
        <f>CHOOSE($B38,F10,F11)*E27</f>
        <v>1971.1533606502403</v>
      </c>
      <c r="F28" s="5">
        <f>CHOOSE($B38,G10,G11)*F27</f>
        <v>2049.9994950762502</v>
      </c>
    </row>
    <row r="29" spans="1:12" hidden="1">
      <c r="A29" t="s">
        <v>72</v>
      </c>
      <c r="B29" s="57">
        <f>-C12*B28</f>
        <v>0</v>
      </c>
      <c r="C29" s="57">
        <f t="shared" ref="C29:E29" si="1">-D12*C28</f>
        <v>0</v>
      </c>
      <c r="D29" s="57">
        <f t="shared" si="1"/>
        <v>0</v>
      </c>
      <c r="E29" s="57">
        <f t="shared" si="1"/>
        <v>0</v>
      </c>
      <c r="F29" s="57">
        <f>-G12*F28</f>
        <v>0</v>
      </c>
    </row>
    <row r="30" spans="1:12" ht="14.65" hidden="1" thickBot="1">
      <c r="A30" t="s">
        <v>73</v>
      </c>
      <c r="B30" s="4">
        <f>B28+B29</f>
        <v>1582.7660800000001</v>
      </c>
      <c r="C30" s="4">
        <f>C28+C29</f>
        <v>1763.653632</v>
      </c>
      <c r="D30" s="4">
        <f>D28+D29</f>
        <v>1895.3397698560002</v>
      </c>
      <c r="E30" s="4">
        <f>E28+E29</f>
        <v>1971.1533606502403</v>
      </c>
      <c r="F30" s="4">
        <f>F28+F29</f>
        <v>2049.9994950762502</v>
      </c>
    </row>
    <row r="31" spans="1:12" ht="14.65" hidden="1" thickTop="1">
      <c r="B31" s="61"/>
      <c r="C31" s="61"/>
      <c r="D31" s="61"/>
      <c r="E31" s="61"/>
      <c r="F31" s="61"/>
    </row>
    <row r="32" spans="1:12" hidden="1">
      <c r="B32" s="34" t="s">
        <v>20</v>
      </c>
      <c r="E32" s="34" t="s">
        <v>52</v>
      </c>
      <c r="G32" s="139" t="s">
        <v>192</v>
      </c>
    </row>
    <row r="33" spans="1:16" hidden="1">
      <c r="B33" s="28" t="s">
        <v>3</v>
      </c>
      <c r="E33" s="28" t="s">
        <v>55</v>
      </c>
      <c r="G33" s="28">
        <v>1</v>
      </c>
    </row>
    <row r="34" spans="1:16" hidden="1">
      <c r="B34" s="28" t="s">
        <v>4</v>
      </c>
      <c r="E34" s="28" t="s">
        <v>53</v>
      </c>
      <c r="G34" s="28">
        <v>0</v>
      </c>
    </row>
    <row r="35" spans="1:16" hidden="1">
      <c r="E35" s="28" t="s">
        <v>54</v>
      </c>
    </row>
    <row r="36" spans="1:16" hidden="1">
      <c r="A36" s="10" t="s">
        <v>34</v>
      </c>
    </row>
    <row r="37" spans="1:16" hidden="1">
      <c r="A37" t="s">
        <v>16</v>
      </c>
      <c r="B37">
        <f>IF(L13="Best",1,2)</f>
        <v>2</v>
      </c>
    </row>
    <row r="38" spans="1:16" hidden="1">
      <c r="A38" t="s">
        <v>19</v>
      </c>
      <c r="B38">
        <f>IF(L14="Best",1,2)</f>
        <v>1</v>
      </c>
    </row>
    <row r="39" spans="1:16" hidden="1">
      <c r="A39" t="s">
        <v>18</v>
      </c>
      <c r="B39">
        <f>IF(L15="Best",1,2)</f>
        <v>2</v>
      </c>
    </row>
    <row r="40" spans="1:16" hidden="1"/>
    <row r="41" spans="1:16" hidden="1"/>
    <row r="42" spans="1:16" hidden="1">
      <c r="A42" s="161" t="s">
        <v>35</v>
      </c>
      <c r="B42" s="161"/>
      <c r="C42" s="161"/>
      <c r="D42" s="161"/>
      <c r="E42" s="161"/>
      <c r="F42" s="161"/>
    </row>
    <row r="43" spans="1:16" hidden="1">
      <c r="A43" t="s">
        <v>21</v>
      </c>
      <c r="B43" s="19">
        <f ca="1">B26-TODAY()</f>
        <v>120</v>
      </c>
      <c r="C43" s="19">
        <f ca="1">C26-TODAY()</f>
        <v>486</v>
      </c>
      <c r="D43" s="19">
        <f ca="1">D26-TODAY()</f>
        <v>851</v>
      </c>
      <c r="E43" s="19">
        <f ca="1">E26-TODAY()</f>
        <v>1216</v>
      </c>
      <c r="F43" s="19">
        <f ca="1">F26-TODAY()</f>
        <v>1581</v>
      </c>
      <c r="P43" s="37"/>
    </row>
    <row r="44" spans="1:16" hidden="1">
      <c r="A44" t="s">
        <v>22</v>
      </c>
      <c r="B44" s="17">
        <f ca="1">B30*EXP(-$B$4*B43/365.25)</f>
        <v>1531.6104912759374</v>
      </c>
      <c r="C44" s="17">
        <f ca="1">C30*EXP(-$B$4*C43/365.25)</f>
        <v>1543.9252485956013</v>
      </c>
      <c r="D44" s="17">
        <f ca="1">D30*EXP(-$B$4*D43/365.25)</f>
        <v>1501.4135312749545</v>
      </c>
      <c r="E44" s="17">
        <f ca="1">E30*EXP(-$B$4*E43/365.25)</f>
        <v>1412.973258203747</v>
      </c>
      <c r="F44" s="17">
        <f ca="1">F30*EXP(-$B$4*F43/365.25)</f>
        <v>1329.7425304962794</v>
      </c>
      <c r="O44" s="38"/>
    </row>
    <row r="45" spans="1:16" hidden="1"/>
    <row r="46" spans="1:16" hidden="1">
      <c r="A46" s="6" t="s">
        <v>26</v>
      </c>
      <c r="B46">
        <f>MONTH(B3)</f>
        <v>3</v>
      </c>
    </row>
    <row r="47" spans="1:16" hidden="1">
      <c r="A47" s="6" t="s">
        <v>27</v>
      </c>
      <c r="B47">
        <f>DAY(B3)</f>
        <v>31</v>
      </c>
    </row>
    <row r="48" spans="1:16" hidden="1">
      <c r="A48" s="6" t="s">
        <v>23</v>
      </c>
      <c r="B48">
        <f>YEAR(F26)+B17</f>
        <v>2028</v>
      </c>
    </row>
    <row r="49" spans="1:7" hidden="1">
      <c r="A49" s="6" t="s">
        <v>28</v>
      </c>
      <c r="B49">
        <f ca="1">DATE(B48,B46,B47)-TODAY()</f>
        <v>3408</v>
      </c>
      <c r="C49" s="33"/>
    </row>
    <row r="50" spans="1:7" hidden="1">
      <c r="A50" s="6" t="s">
        <v>24</v>
      </c>
      <c r="B50" s="17">
        <f>F30*EXP(CHOOSE(B39,C18,C19)*B17)</f>
        <v>2632.2514558749417</v>
      </c>
    </row>
    <row r="51" spans="1:7" hidden="1">
      <c r="A51" s="6" t="s">
        <v>29</v>
      </c>
      <c r="B51" s="17">
        <f ca="1">B50*EXP(-B4*B49/365.25)</f>
        <v>1035.3918960653916</v>
      </c>
    </row>
    <row r="52" spans="1:7" hidden="1">
      <c r="A52" s="6" t="s">
        <v>31</v>
      </c>
      <c r="B52" s="17">
        <f>(1+SUM(G17,G18))/(B4-SUM(G17,G18))</f>
        <v>21</v>
      </c>
    </row>
    <row r="53" spans="1:7" hidden="1">
      <c r="A53" s="6" t="s">
        <v>32</v>
      </c>
      <c r="B53" s="18">
        <f>(1+CHOOSE(B39,D18,D19))/(B4-(CHOOSE(B39,D18,D19)))</f>
        <v>21</v>
      </c>
      <c r="F53" s="37"/>
    </row>
    <row r="54" spans="1:7" hidden="1">
      <c r="A54" s="6" t="s">
        <v>33</v>
      </c>
      <c r="B54" s="37">
        <f>1-(((1+CHOOSE(B39,D18,D19))/(1+B4))^B17)</f>
        <v>0.20752956361649433</v>
      </c>
      <c r="F54" s="38"/>
    </row>
    <row r="55" spans="1:7" hidden="1">
      <c r="A55" s="6" t="s">
        <v>30</v>
      </c>
      <c r="B55" s="35">
        <f>B53*B54</f>
        <v>4.358120835946381</v>
      </c>
    </row>
    <row r="56" spans="1:7" hidden="1"/>
    <row r="57" spans="1:7" hidden="1"/>
    <row r="58" spans="1:7" hidden="1">
      <c r="A58" s="40" t="s">
        <v>36</v>
      </c>
    </row>
    <row r="59" spans="1:7" hidden="1">
      <c r="A59" t="s">
        <v>37</v>
      </c>
      <c r="B59" s="18">
        <f>$G$3*(1+C$9)</f>
        <v>5652.7359999999999</v>
      </c>
      <c r="C59" s="18">
        <f>B59*(1+D$9)</f>
        <v>5878.8454400000001</v>
      </c>
      <c r="D59" s="18">
        <f>C59*(1+E$9)</f>
        <v>6113.9992576000004</v>
      </c>
      <c r="E59" s="18">
        <f>D59*(1+F$9)</f>
        <v>6358.5592279040011</v>
      </c>
      <c r="F59" s="18">
        <f>E59*(1+G$9)</f>
        <v>6612.9015970201617</v>
      </c>
    </row>
    <row r="60" spans="1:7" hidden="1">
      <c r="A60" t="s">
        <v>38</v>
      </c>
      <c r="B60" s="18">
        <f>B59*C$11</f>
        <v>1413.184</v>
      </c>
      <c r="C60" s="18">
        <f>C59*D$11</f>
        <v>1528.4998144000001</v>
      </c>
      <c r="D60" s="18">
        <f>D59*E$11</f>
        <v>1650.7797995520002</v>
      </c>
      <c r="E60" s="18">
        <f>E59*F$11</f>
        <v>1716.8109915340804</v>
      </c>
      <c r="F60" s="18">
        <f>F59*G$11</f>
        <v>1785.4834311954437</v>
      </c>
    </row>
    <row r="61" spans="1:7" hidden="1">
      <c r="B61" s="20">
        <f>B60/B59</f>
        <v>0.25</v>
      </c>
      <c r="C61" s="20">
        <f>C60/C59</f>
        <v>0.26</v>
      </c>
      <c r="D61" s="20">
        <f>D60/D59</f>
        <v>0.27</v>
      </c>
      <c r="E61" s="20">
        <f>E60/E59</f>
        <v>0.27</v>
      </c>
      <c r="F61" s="20">
        <f>F60/F59</f>
        <v>0.27</v>
      </c>
    </row>
    <row r="62" spans="1:7" hidden="1">
      <c r="A62" t="s">
        <v>39</v>
      </c>
      <c r="B62" s="37">
        <f>B60-IF($B$12=1,(C$12*B60),-C$13)</f>
        <v>-7086.8159999999998</v>
      </c>
      <c r="C62" s="37">
        <f t="shared" ref="C62:F62" si="2">C60-IF($B$12=1,(D$12*C60),-D$13)</f>
        <v>1353.4998144000001</v>
      </c>
      <c r="D62" s="37">
        <f t="shared" si="2"/>
        <v>1475.7797995520002</v>
      </c>
      <c r="E62" s="37">
        <f t="shared" si="2"/>
        <v>1541.8109915340804</v>
      </c>
      <c r="F62" s="37">
        <f t="shared" si="2"/>
        <v>1610.4834311954437</v>
      </c>
    </row>
    <row r="63" spans="1:7" hidden="1">
      <c r="A63" t="s">
        <v>42</v>
      </c>
      <c r="B63" s="18">
        <f ca="1">B62*EXP(-$B$4*B$43/365.25)</f>
        <v>-6857.7674695569494</v>
      </c>
      <c r="C63" s="18">
        <f ca="1">C62*EXP(-$B$4*C$43/365.25)</f>
        <v>1184.8712805653781</v>
      </c>
      <c r="D63" s="18">
        <f ca="1">D62*EXP(-$B$4*D$43/365.25)</f>
        <v>1169.0546441696608</v>
      </c>
      <c r="E63" s="18">
        <f ca="1">E62*EXP(-$B$4*E$43/365.25)</f>
        <v>1105.2096420968521</v>
      </c>
      <c r="F63" s="18">
        <f ca="1">F62*EXP(-$B$4*F$43/365.25)</f>
        <v>1044.6482149209041</v>
      </c>
      <c r="G63" s="18">
        <f ca="1">SUM(B63:F63)</f>
        <v>-2353.9836878041551</v>
      </c>
    </row>
    <row r="64" spans="1:7" hidden="1">
      <c r="A64" t="s">
        <v>41</v>
      </c>
      <c r="F64" s="37">
        <f>((1+$D$19)/($B$4-$D$19)*(1-(((1+$D$19)/(1+$B$4))^$B$17)))</f>
        <v>4.358120835946381</v>
      </c>
      <c r="G64" s="18">
        <f ca="1">F64*F63</f>
        <v>4552.7031516809857</v>
      </c>
    </row>
    <row r="65" spans="1:7" hidden="1">
      <c r="A65" t="s">
        <v>40</v>
      </c>
      <c r="B65" s="37"/>
      <c r="F65" s="18">
        <f>F62*EXP($C$19*$B$17)</f>
        <v>2067.9016588094332</v>
      </c>
    </row>
    <row r="66" spans="1:7" hidden="1">
      <c r="A66" t="s">
        <v>43</v>
      </c>
      <c r="F66" s="18">
        <f ca="1">F65*EXP(-$B$4*B$49/365.25)</f>
        <v>813.40580688549187</v>
      </c>
      <c r="G66" s="41">
        <f ca="1">F66*B$52</f>
        <v>17081.52194459533</v>
      </c>
    </row>
    <row r="67" spans="1:7" hidden="1">
      <c r="A67" t="s">
        <v>44</v>
      </c>
      <c r="G67" s="18">
        <f ca="1">SUM(G63:G64,G66)</f>
        <v>19280.24140847216</v>
      </c>
    </row>
    <row r="68" spans="1:7" hidden="1">
      <c r="A68" t="s">
        <v>25</v>
      </c>
      <c r="G68" s="42">
        <f ca="1">G67/$G$4</f>
        <v>81.519888373238572</v>
      </c>
    </row>
    <row r="69" spans="1:7" hidden="1">
      <c r="G69" s="37"/>
    </row>
    <row r="70" spans="1:7" hidden="1">
      <c r="A70" s="40" t="s">
        <v>45</v>
      </c>
    </row>
    <row r="71" spans="1:7" hidden="1">
      <c r="A71" t="s">
        <v>37</v>
      </c>
      <c r="B71" s="18">
        <f>$G$3*(1+C$9)</f>
        <v>5652.7359999999999</v>
      </c>
      <c r="C71" s="18">
        <f>B71*(1+D$9)</f>
        <v>5878.8454400000001</v>
      </c>
      <c r="D71" s="18">
        <f>C71*(1+E$9)</f>
        <v>6113.9992576000004</v>
      </c>
      <c r="E71" s="18">
        <f>D71*(1+F$9)</f>
        <v>6358.5592279040011</v>
      </c>
      <c r="F71" s="18">
        <f>E71*(1+G$9)</f>
        <v>6612.9015970201617</v>
      </c>
    </row>
    <row r="72" spans="1:7" hidden="1">
      <c r="A72" t="s">
        <v>38</v>
      </c>
      <c r="B72" s="18">
        <f>B71*C$11</f>
        <v>1413.184</v>
      </c>
      <c r="C72" s="18">
        <f>C71*D$11</f>
        <v>1528.4998144000001</v>
      </c>
      <c r="D72" s="18">
        <f>D71*E$11</f>
        <v>1650.7797995520002</v>
      </c>
      <c r="E72" s="18">
        <f>E71*F$11</f>
        <v>1716.8109915340804</v>
      </c>
      <c r="F72" s="18">
        <f>F71*G$11</f>
        <v>1785.4834311954437</v>
      </c>
    </row>
    <row r="73" spans="1:7" hidden="1">
      <c r="A73" t="s">
        <v>39</v>
      </c>
      <c r="B73" s="37">
        <f>B72-IF($B$12=1,(C$12*B72),-C$13)</f>
        <v>-7086.8159999999998</v>
      </c>
      <c r="C73" s="37">
        <f t="shared" ref="C73:F73" si="3">C72-IF($B$12=1,(D$12*C72),-D$13)</f>
        <v>1353.4998144000001</v>
      </c>
      <c r="D73" s="37">
        <f t="shared" si="3"/>
        <v>1475.7797995520002</v>
      </c>
      <c r="E73" s="37">
        <f t="shared" si="3"/>
        <v>1541.8109915340804</v>
      </c>
      <c r="F73" s="37">
        <f t="shared" si="3"/>
        <v>1610.4834311954437</v>
      </c>
    </row>
    <row r="74" spans="1:7" hidden="1">
      <c r="A74" t="s">
        <v>42</v>
      </c>
      <c r="B74" s="18">
        <f ca="1">B73*EXP(-$B$4*B$43/365.25)</f>
        <v>-6857.7674695569494</v>
      </c>
      <c r="C74" s="18">
        <f ca="1">C73*EXP(-$B$4*C$43/365.25)</f>
        <v>1184.8712805653781</v>
      </c>
      <c r="D74" s="18">
        <f ca="1">D73*EXP(-$B$4*D$43/365.25)</f>
        <v>1169.0546441696608</v>
      </c>
      <c r="E74" s="18">
        <f ca="1">E73*EXP(-$B$4*E$43/365.25)</f>
        <v>1105.2096420968521</v>
      </c>
      <c r="F74" s="18">
        <f ca="1">F73*EXP(-$B$4*F$43/365.25)</f>
        <v>1044.6482149209041</v>
      </c>
      <c r="G74" s="18">
        <f ca="1">SUM(B74:F74)</f>
        <v>-2353.9836878041551</v>
      </c>
    </row>
    <row r="75" spans="1:7" hidden="1">
      <c r="A75" t="s">
        <v>41</v>
      </c>
      <c r="F75" s="37">
        <f>((1+$D$18)/($B$4-$D$18)*(1-(((1+$D$18)/(1+$B$4))^$B$17)))</f>
        <v>4.9986365289112209</v>
      </c>
      <c r="G75" s="18">
        <f ca="1">F75*F74</f>
        <v>5221.8167269655314</v>
      </c>
    </row>
    <row r="76" spans="1:7" hidden="1">
      <c r="A76" t="s">
        <v>40</v>
      </c>
      <c r="B76" s="37"/>
      <c r="F76" s="18">
        <f>F73*EXP($C$18*$B$17)</f>
        <v>2655.2382891220545</v>
      </c>
    </row>
    <row r="77" spans="1:7" hidden="1">
      <c r="A77" t="s">
        <v>43</v>
      </c>
      <c r="F77" s="18">
        <f ca="1">F76*EXP(-$B$4*B$49/365.25)</f>
        <v>1044.4337301223723</v>
      </c>
      <c r="G77" s="41">
        <f ca="1">F77*B$52</f>
        <v>21933.108332569816</v>
      </c>
    </row>
    <row r="78" spans="1:7" hidden="1">
      <c r="A78" t="s">
        <v>44</v>
      </c>
      <c r="G78" s="18">
        <f ca="1">SUM(G74:G75,G77)</f>
        <v>24800.941371731191</v>
      </c>
    </row>
    <row r="79" spans="1:7" hidden="1">
      <c r="A79" t="s">
        <v>25</v>
      </c>
      <c r="G79" s="42">
        <f ca="1">G78/$G$4</f>
        <v>104.86227476832065</v>
      </c>
    </row>
    <row r="80" spans="1:7" hidden="1"/>
    <row r="81" spans="1:7" hidden="1">
      <c r="A81" s="40" t="s">
        <v>46</v>
      </c>
    </row>
    <row r="82" spans="1:7" hidden="1">
      <c r="A82" t="s">
        <v>37</v>
      </c>
      <c r="B82" s="18">
        <f>$G$3*(1+C$9)</f>
        <v>5652.7359999999999</v>
      </c>
      <c r="C82" s="18">
        <f>B82*(1+D$9)</f>
        <v>5878.8454400000001</v>
      </c>
      <c r="D82" s="18">
        <f>C82*(1+E$9)</f>
        <v>6113.9992576000004</v>
      </c>
      <c r="E82" s="18">
        <f>D82*(1+F$9)</f>
        <v>6358.5592279040011</v>
      </c>
      <c r="F82" s="18">
        <f>E82*(1+G$9)</f>
        <v>6612.9015970201617</v>
      </c>
    </row>
    <row r="83" spans="1:7" hidden="1">
      <c r="A83" t="s">
        <v>38</v>
      </c>
      <c r="B83" s="18">
        <f>B82*C$10</f>
        <v>1582.7660800000001</v>
      </c>
      <c r="C83" s="18">
        <f>C82*D$10</f>
        <v>1763.653632</v>
      </c>
      <c r="D83" s="18">
        <f>D82*E$10</f>
        <v>1895.3397698560002</v>
      </c>
      <c r="E83" s="18">
        <f>E82*F$10</f>
        <v>1971.1533606502403</v>
      </c>
      <c r="F83" s="18">
        <f>F82*G$10</f>
        <v>2049.9994950762502</v>
      </c>
    </row>
    <row r="84" spans="1:7" hidden="1">
      <c r="A84" t="s">
        <v>39</v>
      </c>
      <c r="B84" s="37">
        <f>B83-IF($B$12=1,(C$12*B83),-C$13)</f>
        <v>-6917.2339199999997</v>
      </c>
      <c r="C84" s="37">
        <f t="shared" ref="C84" si="4">C83-IF($B$12=1,(D$12*C83),-D$13)</f>
        <v>1588.653632</v>
      </c>
      <c r="D84" s="37">
        <f t="shared" ref="D84" si="5">D83-IF($B$12=1,(E$12*D83),-E$13)</f>
        <v>1720.3397698560002</v>
      </c>
      <c r="E84" s="37">
        <f t="shared" ref="E84" si="6">E83-IF($B$12=1,(F$12*E83),-F$13)</f>
        <v>1796.1533606502403</v>
      </c>
      <c r="F84" s="37">
        <f t="shared" ref="F84" si="7">F83-IF($B$12=1,(G$12*F83),-G$13)</f>
        <v>1874.9994950762502</v>
      </c>
    </row>
    <row r="85" spans="1:7" hidden="1">
      <c r="A85" t="s">
        <v>42</v>
      </c>
      <c r="B85" s="18">
        <f ca="1">B84*EXP(-$B$4*B$43/365.25)</f>
        <v>-6693.6663454916707</v>
      </c>
      <c r="C85" s="18">
        <f ca="1">C84*EXP(-$B$4*C$43/365.25)</f>
        <v>1390.727980378125</v>
      </c>
      <c r="D85" s="18">
        <f ca="1">D84*EXP(-$B$4*D$43/365.25)</f>
        <v>1362.7854223986872</v>
      </c>
      <c r="E85" s="18">
        <f ca="1">E84*EXP(-$B$4*E$43/365.25)</f>
        <v>1287.528772187658</v>
      </c>
      <c r="F85" s="18">
        <f ca="1">F84*EXP(-$B$4*F$43/365.25)</f>
        <v>1216.227896275263</v>
      </c>
      <c r="G85" s="18">
        <f ca="1">SUM(B85:F85)</f>
        <v>-1436.3962742519379</v>
      </c>
    </row>
    <row r="86" spans="1:7" hidden="1">
      <c r="A86" t="s">
        <v>41</v>
      </c>
      <c r="F86" s="37">
        <f>((1+$D$19)/($B$4-$D$19)*(1-(((1+$D$19)/(1+$B$4))^$B$17)))</f>
        <v>4.358120835946381</v>
      </c>
      <c r="G86" s="18">
        <f ca="1">F86*F85</f>
        <v>5300.4681360164577</v>
      </c>
    </row>
    <row r="87" spans="1:7" hidden="1">
      <c r="A87" t="s">
        <v>40</v>
      </c>
      <c r="B87" s="37"/>
      <c r="F87" s="18">
        <f>F84*EXP($C$19*$B$17)</f>
        <v>2407.5470079545871</v>
      </c>
    </row>
    <row r="88" spans="1:7" hidden="1">
      <c r="A88" t="s">
        <v>43</v>
      </c>
      <c r="F88" s="18">
        <f ca="1">F87*EXP(-$B$4*B$49/365.25)</f>
        <v>947.00476121651013</v>
      </c>
      <c r="G88" s="41">
        <f ca="1">F88*B$52</f>
        <v>19887.099985546713</v>
      </c>
    </row>
    <row r="89" spans="1:7" hidden="1">
      <c r="A89" t="s">
        <v>44</v>
      </c>
      <c r="G89" s="18">
        <f ca="1">SUM(G85:G86,G88)</f>
        <v>23751.171847311234</v>
      </c>
    </row>
    <row r="90" spans="1:7" hidden="1">
      <c r="A90" t="s">
        <v>25</v>
      </c>
      <c r="G90" s="42">
        <f ca="1">G89/$G$4</f>
        <v>100.4236843671269</v>
      </c>
    </row>
    <row r="91" spans="1:7" hidden="1"/>
    <row r="92" spans="1:7" hidden="1">
      <c r="A92" s="40" t="s">
        <v>47</v>
      </c>
    </row>
    <row r="93" spans="1:7" hidden="1">
      <c r="A93" t="s">
        <v>37</v>
      </c>
      <c r="B93" s="18">
        <f>$G$3*(1+C$9)</f>
        <v>5652.7359999999999</v>
      </c>
      <c r="C93" s="18">
        <f>B93*(1+D$9)</f>
        <v>5878.8454400000001</v>
      </c>
      <c r="D93" s="18">
        <f>C93*(1+E$9)</f>
        <v>6113.9992576000004</v>
      </c>
      <c r="E93" s="18">
        <f>D93*(1+F$9)</f>
        <v>6358.5592279040011</v>
      </c>
      <c r="F93" s="18">
        <f>E93*(1+G$9)</f>
        <v>6612.9015970201617</v>
      </c>
    </row>
    <row r="94" spans="1:7" hidden="1">
      <c r="A94" t="s">
        <v>38</v>
      </c>
      <c r="B94" s="18">
        <f>B93*C$10</f>
        <v>1582.7660800000001</v>
      </c>
      <c r="C94" s="18">
        <f>C93*D$10</f>
        <v>1763.653632</v>
      </c>
      <c r="D94" s="18">
        <f>D93*E$10</f>
        <v>1895.3397698560002</v>
      </c>
      <c r="E94" s="18">
        <f>E93*F$10</f>
        <v>1971.1533606502403</v>
      </c>
      <c r="F94" s="18">
        <f>F93*G$10</f>
        <v>2049.9994950762502</v>
      </c>
    </row>
    <row r="95" spans="1:7" hidden="1">
      <c r="A95" t="s">
        <v>39</v>
      </c>
      <c r="B95" s="37">
        <f>B94-IF($B$12=1,(C$12*B94),-C$13)</f>
        <v>-6917.2339199999997</v>
      </c>
      <c r="C95" s="37">
        <f t="shared" ref="C95" si="8">C94-IF($B$12=1,(D$12*C94),-D$13)</f>
        <v>1588.653632</v>
      </c>
      <c r="D95" s="37">
        <f t="shared" ref="D95" si="9">D94-IF($B$12=1,(E$12*D94),-E$13)</f>
        <v>1720.3397698560002</v>
      </c>
      <c r="E95" s="37">
        <f t="shared" ref="E95" si="10">E94-IF($B$12=1,(F$12*E94),-F$13)</f>
        <v>1796.1533606502403</v>
      </c>
      <c r="F95" s="37">
        <f t="shared" ref="F95" si="11">F94-IF($B$12=1,(G$12*F94),-G$13)</f>
        <v>1874.9994950762502</v>
      </c>
    </row>
    <row r="96" spans="1:7" hidden="1">
      <c r="A96" t="s">
        <v>42</v>
      </c>
      <c r="B96" s="18">
        <f ca="1">B95*EXP(-$B$4*B$43/365.25)</f>
        <v>-6693.6663454916707</v>
      </c>
      <c r="C96" s="18">
        <f ca="1">C95*EXP(-$B$4*C$43/365.25)</f>
        <v>1390.727980378125</v>
      </c>
      <c r="D96" s="18">
        <f ca="1">D95*EXP(-$B$4*D$43/365.25)</f>
        <v>1362.7854223986872</v>
      </c>
      <c r="E96" s="18">
        <f ca="1">E95*EXP(-$B$4*E$43/365.25)</f>
        <v>1287.528772187658</v>
      </c>
      <c r="F96" s="18">
        <f ca="1">F95*EXP(-$B$4*F$43/365.25)</f>
        <v>1216.227896275263</v>
      </c>
      <c r="G96" s="18">
        <f ca="1">SUM(B96:F96)</f>
        <v>-1436.3962742519379</v>
      </c>
    </row>
    <row r="97" spans="1:7" hidden="1">
      <c r="A97" t="s">
        <v>41</v>
      </c>
      <c r="F97" s="37">
        <f>((1+$D$18)/($B$4-$D$18)*(1-(((1+$D$18)/(1+$B$4))^$B$17)))</f>
        <v>4.9986365289112209</v>
      </c>
      <c r="G97" s="18">
        <f ca="1">F97*F96</f>
        <v>6079.4811898023772</v>
      </c>
    </row>
    <row r="98" spans="1:7" hidden="1">
      <c r="A98" t="s">
        <v>40</v>
      </c>
      <c r="B98" s="37"/>
      <c r="F98" s="18">
        <f>F95*EXP($C$18*$B$17)</f>
        <v>3091.3515500842141</v>
      </c>
    </row>
    <row r="99" spans="1:7" hidden="1">
      <c r="A99" t="s">
        <v>43</v>
      </c>
      <c r="F99" s="18">
        <f ca="1">F98*EXP(-$B$4*B$49/365.25)</f>
        <v>1215.9781831263047</v>
      </c>
      <c r="G99" s="41">
        <f ca="1">F99*B$52</f>
        <v>25535.541845652398</v>
      </c>
    </row>
    <row r="100" spans="1:7" hidden="1">
      <c r="A100" t="s">
        <v>44</v>
      </c>
      <c r="G100" s="18">
        <f ca="1">SUM(G96:G97,G99)</f>
        <v>30178.626761202839</v>
      </c>
    </row>
    <row r="101" spans="1:7" hidden="1">
      <c r="A101" t="s">
        <v>25</v>
      </c>
      <c r="G101" s="42">
        <f ca="1">G100/$G$4</f>
        <v>127.59997308694685</v>
      </c>
    </row>
    <row r="102" spans="1:7" hidden="1"/>
    <row r="103" spans="1:7" hidden="1">
      <c r="A103" s="40" t="s">
        <v>48</v>
      </c>
    </row>
    <row r="104" spans="1:7" hidden="1">
      <c r="A104" t="s">
        <v>37</v>
      </c>
      <c r="B104" s="18">
        <f>$G$3*(1+C$8)</f>
        <v>5692.5439999999999</v>
      </c>
      <c r="C104" s="18">
        <f>B104*(1+D$8)</f>
        <v>6091.0220800000006</v>
      </c>
      <c r="D104" s="18">
        <f>C104*(1+E$8)</f>
        <v>6517.3936256000006</v>
      </c>
      <c r="E104" s="18">
        <f>D104*(1+F$8)</f>
        <v>6973.6111793920008</v>
      </c>
      <c r="F104" s="18">
        <f>E104*(1+G$8)</f>
        <v>7461.7639619494412</v>
      </c>
    </row>
    <row r="105" spans="1:7" hidden="1">
      <c r="A105" t="s">
        <v>38</v>
      </c>
      <c r="B105" s="18">
        <f>B104*C$11</f>
        <v>1423.136</v>
      </c>
      <c r="C105" s="18">
        <f>C104*D$11</f>
        <v>1583.6657408000003</v>
      </c>
      <c r="D105" s="18">
        <f>D104*E$11</f>
        <v>1759.6962789120003</v>
      </c>
      <c r="E105" s="18">
        <f>E104*F$11</f>
        <v>1882.8750184358403</v>
      </c>
      <c r="F105" s="18">
        <f>F104*G$11</f>
        <v>2014.6762697263493</v>
      </c>
    </row>
    <row r="106" spans="1:7" hidden="1">
      <c r="A106" t="s">
        <v>39</v>
      </c>
      <c r="B106" s="37">
        <f>B105-IF($B$12=1,(C$12*B105),-C$13)</f>
        <v>-7076.8639999999996</v>
      </c>
      <c r="C106" s="37">
        <f t="shared" ref="C106" si="12">C105-IF($B$12=1,(D$12*C105),-D$13)</f>
        <v>1408.6657408000003</v>
      </c>
      <c r="D106" s="37">
        <f t="shared" ref="D106" si="13">D105-IF($B$12=1,(E$12*D105),-E$13)</f>
        <v>1584.6962789120003</v>
      </c>
      <c r="E106" s="37">
        <f t="shared" ref="E106" si="14">E105-IF($B$12=1,(F$12*E105),-F$13)</f>
        <v>1707.8750184358403</v>
      </c>
      <c r="F106" s="37">
        <f t="shared" ref="F106" si="15">F105-IF($B$12=1,(G$12*F105),-G$13)</f>
        <v>1839.6762697263493</v>
      </c>
    </row>
    <row r="107" spans="1:7" hidden="1">
      <c r="A107" t="s">
        <v>42</v>
      </c>
      <c r="B107" s="18">
        <f ca="1">B106*EXP(-$B$4*B$43/365.25)</f>
        <v>-6848.1371219005359</v>
      </c>
      <c r="C107" s="18">
        <f ca="1">C106*EXP(-$B$4*C$43/365.25)</f>
        <v>1233.1642475549004</v>
      </c>
      <c r="D107" s="18">
        <f ca="1">D106*EXP(-$B$4*D$43/365.25)</f>
        <v>1255.3339902218768</v>
      </c>
      <c r="E107" s="18">
        <f ca="1">E106*EXP(-$B$4*E$43/365.25)</f>
        <v>1224.2485935280135</v>
      </c>
      <c r="F107" s="18">
        <f ca="1">F106*EXP(-$B$4*F$43/365.25)</f>
        <v>1193.3153076746885</v>
      </c>
      <c r="G107" s="18">
        <f ca="1">SUM(B107:F107)</f>
        <v>-1942.0749829210563</v>
      </c>
    </row>
    <row r="108" spans="1:7" hidden="1">
      <c r="A108" t="s">
        <v>41</v>
      </c>
      <c r="F108" s="37">
        <f>((1+$D$19)/($B$4-$D$19)*(1-(((1+$D$19)/(1+$B$4))^$B$17)))</f>
        <v>4.358120835946381</v>
      </c>
      <c r="G108" s="18">
        <f ca="1">F108*F107</f>
        <v>5200.6123062308261</v>
      </c>
    </row>
    <row r="109" spans="1:7" hidden="1">
      <c r="A109" t="s">
        <v>40</v>
      </c>
      <c r="B109" s="37"/>
      <c r="F109" s="18">
        <f>F106*EXP($C$19*$B$17)</f>
        <v>2362.1910888059256</v>
      </c>
    </row>
    <row r="110" spans="1:7" hidden="1">
      <c r="A110" t="s">
        <v>43</v>
      </c>
      <c r="F110" s="18">
        <f ca="1">F109*EXP(-$B$4*B$49/365.25)</f>
        <v>929.16408303194373</v>
      </c>
      <c r="G110" s="41">
        <f ca="1">F110*B$52</f>
        <v>19512.445743670818</v>
      </c>
    </row>
    <row r="111" spans="1:7" hidden="1">
      <c r="A111" t="s">
        <v>44</v>
      </c>
      <c r="G111" s="18">
        <f ca="1">SUM(G107:G108,G110)</f>
        <v>22770.983066980589</v>
      </c>
    </row>
    <row r="112" spans="1:7" hidden="1">
      <c r="A112" t="s">
        <v>25</v>
      </c>
      <c r="G112" s="42">
        <f ca="1">G111/$G$4</f>
        <v>96.279292278646977</v>
      </c>
    </row>
    <row r="113" spans="1:7" hidden="1"/>
    <row r="114" spans="1:7" hidden="1">
      <c r="A114" s="40" t="s">
        <v>49</v>
      </c>
    </row>
    <row r="115" spans="1:7" hidden="1">
      <c r="A115" t="s">
        <v>37</v>
      </c>
      <c r="B115" s="18">
        <f>$G$3*(1+C$8)</f>
        <v>5692.5439999999999</v>
      </c>
      <c r="C115" s="18">
        <f>B115*(1+D$8)</f>
        <v>6091.0220800000006</v>
      </c>
      <c r="D115" s="18">
        <f>C115*(1+E$8)</f>
        <v>6517.3936256000006</v>
      </c>
      <c r="E115" s="18">
        <f>D115*(1+F$8)</f>
        <v>6973.6111793920008</v>
      </c>
      <c r="F115" s="18">
        <f>E115*(1+G$8)</f>
        <v>7461.7639619494412</v>
      </c>
    </row>
    <row r="116" spans="1:7" hidden="1">
      <c r="A116" t="s">
        <v>38</v>
      </c>
      <c r="B116" s="18">
        <f>B115*C$11</f>
        <v>1423.136</v>
      </c>
      <c r="C116" s="18">
        <f>C115*D$11</f>
        <v>1583.6657408000003</v>
      </c>
      <c r="D116" s="18">
        <f>D115*E$11</f>
        <v>1759.6962789120003</v>
      </c>
      <c r="E116" s="18">
        <f>E115*F$11</f>
        <v>1882.8750184358403</v>
      </c>
      <c r="F116" s="18">
        <f>F115*G$11</f>
        <v>2014.6762697263493</v>
      </c>
    </row>
    <row r="117" spans="1:7" hidden="1">
      <c r="A117" t="s">
        <v>39</v>
      </c>
      <c r="B117" s="37">
        <f>B116-IF($B$12=1,(C$12*B116),-C$13)</f>
        <v>-7076.8639999999996</v>
      </c>
      <c r="C117" s="37">
        <f t="shared" ref="C117" si="16">C116-IF($B$12=1,(D$12*C116),-D$13)</f>
        <v>1408.6657408000003</v>
      </c>
      <c r="D117" s="37">
        <f t="shared" ref="D117" si="17">D116-IF($B$12=1,(E$12*D116),-E$13)</f>
        <v>1584.6962789120003</v>
      </c>
      <c r="E117" s="37">
        <f t="shared" ref="E117" si="18">E116-IF($B$12=1,(F$12*E116),-F$13)</f>
        <v>1707.8750184358403</v>
      </c>
      <c r="F117" s="37">
        <f t="shared" ref="F117" si="19">F116-IF($B$12=1,(G$12*F116),-G$13)</f>
        <v>1839.6762697263493</v>
      </c>
    </row>
    <row r="118" spans="1:7" hidden="1">
      <c r="A118" t="s">
        <v>42</v>
      </c>
      <c r="B118" s="18">
        <f ca="1">B117*EXP(-$B$4*B$43/365.25)</f>
        <v>-6848.1371219005359</v>
      </c>
      <c r="C118" s="18">
        <f ca="1">C117*EXP(-$B$4*C$43/365.25)</f>
        <v>1233.1642475549004</v>
      </c>
      <c r="D118" s="18">
        <f ca="1">D117*EXP(-$B$4*D$43/365.25)</f>
        <v>1255.3339902218768</v>
      </c>
      <c r="E118" s="18">
        <f ca="1">E117*EXP(-$B$4*E$43/365.25)</f>
        <v>1224.2485935280135</v>
      </c>
      <c r="F118" s="18">
        <f ca="1">F117*EXP(-$B$4*F$43/365.25)</f>
        <v>1193.3153076746885</v>
      </c>
      <c r="G118" s="18">
        <f ca="1">SUM(B118:F118)</f>
        <v>-1942.0749829210563</v>
      </c>
    </row>
    <row r="119" spans="1:7" hidden="1">
      <c r="A119" t="s">
        <v>41</v>
      </c>
      <c r="F119" s="37">
        <f>((1+$D$18)/($B$4-$D$18)*(1-(((1+$D$18)/(1+$B$4))^$B$17)))</f>
        <v>4.9986365289112209</v>
      </c>
      <c r="G119" s="18">
        <f ca="1">F119*F118</f>
        <v>5964.9494874516304</v>
      </c>
    </row>
    <row r="120" spans="1:7" hidden="1">
      <c r="A120" t="s">
        <v>40</v>
      </c>
      <c r="B120" s="37"/>
      <c r="F120" s="18">
        <f>F117*EXP($C$18*$B$17)</f>
        <v>3033.1133971000986</v>
      </c>
    </row>
    <row r="121" spans="1:7" hidden="1">
      <c r="A121" t="s">
        <v>43</v>
      </c>
      <c r="F121" s="18">
        <f ca="1">F120*EXP(-$B$4*B$49/365.25)</f>
        <v>1193.0702988863748</v>
      </c>
      <c r="G121" s="41">
        <f ca="1">F121*B$52</f>
        <v>25054.47627661387</v>
      </c>
    </row>
    <row r="122" spans="1:7" hidden="1">
      <c r="A122" t="s">
        <v>44</v>
      </c>
      <c r="G122" s="18">
        <f ca="1">SUM(G118:G119,G121)</f>
        <v>29077.350781144443</v>
      </c>
    </row>
    <row r="123" spans="1:7" hidden="1">
      <c r="A123" t="s">
        <v>25</v>
      </c>
      <c r="G123" s="42">
        <f ca="1">G122/$G$4</f>
        <v>122.94360530292937</v>
      </c>
    </row>
    <row r="124" spans="1:7" hidden="1"/>
    <row r="125" spans="1:7" hidden="1">
      <c r="A125" s="40" t="s">
        <v>50</v>
      </c>
    </row>
    <row r="126" spans="1:7" hidden="1">
      <c r="A126" t="s">
        <v>37</v>
      </c>
      <c r="B126" s="18">
        <f>$G$3*(1+C$8)</f>
        <v>5692.5439999999999</v>
      </c>
      <c r="C126" s="18">
        <f>B126*(1+D$8)</f>
        <v>6091.0220800000006</v>
      </c>
      <c r="D126" s="18">
        <f>C126*(1+E$8)</f>
        <v>6517.3936256000006</v>
      </c>
      <c r="E126" s="18">
        <f>D126*(1+F$8)</f>
        <v>6973.6111793920008</v>
      </c>
      <c r="F126" s="18">
        <f>E126*(1+G$8)</f>
        <v>7461.7639619494412</v>
      </c>
    </row>
    <row r="127" spans="1:7" hidden="1">
      <c r="A127" t="s">
        <v>38</v>
      </c>
      <c r="B127" s="18">
        <f>B126*C$10</f>
        <v>1593.9123200000001</v>
      </c>
      <c r="C127" s="18">
        <f>C126*D$10</f>
        <v>1827.3066240000001</v>
      </c>
      <c r="D127" s="18">
        <f>D126*E$10</f>
        <v>2020.3920239360002</v>
      </c>
      <c r="E127" s="18">
        <f>E126*F$10</f>
        <v>2161.8194656115202</v>
      </c>
      <c r="F127" s="18">
        <f>F126*G$10</f>
        <v>2313.1468282043265</v>
      </c>
    </row>
    <row r="128" spans="1:7" hidden="1">
      <c r="A128" t="s">
        <v>39</v>
      </c>
      <c r="B128" s="37">
        <f>B127-IF($B$12=1,(C$12*B127),-C$13)</f>
        <v>-6906.0876799999996</v>
      </c>
      <c r="C128" s="37">
        <f t="shared" ref="C128" si="20">C127-IF($B$12=1,(D$12*C127),-D$13)</f>
        <v>1652.3066240000001</v>
      </c>
      <c r="D128" s="37">
        <f t="shared" ref="D128" si="21">D127-IF($B$12=1,(E$12*D127),-E$13)</f>
        <v>1845.3920239360002</v>
      </c>
      <c r="E128" s="37">
        <f t="shared" ref="E128" si="22">E127-IF($B$12=1,(F$12*E127),-F$13)</f>
        <v>1986.8194656115202</v>
      </c>
      <c r="F128" s="37">
        <f t="shared" ref="F128" si="23">F127-IF($B$12=1,(G$12*F127),-G$13)</f>
        <v>2138.1468282043265</v>
      </c>
    </row>
    <row r="129" spans="1:11" hidden="1">
      <c r="A129" t="s">
        <v>42</v>
      </c>
      <c r="B129" s="18">
        <f ca="1">B128*EXP(-$B$4*B$43/365.25)</f>
        <v>-6682.8803561164877</v>
      </c>
      <c r="C129" s="18">
        <f ca="1">C128*EXP(-$B$4*C$43/365.25)</f>
        <v>1446.4506345968043</v>
      </c>
      <c r="D129" s="18">
        <f ca="1">D128*EXP(-$B$4*D$43/365.25)</f>
        <v>1461.8468937919722</v>
      </c>
      <c r="E129" s="18">
        <f ca="1">E128*EXP(-$B$4*E$43/365.25)</f>
        <v>1424.2031238308432</v>
      </c>
      <c r="F129" s="18">
        <f ca="1">F128*EXP(-$B$4*F$43/365.25)</f>
        <v>1386.9197435110889</v>
      </c>
      <c r="G129" s="18">
        <f ca="1">SUM(B129:F129)</f>
        <v>-963.45996038577937</v>
      </c>
    </row>
    <row r="130" spans="1:11" hidden="1">
      <c r="A130" t="s">
        <v>41</v>
      </c>
      <c r="F130" s="37">
        <f>((1+$D$19)/($B$4-$D$19)*(1-(((1+$D$19)/(1+$B$4))^$B$17)))</f>
        <v>4.358120835946381</v>
      </c>
      <c r="G130" s="18">
        <f ca="1">F130*F129</f>
        <v>6044.3638319810871</v>
      </c>
    </row>
    <row r="131" spans="1:11" hidden="1">
      <c r="A131" t="s">
        <v>40</v>
      </c>
      <c r="B131" s="37"/>
      <c r="F131" s="18">
        <f>F128*EXP($C$19*$B$17)</f>
        <v>2745.434872024633</v>
      </c>
    </row>
    <row r="132" spans="1:11" hidden="1">
      <c r="A132" t="s">
        <v>43</v>
      </c>
      <c r="F132" s="18">
        <f ca="1">F131*EXP(-$B$4*B$49/365.25)</f>
        <v>1079.9124116068806</v>
      </c>
      <c r="G132" s="41">
        <f ca="1">F132*B$52</f>
        <v>22678.160643744493</v>
      </c>
    </row>
    <row r="133" spans="1:11" hidden="1">
      <c r="A133" t="s">
        <v>44</v>
      </c>
      <c r="G133" s="18">
        <f ca="1">SUM(G129:G130,G132)</f>
        <v>27759.0645153398</v>
      </c>
    </row>
    <row r="134" spans="1:11" hidden="1">
      <c r="A134" t="s">
        <v>25</v>
      </c>
      <c r="G134" s="42">
        <f ca="1">G133/$G$4</f>
        <v>117.36968395227943</v>
      </c>
    </row>
    <row r="135" spans="1:11" hidden="1"/>
    <row r="136" spans="1:11" hidden="1">
      <c r="A136" s="40" t="s">
        <v>49</v>
      </c>
    </row>
    <row r="137" spans="1:11" hidden="1">
      <c r="A137" t="s">
        <v>37</v>
      </c>
      <c r="B137" s="18">
        <f>$G$3*(1+C$8)</f>
        <v>5692.5439999999999</v>
      </c>
      <c r="C137" s="18">
        <f>B137*(1+D$8)</f>
        <v>6091.0220800000006</v>
      </c>
      <c r="D137" s="18">
        <f>C137*(1+E$8)</f>
        <v>6517.3936256000006</v>
      </c>
      <c r="E137" s="18">
        <f>D137*(1+F$8)</f>
        <v>6973.6111793920008</v>
      </c>
      <c r="F137" s="18">
        <f>E137*(1+G$8)</f>
        <v>7461.7639619494412</v>
      </c>
    </row>
    <row r="138" spans="1:11" hidden="1">
      <c r="A138" t="s">
        <v>38</v>
      </c>
      <c r="B138" s="18">
        <f>B137*C$10</f>
        <v>1593.9123200000001</v>
      </c>
      <c r="C138" s="18">
        <f>C137*D$10</f>
        <v>1827.3066240000001</v>
      </c>
      <c r="D138" s="18">
        <f>D137*E$10</f>
        <v>2020.3920239360002</v>
      </c>
      <c r="E138" s="18">
        <f>E137*F$10</f>
        <v>2161.8194656115202</v>
      </c>
      <c r="F138" s="18">
        <f>F137*G$10</f>
        <v>2313.1468282043265</v>
      </c>
    </row>
    <row r="139" spans="1:11" hidden="1">
      <c r="A139" t="s">
        <v>39</v>
      </c>
      <c r="B139" s="37">
        <f>B138-IF($B$12=1,(C$12*B138),-C$13)</f>
        <v>-6906.0876799999996</v>
      </c>
      <c r="C139" s="37">
        <f t="shared" ref="C139" si="24">C138-IF($B$12=1,(D$12*C138),-D$13)</f>
        <v>1652.3066240000001</v>
      </c>
      <c r="D139" s="37">
        <f t="shared" ref="D139" si="25">D138-IF($B$12=1,(E$12*D138),-E$13)</f>
        <v>1845.3920239360002</v>
      </c>
      <c r="E139" s="37">
        <f t="shared" ref="E139" si="26">E138-IF($B$12=1,(F$12*E138),-F$13)</f>
        <v>1986.8194656115202</v>
      </c>
      <c r="F139" s="37">
        <f t="shared" ref="F139" si="27">F138-IF($B$12=1,(G$12*F138),-G$13)</f>
        <v>2138.1468282043265</v>
      </c>
    </row>
    <row r="140" spans="1:11" hidden="1">
      <c r="A140" t="s">
        <v>42</v>
      </c>
      <c r="B140" s="18">
        <f ca="1">B139*EXP(-$B$4*B$43/365.25)</f>
        <v>-6682.8803561164877</v>
      </c>
      <c r="C140" s="18">
        <f ca="1">C139*EXP(-$B$4*C$43/365.25)</f>
        <v>1446.4506345968043</v>
      </c>
      <c r="D140" s="18">
        <f ca="1">D139*EXP(-$B$4*D$43/365.25)</f>
        <v>1461.8468937919722</v>
      </c>
      <c r="E140" s="18">
        <f ca="1">E139*EXP(-$B$4*E$43/365.25)</f>
        <v>1424.2031238308432</v>
      </c>
      <c r="F140" s="18">
        <f ca="1">F139*EXP(-$B$4*F$43/365.25)</f>
        <v>1386.9197435110889</v>
      </c>
      <c r="G140" s="18">
        <f ca="1">SUM(B140:F140)</f>
        <v>-963.45996038577937</v>
      </c>
      <c r="H140" s="18"/>
      <c r="I140" s="18"/>
      <c r="J140" s="18"/>
      <c r="K140" s="18"/>
    </row>
    <row r="141" spans="1:11" hidden="1">
      <c r="A141" t="s">
        <v>41</v>
      </c>
      <c r="F141" s="37">
        <f>((1+$D$18)/($B$4-$D$18)*(1-(((1+$D$18)/(1+$B$4))^$B$17)))</f>
        <v>4.9986365289112209</v>
      </c>
      <c r="G141" s="18">
        <f ca="1">F141*F140</f>
        <v>6932.7076925827105</v>
      </c>
    </row>
    <row r="142" spans="1:11" hidden="1">
      <c r="A142" t="s">
        <v>40</v>
      </c>
      <c r="B142" s="37"/>
      <c r="F142" s="18">
        <f>F139*EXP($C$18*$B$17)</f>
        <v>3525.2081555404861</v>
      </c>
    </row>
    <row r="143" spans="1:11" hidden="1">
      <c r="A143" t="s">
        <v>43</v>
      </c>
      <c r="F143" s="18">
        <f ca="1">F142*EXP(-$B$4*B$49/365.25)</f>
        <v>1386.6349842997888</v>
      </c>
      <c r="G143" s="41">
        <f ca="1">F143*B$52</f>
        <v>29119.334670295564</v>
      </c>
    </row>
    <row r="144" spans="1:11" hidden="1">
      <c r="A144" t="s">
        <v>44</v>
      </c>
      <c r="G144" s="18">
        <f ca="1">SUM(G140:G141,G143)</f>
        <v>35088.582402492495</v>
      </c>
    </row>
    <row r="145" spans="1:11" hidden="1">
      <c r="A145" t="s">
        <v>25</v>
      </c>
      <c r="G145" s="42">
        <f ca="1">G144/$G$4</f>
        <v>148.36003657969974</v>
      </c>
    </row>
    <row r="146" spans="1:11">
      <c r="K146" s="104"/>
    </row>
  </sheetData>
  <mergeCells count="17">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2:F42"/>
  </mergeCells>
  <conditionalFormatting sqref="C12:G12">
    <cfRule type="expression" dxfId="13" priority="3">
      <formula>$B$12=0</formula>
    </cfRule>
    <cfRule type="expression" dxfId="12" priority="4">
      <formula>$B$12=1</formula>
    </cfRule>
  </conditionalFormatting>
  <conditionalFormatting sqref="C13:G13">
    <cfRule type="expression" dxfId="11" priority="1">
      <formula>$B$12=0</formula>
    </cfRule>
    <cfRule type="expression" dxfId="10" priority="2">
      <formula>$B$12=1</formula>
    </cfRule>
  </conditionalFormatting>
  <dataValidations count="5">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 type="list" allowBlank="1" showInputMessage="1" showErrorMessage="1" sqref="B12" xr:uid="{EB98D554-094B-4435-9177-079D33FC87EE}">
      <formula1>$G$33:$G$34</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4.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12"/>
  <sheetViews>
    <sheetView workbookViewId="0"/>
  </sheetViews>
  <sheetFormatPr defaultRowHeight="14.2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C3"/>
  <sheetViews>
    <sheetView workbookViewId="0"/>
  </sheetViews>
  <sheetFormatPr defaultRowHeight="14.25"/>
  <cols>
    <col min="1" max="5" width="6.265625" bestFit="1" customWidth="1"/>
    <col min="6" max="7" width="11" bestFit="1" customWidth="1"/>
    <col min="8" max="8" width="6.1328125" bestFit="1" customWidth="1"/>
    <col min="9" max="10" width="11" bestFit="1" customWidth="1"/>
    <col min="11" max="11" width="6.1328125" bestFit="1" customWidth="1"/>
    <col min="12" max="13" width="11" bestFit="1" customWidth="1"/>
    <col min="14" max="14" width="6.1328125" bestFit="1" customWidth="1"/>
    <col min="15" max="16" width="11" bestFit="1" customWidth="1"/>
    <col min="17" max="17" width="6.1328125" bestFit="1" customWidth="1"/>
    <col min="18" max="19" width="11" bestFit="1" customWidth="1"/>
    <col min="20" max="20" width="6.1328125" bestFit="1" customWidth="1"/>
    <col min="21" max="22" width="11" bestFit="1" customWidth="1"/>
    <col min="23" max="23" width="6.1328125" bestFit="1" customWidth="1"/>
    <col min="24" max="25" width="11" bestFit="1" customWidth="1"/>
    <col min="26" max="26" width="6.1328125" bestFit="1" customWidth="1"/>
    <col min="27" max="28" width="11" bestFit="1" customWidth="1"/>
    <col min="29" max="29" width="6.1328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45"/>
  <sheetViews>
    <sheetView showGridLines="0" zoomScaleNormal="100" workbookViewId="0">
      <selection activeCell="K6" sqref="G6:K6"/>
    </sheetView>
  </sheetViews>
  <sheetFormatPr defaultRowHeight="14.25"/>
  <cols>
    <col min="1" max="1" width="38.73046875" bestFit="1" customWidth="1"/>
    <col min="2" max="7" width="11.73046875" customWidth="1"/>
    <col min="8" max="11" width="10.73046875" customWidth="1"/>
    <col min="12" max="12" width="11.59765625" bestFit="1" customWidth="1"/>
    <col min="13" max="13" width="12.59765625" bestFit="1" customWidth="1"/>
    <col min="14" max="14" width="15" bestFit="1" customWidth="1"/>
    <col min="15" max="15" width="13.1328125" bestFit="1" customWidth="1"/>
    <col min="16" max="16" width="16" bestFit="1" customWidth="1"/>
  </cols>
  <sheetData>
    <row r="1" spans="1:11" s="9" customFormat="1" ht="14.65" thickBot="1">
      <c r="A1" s="58" t="s">
        <v>129</v>
      </c>
      <c r="B1" s="60">
        <v>-9</v>
      </c>
      <c r="C1" s="60">
        <v>-8</v>
      </c>
      <c r="D1" s="60">
        <v>-7</v>
      </c>
      <c r="E1" s="60">
        <v>-6</v>
      </c>
      <c r="F1" s="60">
        <v>-5</v>
      </c>
      <c r="G1" s="60">
        <v>-4</v>
      </c>
      <c r="H1" s="60">
        <v>-3</v>
      </c>
      <c r="I1" s="60">
        <v>-2</v>
      </c>
      <c r="J1" s="60">
        <v>-1</v>
      </c>
      <c r="K1" s="60">
        <v>0</v>
      </c>
    </row>
    <row r="2" spans="1:11">
      <c r="A2" s="7" t="s">
        <v>130</v>
      </c>
      <c r="B2" s="105">
        <f>DATE(YEAR('Valuation Model'!$B3)+B1,MONTH('Valuation Model'!$B3),DAY('Valuation Model'!$B3))</f>
        <v>39903</v>
      </c>
      <c r="C2" s="105">
        <f>DATE(YEAR('Valuation Model'!$B3)+C1,MONTH('Valuation Model'!$B3),DAY('Valuation Model'!$B3))</f>
        <v>40268</v>
      </c>
      <c r="D2" s="105">
        <f>DATE(YEAR('Valuation Model'!$B3)+D1,MONTH('Valuation Model'!$B3),DAY('Valuation Model'!$B3))</f>
        <v>40633</v>
      </c>
      <c r="E2" s="105">
        <f>DATE(YEAR('Valuation Model'!$B3)+E1,MONTH('Valuation Model'!$B3),DAY('Valuation Model'!$B3))</f>
        <v>40999</v>
      </c>
      <c r="F2" s="105">
        <f>DATE(YEAR('Valuation Model'!$B3)+F1,MONTH('Valuation Model'!$B3),DAY('Valuation Model'!$B3))</f>
        <v>41364</v>
      </c>
      <c r="G2" s="105">
        <f>DATE(YEAR('Valuation Model'!$B3)+G1,MONTH('Valuation Model'!$B3),DAY('Valuation Model'!$B3))</f>
        <v>41729</v>
      </c>
      <c r="H2" s="105">
        <f>DATE(YEAR('Valuation Model'!$B3)+H1,MONTH('Valuation Model'!$B3),DAY('Valuation Model'!$B3))</f>
        <v>42094</v>
      </c>
      <c r="I2" s="105">
        <f>DATE(YEAR('Valuation Model'!$B3)+I1,MONTH('Valuation Model'!$B3),DAY('Valuation Model'!$B3))</f>
        <v>42460</v>
      </c>
      <c r="J2" s="105">
        <f>DATE(YEAR('Valuation Model'!$B3)+J1,MONTH('Valuation Model'!$B3),DAY('Valuation Model'!$B3))</f>
        <v>42825</v>
      </c>
      <c r="K2" s="105">
        <f>DATE(YEAR('Valuation Model'!$B3)+K1,MONTH('Valuation Model'!$B3),DAY('Valuation Model'!$B3))</f>
        <v>43190</v>
      </c>
    </row>
    <row r="3" spans="1:11">
      <c r="A3" s="1" t="s">
        <v>37</v>
      </c>
      <c r="B3" s="106">
        <v>903.29700000000003</v>
      </c>
      <c r="C3" s="106">
        <v>947.72900000000004</v>
      </c>
      <c r="D3" s="106">
        <v>1487.2049999999999</v>
      </c>
      <c r="E3" s="106">
        <v>1383.1759999999999</v>
      </c>
      <c r="F3" s="106">
        <v>1581.623</v>
      </c>
      <c r="G3" s="106">
        <v>1931.2170000000001</v>
      </c>
      <c r="H3" s="106">
        <v>2147.0360000000001</v>
      </c>
      <c r="I3" s="106">
        <v>2173.3339999999998</v>
      </c>
      <c r="J3" s="106">
        <v>3407.8069999999998</v>
      </c>
      <c r="K3" s="106">
        <v>3980.8</v>
      </c>
    </row>
    <row r="4" spans="1:11">
      <c r="A4" s="107" t="s">
        <v>131</v>
      </c>
      <c r="B4" s="107"/>
      <c r="C4" s="108">
        <f t="shared" ref="C4:F4" si="0">IFERROR(C3/B3-1,"")</f>
        <v>4.9188694305416725E-2</v>
      </c>
      <c r="D4" s="108">
        <f t="shared" si="0"/>
        <v>0.56923023353722413</v>
      </c>
      <c r="E4" s="108">
        <f t="shared" si="0"/>
        <v>-6.9949334489865178E-2</v>
      </c>
      <c r="F4" s="108">
        <f t="shared" si="0"/>
        <v>0.14347198042765363</v>
      </c>
      <c r="G4" s="108">
        <f>IFERROR(G3/F3-1,"")</f>
        <v>0.2210349748328142</v>
      </c>
      <c r="H4" s="108">
        <f t="shared" ref="H4:K4" si="1">IFERROR(H3/G3-1,"")</f>
        <v>0.11175284807455599</v>
      </c>
      <c r="I4" s="108">
        <f t="shared" si="1"/>
        <v>1.2248513765023006E-2</v>
      </c>
      <c r="J4" s="108">
        <f t="shared" si="1"/>
        <v>0.56800887484390339</v>
      </c>
      <c r="K4" s="108">
        <f t="shared" si="1"/>
        <v>0.16814127091117559</v>
      </c>
    </row>
    <row r="5" spans="1:11">
      <c r="A5" s="107" t="s">
        <v>132</v>
      </c>
      <c r="B5" s="107"/>
      <c r="C5" s="107"/>
      <c r="D5" s="107"/>
      <c r="E5" s="108">
        <f>IFERROR(SUM(C3:E3)/SUM(B3:D3)-1,"")</f>
        <v>0.14375248447456168</v>
      </c>
      <c r="F5" s="108">
        <f t="shared" ref="F5:K5" si="2">IFERROR(SUM(D3:F3)/SUM(C3:E3)-1,"")</f>
        <v>0.16602297995605153</v>
      </c>
      <c r="G5" s="108">
        <f t="shared" si="2"/>
        <v>9.9733064031388929E-2</v>
      </c>
      <c r="H5" s="108">
        <f t="shared" si="2"/>
        <v>0.15601664700442175</v>
      </c>
      <c r="I5" s="108">
        <f t="shared" si="2"/>
        <v>0.1045448698876088</v>
      </c>
      <c r="J5" s="108">
        <f t="shared" si="2"/>
        <v>0.23619442551147407</v>
      </c>
      <c r="K5" s="108">
        <f t="shared" si="2"/>
        <v>0.23728286761548034</v>
      </c>
    </row>
    <row r="6" spans="1:11">
      <c r="A6" s="107" t="s">
        <v>133</v>
      </c>
      <c r="B6" s="107"/>
      <c r="C6" s="107"/>
      <c r="D6" s="107"/>
      <c r="E6" s="107"/>
      <c r="F6" s="109"/>
      <c r="G6" s="108">
        <f>IFERROR(SUM(C3:G3)/SUM(B3:F3)-1,"")</f>
        <v>0.1630834693790133</v>
      </c>
      <c r="H6" s="108">
        <f t="shared" ref="H6:K6" si="3">IFERROR(SUM(D3:H3)/SUM(C3:G3)-1,"")</f>
        <v>0.1635950320217705</v>
      </c>
      <c r="I6" s="108">
        <f t="shared" si="3"/>
        <v>8.04347395395002E-2</v>
      </c>
      <c r="J6" s="108">
        <f t="shared" si="3"/>
        <v>0.21967732254269756</v>
      </c>
      <c r="K6" s="108">
        <f t="shared" si="3"/>
        <v>0.21343059974021927</v>
      </c>
    </row>
    <row r="8" spans="1:11" s="9" customFormat="1" ht="14.65" thickBot="1">
      <c r="A8" s="58" t="s">
        <v>134</v>
      </c>
      <c r="B8" s="110">
        <f t="shared" ref="B8:J8" si="4">B2</f>
        <v>39903</v>
      </c>
      <c r="C8" s="110">
        <f t="shared" si="4"/>
        <v>40268</v>
      </c>
      <c r="D8" s="110">
        <f t="shared" si="4"/>
        <v>40633</v>
      </c>
      <c r="E8" s="110">
        <f t="shared" si="4"/>
        <v>40999</v>
      </c>
      <c r="F8" s="110">
        <f t="shared" si="4"/>
        <v>41364</v>
      </c>
      <c r="G8" s="110">
        <f t="shared" si="4"/>
        <v>41729</v>
      </c>
      <c r="H8" s="110">
        <f t="shared" si="4"/>
        <v>42094</v>
      </c>
      <c r="I8" s="110">
        <f t="shared" si="4"/>
        <v>42460</v>
      </c>
      <c r="J8" s="110">
        <f t="shared" si="4"/>
        <v>42825</v>
      </c>
      <c r="K8" s="110">
        <f>K2</f>
        <v>43190</v>
      </c>
    </row>
    <row r="9" spans="1:11">
      <c r="A9" s="111" t="s">
        <v>135</v>
      </c>
      <c r="B9" s="112">
        <v>308.65300000000002</v>
      </c>
      <c r="C9" s="112">
        <v>452.04700000000003</v>
      </c>
      <c r="D9" s="112">
        <v>582.66099999999994</v>
      </c>
      <c r="E9" s="112">
        <v>411.97800000000001</v>
      </c>
      <c r="F9" s="112">
        <v>459.36500000000001</v>
      </c>
      <c r="G9" s="112">
        <v>676.56399999999996</v>
      </c>
      <c r="H9" s="112">
        <v>721.18200000000002</v>
      </c>
      <c r="I9" s="112">
        <v>744.48299999999995</v>
      </c>
      <c r="J9" s="112">
        <v>1059.452</v>
      </c>
      <c r="K9" s="112">
        <v>1419.6</v>
      </c>
    </row>
    <row r="10" spans="1:11">
      <c r="A10" s="113" t="s">
        <v>136</v>
      </c>
      <c r="B10" s="112">
        <v>-95.677600000000012</v>
      </c>
      <c r="C10" s="112">
        <v>-92.140900000000045</v>
      </c>
      <c r="D10" s="112">
        <v>-109.47089999999997</v>
      </c>
      <c r="E10" s="112">
        <v>-90.641161389604164</v>
      </c>
      <c r="F10" s="112">
        <v>-93.924248332900532</v>
      </c>
      <c r="G10" s="112">
        <v>-96.035636838515572</v>
      </c>
      <c r="H10" s="112">
        <v>-101.47726770009126</v>
      </c>
      <c r="I10" s="112">
        <v>-109.22729924858756</v>
      </c>
      <c r="J10" s="112">
        <v>-134.63049595055415</v>
      </c>
      <c r="K10" s="112">
        <v>-133.47705043026463</v>
      </c>
    </row>
    <row r="11" spans="1:11">
      <c r="A11" s="114" t="s">
        <v>137</v>
      </c>
      <c r="B11" s="5">
        <f t="shared" ref="B11:K11" si="5">B9+B10</f>
        <v>212.97540000000001</v>
      </c>
      <c r="C11" s="5">
        <f t="shared" si="5"/>
        <v>359.90609999999998</v>
      </c>
      <c r="D11" s="5">
        <f t="shared" si="5"/>
        <v>473.19009999999997</v>
      </c>
      <c r="E11" s="5">
        <f t="shared" si="5"/>
        <v>321.33683861039583</v>
      </c>
      <c r="F11" s="5">
        <f t="shared" si="5"/>
        <v>365.44075166709945</v>
      </c>
      <c r="G11" s="5">
        <f t="shared" si="5"/>
        <v>580.52836316148444</v>
      </c>
      <c r="H11" s="5">
        <f t="shared" si="5"/>
        <v>619.70473229990876</v>
      </c>
      <c r="I11" s="5">
        <f t="shared" si="5"/>
        <v>635.25570075141241</v>
      </c>
      <c r="J11" s="5">
        <f t="shared" si="5"/>
        <v>924.82150404944582</v>
      </c>
      <c r="K11" s="5">
        <f t="shared" si="5"/>
        <v>1286.1229495697353</v>
      </c>
    </row>
    <row r="12" spans="1:11">
      <c r="A12" s="107" t="s">
        <v>127</v>
      </c>
      <c r="B12" s="108">
        <f t="shared" ref="B12:K12" si="6">IFERROR(B11/B$3,"")</f>
        <v>0.23577560868684386</v>
      </c>
      <c r="C12" s="108">
        <f t="shared" si="6"/>
        <v>0.37975634384934931</v>
      </c>
      <c r="D12" s="108">
        <f t="shared" si="6"/>
        <v>0.31817409166859983</v>
      </c>
      <c r="E12" s="108">
        <f t="shared" si="6"/>
        <v>0.23231811324834717</v>
      </c>
      <c r="F12" s="108">
        <f t="shared" si="6"/>
        <v>0.23105427252075839</v>
      </c>
      <c r="G12" s="108">
        <f t="shared" si="6"/>
        <v>0.30060234720463025</v>
      </c>
      <c r="H12" s="108">
        <f t="shared" si="6"/>
        <v>0.28863266954997902</v>
      </c>
      <c r="I12" s="108">
        <f t="shared" si="6"/>
        <v>0.29229547816921486</v>
      </c>
      <c r="J12" s="108">
        <f t="shared" si="6"/>
        <v>0.271383181045595</v>
      </c>
      <c r="K12" s="108">
        <f t="shared" si="6"/>
        <v>0.32308152873033946</v>
      </c>
    </row>
    <row r="13" spans="1:11">
      <c r="A13" s="107" t="s">
        <v>138</v>
      </c>
      <c r="B13" s="107"/>
      <c r="C13" s="108">
        <f t="shared" ref="C13:F13" si="7">IFERROR(C11/B11-1,"")</f>
        <v>0.68989517099157927</v>
      </c>
      <c r="D13" s="108">
        <f t="shared" si="7"/>
        <v>0.31475987764586377</v>
      </c>
      <c r="E13" s="108">
        <f t="shared" si="7"/>
        <v>-0.32091385975658437</v>
      </c>
      <c r="F13" s="108">
        <f t="shared" si="7"/>
        <v>0.13725134425118712</v>
      </c>
      <c r="G13" s="108">
        <f>IFERROR(G11/F11-1,"")</f>
        <v>0.58857040577215214</v>
      </c>
      <c r="H13" s="108">
        <f t="shared" ref="H13:K13" si="8">IFERROR(H11/G11-1,"")</f>
        <v>6.7483988077817081E-2</v>
      </c>
      <c r="I13" s="108">
        <f t="shared" si="8"/>
        <v>2.5094157977121334E-2</v>
      </c>
      <c r="J13" s="108">
        <f t="shared" si="8"/>
        <v>0.45582558795697614</v>
      </c>
      <c r="K13" s="108">
        <f t="shared" si="8"/>
        <v>0.39067154465838683</v>
      </c>
    </row>
    <row r="14" spans="1:11">
      <c r="A14" s="107" t="s">
        <v>139</v>
      </c>
      <c r="B14" s="107"/>
      <c r="C14" s="107"/>
      <c r="D14" s="107"/>
      <c r="E14" s="108">
        <f>IFERROR(SUM(C11:E11)/SUM(B11:D11)-1,"")</f>
        <v>0.10358893082499865</v>
      </c>
      <c r="F14" s="108">
        <f t="shared" ref="F14:K14" si="9">IFERROR(SUM(D11:F11)/SUM(C11:E11)-1,"")</f>
        <v>4.7942595906314001E-3</v>
      </c>
      <c r="G14" s="108">
        <f t="shared" si="9"/>
        <v>9.2535562896416845E-2</v>
      </c>
      <c r="H14" s="108">
        <f t="shared" si="9"/>
        <v>0.23543477632994425</v>
      </c>
      <c r="I14" s="108">
        <f t="shared" si="9"/>
        <v>0.1723315169242714</v>
      </c>
      <c r="J14" s="108">
        <f t="shared" si="9"/>
        <v>0.18757572456903437</v>
      </c>
      <c r="K14" s="108">
        <f t="shared" si="9"/>
        <v>0.30572701146253212</v>
      </c>
    </row>
    <row r="15" spans="1:11">
      <c r="A15" s="107" t="s">
        <v>133</v>
      </c>
      <c r="B15" s="107"/>
      <c r="C15" s="107"/>
      <c r="D15" s="107"/>
      <c r="E15" s="107"/>
      <c r="F15" s="108"/>
      <c r="G15" s="108">
        <f>IFERROR(SUM(C11:G11)/SUM(B11:F11)-1,"")</f>
        <v>0.21210903131311998</v>
      </c>
      <c r="H15" s="108">
        <f t="shared" ref="H15:K15" si="10">IFERROR(SUM(D11:H11)/SUM(C11:G11)-1,"")</f>
        <v>0.12368994760100671</v>
      </c>
      <c r="I15" s="108">
        <f t="shared" si="10"/>
        <v>6.8666022709027885E-2</v>
      </c>
      <c r="J15" s="108">
        <f t="shared" si="10"/>
        <v>0.23926285846388762</v>
      </c>
      <c r="K15" s="108">
        <f t="shared" si="10"/>
        <v>0.29454751277596136</v>
      </c>
    </row>
    <row r="16" spans="1:11" s="9" customFormat="1">
      <c r="A16"/>
      <c r="B16"/>
      <c r="C16"/>
      <c r="D16"/>
      <c r="E16"/>
      <c r="F16" s="98">
        <f>AVERAGE(B12:F12)</f>
        <v>0.27941568599477973</v>
      </c>
      <c r="G16" s="98">
        <f t="shared" ref="G16:K16" si="11">AVERAGE(C12:G12)</f>
        <v>0.29238103369833701</v>
      </c>
      <c r="H16" s="98">
        <f t="shared" si="11"/>
        <v>0.27415629883846293</v>
      </c>
      <c r="I16" s="98">
        <f t="shared" si="11"/>
        <v>0.26898057613858595</v>
      </c>
      <c r="J16" s="98">
        <f t="shared" si="11"/>
        <v>0.27679358969803552</v>
      </c>
      <c r="K16" s="98">
        <f t="shared" si="11"/>
        <v>0.2951990409399517</v>
      </c>
    </row>
    <row r="17" spans="1:16" s="9" customFormat="1" ht="14.65" thickBot="1">
      <c r="A17" s="58" t="s">
        <v>140</v>
      </c>
      <c r="B17" s="110">
        <f t="shared" ref="B17:J17" si="12">B2</f>
        <v>39903</v>
      </c>
      <c r="C17" s="110">
        <f t="shared" si="12"/>
        <v>40268</v>
      </c>
      <c r="D17" s="110">
        <f t="shared" si="12"/>
        <v>40633</v>
      </c>
      <c r="E17" s="110">
        <f t="shared" si="12"/>
        <v>40999</v>
      </c>
      <c r="F17" s="110">
        <f t="shared" si="12"/>
        <v>41364</v>
      </c>
      <c r="G17" s="110">
        <f t="shared" si="12"/>
        <v>41729</v>
      </c>
      <c r="H17" s="110">
        <f t="shared" si="12"/>
        <v>42094</v>
      </c>
      <c r="I17" s="110">
        <f t="shared" si="12"/>
        <v>42460</v>
      </c>
      <c r="J17" s="110">
        <f t="shared" si="12"/>
        <v>42825</v>
      </c>
      <c r="K17" s="110">
        <f>K2</f>
        <v>43190</v>
      </c>
    </row>
    <row r="18" spans="1:16">
      <c r="A18" s="111" t="s">
        <v>141</v>
      </c>
      <c r="B18" s="112">
        <v>-102.37</v>
      </c>
      <c r="C18" s="112">
        <v>-47.603999999999999</v>
      </c>
      <c r="D18" s="112">
        <v>-124.45399999999999</v>
      </c>
      <c r="E18" s="112">
        <v>-62.37</v>
      </c>
      <c r="F18" s="112">
        <v>-50.817999999999998</v>
      </c>
      <c r="G18" s="112">
        <v>-113.072</v>
      </c>
      <c r="H18" s="112">
        <v>-149.47200000000001</v>
      </c>
      <c r="I18" s="112">
        <v>-97.894999999999996</v>
      </c>
      <c r="J18" s="112">
        <v>-75.31</v>
      </c>
      <c r="K18" s="112">
        <v>-206.8</v>
      </c>
    </row>
    <row r="19" spans="1:16" s="116" customFormat="1">
      <c r="A19" s="113" t="s">
        <v>178</v>
      </c>
      <c r="B19" s="115">
        <f t="shared" ref="B19:K19" si="13">B18-B10</f>
        <v>-6.6923999999999921</v>
      </c>
      <c r="C19" s="115">
        <f t="shared" si="13"/>
        <v>44.536900000000045</v>
      </c>
      <c r="D19" s="115">
        <f t="shared" si="13"/>
        <v>-14.983100000000022</v>
      </c>
      <c r="E19" s="115">
        <f t="shared" si="13"/>
        <v>28.271161389604167</v>
      </c>
      <c r="F19" s="115">
        <f t="shared" si="13"/>
        <v>43.106248332900535</v>
      </c>
      <c r="G19" s="115">
        <f t="shared" si="13"/>
        <v>-17.036363161484431</v>
      </c>
      <c r="H19" s="115">
        <f t="shared" si="13"/>
        <v>-47.994732299908748</v>
      </c>
      <c r="I19" s="115">
        <f t="shared" si="13"/>
        <v>11.33229924858756</v>
      </c>
      <c r="J19" s="115">
        <f t="shared" si="13"/>
        <v>59.320495950554147</v>
      </c>
      <c r="K19" s="115">
        <f t="shared" si="13"/>
        <v>-73.322949569735385</v>
      </c>
    </row>
    <row r="20" spans="1:16" s="116" customFormat="1">
      <c r="A20" s="113" t="s">
        <v>142</v>
      </c>
      <c r="B20" s="112">
        <v>0.16600000000000001</v>
      </c>
      <c r="C20" s="112">
        <v>0.1</v>
      </c>
      <c r="D20" s="112">
        <v>31.667999999999999</v>
      </c>
      <c r="E20" s="112">
        <v>0.41099999999999998</v>
      </c>
      <c r="F20" s="112">
        <v>0.30599999999999999</v>
      </c>
      <c r="G20" s="112">
        <v>16.234999999999999</v>
      </c>
      <c r="H20" s="112">
        <v>0</v>
      </c>
      <c r="I20" s="112">
        <v>14.3</v>
      </c>
      <c r="J20" s="112">
        <v>23</v>
      </c>
      <c r="K20" s="112">
        <v>10.3</v>
      </c>
    </row>
    <row r="21" spans="1:16" s="116" customFormat="1">
      <c r="A21" s="113" t="s">
        <v>143</v>
      </c>
      <c r="B21" s="112">
        <v>0</v>
      </c>
      <c r="C21" s="112">
        <v>-58.402000000000001</v>
      </c>
      <c r="D21" s="112">
        <v>-112.70699999999999</v>
      </c>
      <c r="E21" s="112">
        <f>-38.58-5.818</f>
        <v>-44.397999999999996</v>
      </c>
      <c r="F21" s="112">
        <f>-752.302-4.73</f>
        <v>-757.03200000000004</v>
      </c>
      <c r="G21" s="112">
        <f>-11.187-9.069</f>
        <v>-20.256</v>
      </c>
      <c r="H21" s="112">
        <v>-659.92899999999997</v>
      </c>
      <c r="I21" s="112">
        <v>-361.97899999999998</v>
      </c>
      <c r="J21" s="112">
        <v>-2747.5160000000001</v>
      </c>
      <c r="K21" s="112">
        <v>0</v>
      </c>
    </row>
    <row r="22" spans="1:16">
      <c r="A22" s="111" t="s">
        <v>144</v>
      </c>
      <c r="B22" s="144">
        <v>0</v>
      </c>
      <c r="C22" s="144">
        <v>0</v>
      </c>
      <c r="D22" s="144">
        <v>0</v>
      </c>
      <c r="E22" s="144">
        <v>0</v>
      </c>
      <c r="F22" s="144">
        <v>0</v>
      </c>
      <c r="G22" s="144">
        <v>0</v>
      </c>
      <c r="H22" s="144">
        <v>0</v>
      </c>
      <c r="I22" s="112">
        <v>0</v>
      </c>
      <c r="J22" s="112">
        <v>0</v>
      </c>
      <c r="K22" s="112"/>
    </row>
    <row r="23" spans="1:16">
      <c r="A23" s="111" t="s">
        <v>189</v>
      </c>
      <c r="B23" s="144">
        <v>0</v>
      </c>
      <c r="C23" s="144">
        <v>0</v>
      </c>
      <c r="D23" s="144">
        <v>0</v>
      </c>
      <c r="E23" s="144">
        <v>0</v>
      </c>
      <c r="F23" s="144">
        <v>0</v>
      </c>
      <c r="G23" s="144">
        <v>-0.45400000000000001</v>
      </c>
      <c r="H23" s="144">
        <v>-0.60399999999999998</v>
      </c>
      <c r="I23" s="144">
        <v>-0.67600000000000005</v>
      </c>
      <c r="J23" s="144">
        <v>-0.78300000000000003</v>
      </c>
      <c r="K23" s="144">
        <v>-0.8</v>
      </c>
    </row>
    <row r="24" spans="1:16">
      <c r="A24" s="117" t="s">
        <v>145</v>
      </c>
      <c r="B24" s="118">
        <v>34.817848416666671</v>
      </c>
      <c r="C24" s="118">
        <v>26.553329412966672</v>
      </c>
      <c r="D24" s="118">
        <v>25.582308589116668</v>
      </c>
      <c r="E24" s="118">
        <v>32.044167226874997</v>
      </c>
      <c r="F24" s="118">
        <v>35.733720963766665</v>
      </c>
      <c r="G24" s="118">
        <v>33.430155542966666</v>
      </c>
      <c r="H24" s="118">
        <v>40.95179436515</v>
      </c>
      <c r="I24" s="118">
        <v>46.797638283783336</v>
      </c>
      <c r="J24" s="118">
        <v>45.743508468133335</v>
      </c>
      <c r="K24" s="118">
        <v>86.161377197116664</v>
      </c>
    </row>
    <row r="25" spans="1:16">
      <c r="A25" s="119" t="s">
        <v>146</v>
      </c>
      <c r="B25" s="142">
        <v>2.4620000000000002</v>
      </c>
      <c r="C25" s="142">
        <v>2.56</v>
      </c>
      <c r="D25" s="142">
        <v>4.2130000000000001</v>
      </c>
      <c r="E25" s="142">
        <v>3.609</v>
      </c>
      <c r="F25" s="142">
        <v>3.3220000000000001</v>
      </c>
      <c r="G25" s="142">
        <v>3.5300000000000002</v>
      </c>
      <c r="H25" s="142">
        <v>2.077</v>
      </c>
      <c r="I25" s="142">
        <f>8.6+2.5</f>
        <v>11.1</v>
      </c>
      <c r="J25" s="142">
        <f>10.1+4+12</f>
        <v>26.1</v>
      </c>
      <c r="K25" s="142">
        <f>2.7+3.7</f>
        <v>6.4</v>
      </c>
      <c r="M25" s="17"/>
      <c r="N25" s="18"/>
      <c r="O25" s="18"/>
      <c r="P25" s="18"/>
    </row>
    <row r="26" spans="1:16">
      <c r="A26" s="120" t="s">
        <v>147</v>
      </c>
      <c r="B26" s="143">
        <v>40.353000000000002</v>
      </c>
      <c r="C26" s="142">
        <v>38.572000000000003</v>
      </c>
      <c r="D26" s="142">
        <v>73.793999999999997</v>
      </c>
      <c r="E26" s="143">
        <v>58.033000000000001</v>
      </c>
      <c r="F26" s="143">
        <v>35.991999999999997</v>
      </c>
      <c r="G26" s="143">
        <v>38.856999999999999</v>
      </c>
      <c r="H26" s="143">
        <v>16.145</v>
      </c>
      <c r="I26" s="143">
        <v>7.7560000000000011</v>
      </c>
      <c r="J26" s="143">
        <v>-16.192</v>
      </c>
      <c r="K26" s="143">
        <f>-44.4+42</f>
        <v>-2.3999999999999986</v>
      </c>
    </row>
    <row r="27" spans="1:16">
      <c r="A27" s="111" t="s">
        <v>148</v>
      </c>
      <c r="B27" s="121">
        <f t="shared" ref="B27:E27" si="14">-B24*B25+B26</f>
        <v>-45.36854280183335</v>
      </c>
      <c r="C27" s="121">
        <f t="shared" si="14"/>
        <v>-29.404523297194686</v>
      </c>
      <c r="D27" s="121">
        <f t="shared" si="14"/>
        <v>-33.984266085948519</v>
      </c>
      <c r="E27" s="121">
        <f t="shared" si="14"/>
        <v>-57.614399521791867</v>
      </c>
      <c r="F27" s="121">
        <f>-F24*F25+F26</f>
        <v>-82.715421041632851</v>
      </c>
      <c r="G27" s="121">
        <f t="shared" ref="G27:K27" si="15">-G24*G25+G26</f>
        <v>-79.151449066672342</v>
      </c>
      <c r="H27" s="121">
        <f t="shared" si="15"/>
        <v>-68.911876896416558</v>
      </c>
      <c r="I27" s="121">
        <f t="shared" si="15"/>
        <v>-511.69778494999497</v>
      </c>
      <c r="J27" s="121">
        <f t="shared" si="15"/>
        <v>-1210.0975710182802</v>
      </c>
      <c r="K27" s="121">
        <f t="shared" si="15"/>
        <v>-553.83281406154663</v>
      </c>
    </row>
    <row r="28" spans="1:16">
      <c r="A28" s="1" t="s">
        <v>149</v>
      </c>
      <c r="B28" s="5">
        <f>B19+B20+B21+B22+B23+B27</f>
        <v>-51.894942801833338</v>
      </c>
      <c r="C28" s="5">
        <f t="shared" ref="C28:K28" si="16">C19+C20+C21+C22+C23+C27</f>
        <v>-43.16962329719464</v>
      </c>
      <c r="D28" s="5">
        <f t="shared" si="16"/>
        <v>-130.00636608594854</v>
      </c>
      <c r="E28" s="5">
        <f t="shared" si="16"/>
        <v>-73.330238132187702</v>
      </c>
      <c r="F28" s="5">
        <f t="shared" si="16"/>
        <v>-796.33517270873244</v>
      </c>
      <c r="G28" s="5">
        <f t="shared" si="16"/>
        <v>-100.66281222815678</v>
      </c>
      <c r="H28" s="5">
        <f t="shared" si="16"/>
        <v>-777.43960919632525</v>
      </c>
      <c r="I28" s="5">
        <f>I19+I20+I21+I22+I23+I27</f>
        <v>-848.72048570140737</v>
      </c>
      <c r="J28" s="5">
        <f t="shared" si="16"/>
        <v>-3876.0760750677259</v>
      </c>
      <c r="K28" s="5">
        <f t="shared" si="16"/>
        <v>-617.65576363128207</v>
      </c>
    </row>
    <row r="29" spans="1:16">
      <c r="A29" s="107" t="s">
        <v>150</v>
      </c>
      <c r="B29" s="108">
        <f t="shared" ref="B29:E29" si="17">IFERROR(-B28/B11,"")</f>
        <v>0.24366637086646314</v>
      </c>
      <c r="C29" s="108">
        <f t="shared" si="17"/>
        <v>0.11994690642141004</v>
      </c>
      <c r="D29" s="108">
        <f t="shared" si="17"/>
        <v>0.27474447602760194</v>
      </c>
      <c r="E29" s="108">
        <f t="shared" si="17"/>
        <v>0.22820364589786979</v>
      </c>
      <c r="F29" s="108">
        <f>IFERROR(-F28/F11,"")</f>
        <v>2.1791088406969976</v>
      </c>
      <c r="G29" s="108">
        <f t="shared" ref="G29:K29" si="18">IFERROR(-G28/G11,"")</f>
        <v>0.17339861170599791</v>
      </c>
      <c r="H29" s="108">
        <f t="shared" si="18"/>
        <v>1.254532309784073</v>
      </c>
      <c r="I29" s="108">
        <f t="shared" si="18"/>
        <v>1.3360297037830562</v>
      </c>
      <c r="J29" s="108">
        <f t="shared" si="18"/>
        <v>4.1911612760904084</v>
      </c>
      <c r="K29" s="108">
        <f t="shared" si="18"/>
        <v>0.48024628114902629</v>
      </c>
    </row>
    <row r="31" spans="1:16" s="9" customFormat="1" ht="14.65" thickBot="1">
      <c r="A31" s="58" t="s">
        <v>151</v>
      </c>
      <c r="B31" s="110">
        <f t="shared" ref="B31:J31" si="19">B2</f>
        <v>39903</v>
      </c>
      <c r="C31" s="110">
        <f t="shared" si="19"/>
        <v>40268</v>
      </c>
      <c r="D31" s="110">
        <f t="shared" si="19"/>
        <v>40633</v>
      </c>
      <c r="E31" s="110">
        <f t="shared" si="19"/>
        <v>40999</v>
      </c>
      <c r="F31" s="110">
        <f t="shared" si="19"/>
        <v>41364</v>
      </c>
      <c r="G31" s="110">
        <f t="shared" si="19"/>
        <v>41729</v>
      </c>
      <c r="H31" s="110">
        <f t="shared" si="19"/>
        <v>42094</v>
      </c>
      <c r="I31" s="110">
        <f t="shared" si="19"/>
        <v>42460</v>
      </c>
      <c r="J31" s="110">
        <f t="shared" si="19"/>
        <v>42825</v>
      </c>
      <c r="K31" s="110">
        <f>K2</f>
        <v>43190</v>
      </c>
    </row>
    <row r="32" spans="1:16" ht="14.65" thickBot="1">
      <c r="A32" s="122" t="s">
        <v>152</v>
      </c>
      <c r="B32" s="4">
        <f t="shared" ref="B32:K32" si="20">B11+B28</f>
        <v>161.08045719816667</v>
      </c>
      <c r="C32" s="4">
        <f t="shared" si="20"/>
        <v>316.73647670280536</v>
      </c>
      <c r="D32" s="4">
        <f t="shared" si="20"/>
        <v>343.18373391405146</v>
      </c>
      <c r="E32" s="4">
        <f t="shared" si="20"/>
        <v>248.00660047820813</v>
      </c>
      <c r="F32" s="4">
        <f t="shared" si="20"/>
        <v>-430.894421041633</v>
      </c>
      <c r="G32" s="4">
        <f t="shared" si="20"/>
        <v>479.86555093332765</v>
      </c>
      <c r="H32" s="4">
        <f t="shared" si="20"/>
        <v>-157.73487689641649</v>
      </c>
      <c r="I32" s="4">
        <f t="shared" si="20"/>
        <v>-213.46478494999496</v>
      </c>
      <c r="J32" s="4">
        <f t="shared" si="20"/>
        <v>-2951.2545710182803</v>
      </c>
      <c r="K32" s="4">
        <f t="shared" si="20"/>
        <v>668.46718593845321</v>
      </c>
    </row>
    <row r="33" spans="1:11" ht="14.65" thickTop="1">
      <c r="A33" s="107" t="s">
        <v>128</v>
      </c>
      <c r="B33" s="108">
        <f t="shared" ref="B33:K33" si="21">IFERROR(B32/B$3,"")</f>
        <v>0.17832502177928927</v>
      </c>
      <c r="C33" s="108">
        <f t="shared" si="21"/>
        <v>0.33420574521071461</v>
      </c>
      <c r="D33" s="108">
        <f t="shared" si="21"/>
        <v>0.2307575175675522</v>
      </c>
      <c r="E33" s="108">
        <f t="shared" si="21"/>
        <v>0.17930227279696015</v>
      </c>
      <c r="F33" s="108">
        <f t="shared" si="21"/>
        <v>-0.27243813541003953</v>
      </c>
      <c r="G33" s="108">
        <f t="shared" si="21"/>
        <v>0.24847831752378299</v>
      </c>
      <c r="H33" s="108">
        <f t="shared" si="21"/>
        <v>-7.3466340059699278E-2</v>
      </c>
      <c r="I33" s="108">
        <f t="shared" si="21"/>
        <v>-9.8219962946328079E-2</v>
      </c>
      <c r="J33" s="108">
        <f t="shared" si="21"/>
        <v>-0.8660274983349352</v>
      </c>
      <c r="K33" s="108">
        <f t="shared" si="21"/>
        <v>0.16792282604965161</v>
      </c>
    </row>
    <row r="34" spans="1:11">
      <c r="A34" s="107" t="s">
        <v>138</v>
      </c>
      <c r="B34" s="107"/>
      <c r="C34" s="108">
        <f t="shared" ref="C34:F34" si="22">IFERROR(C32/B32-1,"")</f>
        <v>0.96632466912572368</v>
      </c>
      <c r="D34" s="108">
        <f t="shared" si="22"/>
        <v>8.3499246713101494E-2</v>
      </c>
      <c r="E34" s="108">
        <f t="shared" si="22"/>
        <v>-0.27733579429985433</v>
      </c>
      <c r="F34" s="108">
        <f t="shared" si="22"/>
        <v>-2.7374312627598592</v>
      </c>
      <c r="G34" s="108">
        <f>IFERROR(G32/F32-1,"")</f>
        <v>-2.113649951125645</v>
      </c>
      <c r="H34" s="108">
        <f t="shared" ref="H34:K34" si="23">IFERROR(H32/G32-1,"")</f>
        <v>-1.3287063982601497</v>
      </c>
      <c r="I34" s="108">
        <f t="shared" si="23"/>
        <v>0.35331379559243548</v>
      </c>
      <c r="J34" s="108">
        <f t="shared" si="23"/>
        <v>12.825486820740124</v>
      </c>
      <c r="K34" s="108">
        <f t="shared" si="23"/>
        <v>-1.2265027193868301</v>
      </c>
    </row>
    <row r="35" spans="1:11">
      <c r="A35" s="107" t="s">
        <v>139</v>
      </c>
      <c r="B35" s="107"/>
      <c r="C35" s="107"/>
      <c r="D35" s="107"/>
      <c r="E35" s="108">
        <f>IFERROR(SUM(C32:E32)/SUM(B32:D32)-1,"")</f>
        <v>0.10587828571611646</v>
      </c>
      <c r="F35" s="108">
        <f t="shared" ref="F35" si="24">IFERROR(SUM(D32:F32)/SUM(C32:E32)-1,"")</f>
        <v>-0.82344841963936366</v>
      </c>
      <c r="G35" s="108">
        <f t="shared" ref="G35:K35" si="25">IFERROR(SUM(E32:G32)/SUM(D32:F32)-1,"")</f>
        <v>0.85268435209762572</v>
      </c>
      <c r="H35" s="108">
        <f t="shared" si="25"/>
        <v>-1.3662353634033446</v>
      </c>
      <c r="I35" s="108">
        <f t="shared" si="25"/>
        <v>-1.9991002708117311</v>
      </c>
      <c r="J35" s="108">
        <f t="shared" si="25"/>
        <v>-31.574950987675933</v>
      </c>
      <c r="K35" s="108">
        <f t="shared" si="25"/>
        <v>-0.2486722178630284</v>
      </c>
    </row>
    <row r="36" spans="1:11">
      <c r="A36" s="107" t="s">
        <v>133</v>
      </c>
      <c r="B36" s="107"/>
      <c r="C36" s="107"/>
      <c r="D36" s="107"/>
      <c r="E36" s="107"/>
      <c r="F36" s="108"/>
      <c r="G36" s="108">
        <f>IFERROR(SUM(C32:G32)/SUM(B32:F32)-1,"")</f>
        <v>0.49957479324886345</v>
      </c>
      <c r="H36" s="108">
        <f t="shared" ref="H36" si="26">IFERROR(SUM(D32:H32)/SUM(C32:G32)-1,"")</f>
        <v>-0.49584321720866464</v>
      </c>
      <c r="I36" s="108">
        <f t="shared" ref="I36:K36" si="27">IFERROR(SUM(E32:I32)/SUM(D32:H32)-1,"")</f>
        <v>-1.1538512457997789</v>
      </c>
      <c r="J36" s="108">
        <f t="shared" si="27"/>
        <v>43.10398702719101</v>
      </c>
      <c r="K36" s="108">
        <f t="shared" si="27"/>
        <v>-0.33583848530687055</v>
      </c>
    </row>
    <row r="38" spans="1:11" s="9" customFormat="1" ht="14.65" thickBot="1">
      <c r="A38" s="58" t="s">
        <v>153</v>
      </c>
      <c r="B38" s="123">
        <f t="shared" ref="B38:E38" si="28">B2</f>
        <v>39903</v>
      </c>
      <c r="C38" s="123">
        <f t="shared" si="28"/>
        <v>40268</v>
      </c>
      <c r="D38" s="123">
        <f t="shared" si="28"/>
        <v>40633</v>
      </c>
      <c r="E38" s="123">
        <f t="shared" si="28"/>
        <v>40999</v>
      </c>
      <c r="F38" s="123">
        <f>F2</f>
        <v>41364</v>
      </c>
      <c r="G38" s="123">
        <f t="shared" ref="G38:K38" si="29">G2</f>
        <v>41729</v>
      </c>
      <c r="H38" s="123">
        <f t="shared" si="29"/>
        <v>42094</v>
      </c>
      <c r="I38" s="123">
        <f t="shared" si="29"/>
        <v>42460</v>
      </c>
      <c r="J38" s="123">
        <f t="shared" si="29"/>
        <v>42825</v>
      </c>
      <c r="K38" s="123">
        <f t="shared" si="29"/>
        <v>43190</v>
      </c>
    </row>
    <row r="39" spans="1:11" s="116" customFormat="1" ht="14.65" thickBot="1">
      <c r="A39" s="124" t="s">
        <v>154</v>
      </c>
      <c r="B39" s="125">
        <f>VLOOKUP(B38,'GDP Data'!$A$2:$B$73,2,TRUE)</f>
        <v>14383.9</v>
      </c>
      <c r="C39" s="125">
        <f>VLOOKUP(C38,'GDP Data'!$A$2:$B$73,2,TRUE)</f>
        <v>14681.1</v>
      </c>
      <c r="D39" s="125">
        <f>VLOOKUP(D38,'GDP Data'!$A$2:$B$73,2,TRUE)</f>
        <v>15238.4</v>
      </c>
      <c r="E39" s="125">
        <f>VLOOKUP(E38,'GDP Data'!$A$2:$B$73,2,TRUE)</f>
        <v>15956.5</v>
      </c>
      <c r="F39" s="125">
        <f>VLOOKUP(F38,'GDP Data'!$A$2:$B$73,2,TRUE)</f>
        <v>16502.400000000001</v>
      </c>
      <c r="G39" s="125">
        <f>VLOOKUP(G38,'GDP Data'!$A$2:$B$73,2,TRUE)</f>
        <v>17044</v>
      </c>
      <c r="H39" s="125">
        <f>VLOOKUP(H38,'GDP Data'!$A$2:$B$73,2,TRUE)</f>
        <v>17665</v>
      </c>
      <c r="I39" s="125">
        <f>VLOOKUP(I38,'GDP Data'!$A$2:$B$73,2,TRUE)</f>
        <v>18325.187000000002</v>
      </c>
      <c r="J39" s="125">
        <f>VLOOKUP(J38,'GDP Data'!$A$2:$B$73,2,TRUE)</f>
        <v>19057.705000000002</v>
      </c>
      <c r="K39" s="125">
        <f>VLOOKUP(K38,'GDP Data'!$A$2:$B$73,2,TRUE)</f>
        <v>19754.101999999999</v>
      </c>
    </row>
    <row r="40" spans="1:11">
      <c r="A40" t="s">
        <v>155</v>
      </c>
      <c r="C40" s="126">
        <f t="shared" ref="C40" si="30">C39/B39-1</f>
        <v>2.0661990141755737E-2</v>
      </c>
      <c r="D40" s="126">
        <f t="shared" ref="D40" si="31">D39/C39-1</f>
        <v>3.7960370816900513E-2</v>
      </c>
      <c r="E40" s="126">
        <f t="shared" ref="E40:F40" si="32">E39/D39-1</f>
        <v>4.7124370012599837E-2</v>
      </c>
      <c r="F40" s="126">
        <f t="shared" si="32"/>
        <v>3.4211763231285053E-2</v>
      </c>
      <c r="G40" s="126">
        <f>G39/F39-1</f>
        <v>3.2819468683342956E-2</v>
      </c>
      <c r="H40" s="126">
        <f t="shared" ref="H40:K40" si="33">H39/G39-1</f>
        <v>3.6435109129312471E-2</v>
      </c>
      <c r="I40" s="126">
        <f t="shared" si="33"/>
        <v>3.7372601188791599E-2</v>
      </c>
      <c r="J40" s="126">
        <f t="shared" si="33"/>
        <v>3.9973289222096309E-2</v>
      </c>
      <c r="K40" s="126">
        <f t="shared" si="33"/>
        <v>3.6541493322516994E-2</v>
      </c>
    </row>
    <row r="41" spans="1:11">
      <c r="A41" s="127" t="s">
        <v>156</v>
      </c>
      <c r="B41" s="127"/>
      <c r="C41" s="128">
        <f t="shared" ref="C41:F41" si="34">C13</f>
        <v>0.68989517099157927</v>
      </c>
      <c r="D41" s="128">
        <f t="shared" si="34"/>
        <v>0.31475987764586377</v>
      </c>
      <c r="E41" s="128">
        <f t="shared" si="34"/>
        <v>-0.32091385975658437</v>
      </c>
      <c r="F41" s="128">
        <f t="shared" si="34"/>
        <v>0.13725134425118712</v>
      </c>
      <c r="G41" s="128">
        <f>G13</f>
        <v>0.58857040577215214</v>
      </c>
      <c r="H41" s="128">
        <f t="shared" ref="H41:K41" si="35">H13</f>
        <v>6.7483988077817081E-2</v>
      </c>
      <c r="I41" s="128">
        <f t="shared" si="35"/>
        <v>2.5094157977121334E-2</v>
      </c>
      <c r="J41" s="128">
        <f t="shared" si="35"/>
        <v>0.45582558795697614</v>
      </c>
      <c r="K41" s="128">
        <f t="shared" si="35"/>
        <v>0.39067154465838683</v>
      </c>
    </row>
    <row r="42" spans="1:11">
      <c r="A42" t="s">
        <v>157</v>
      </c>
      <c r="D42" s="129"/>
      <c r="E42" s="129">
        <f t="shared" ref="E42" si="36">SUM(C39:E39)/SUM(B39:D39)-1</f>
        <v>3.5496147022576086E-2</v>
      </c>
      <c r="F42" s="129">
        <f t="shared" ref="F42" si="37">SUM(D39:F39)/SUM(C39:E39)-1</f>
        <v>3.9700496991891265E-2</v>
      </c>
      <c r="G42" s="129">
        <f t="shared" ref="G42:J42" si="38">SUM(E39:G39)/SUM(D39:F39)-1</f>
        <v>3.7855392233941965E-2</v>
      </c>
      <c r="H42" s="129">
        <f t="shared" si="38"/>
        <v>3.4513129533825238E-2</v>
      </c>
      <c r="I42" s="129">
        <f t="shared" si="38"/>
        <v>3.5593383504454179E-2</v>
      </c>
      <c r="J42" s="129">
        <f t="shared" si="38"/>
        <v>3.796994191689973E-2</v>
      </c>
      <c r="K42" s="129">
        <f>SUM(I39:K39)/SUM(H39:J39)-1</f>
        <v>3.7950626701563683E-2</v>
      </c>
    </row>
    <row r="43" spans="1:11">
      <c r="A43" s="127" t="s">
        <v>158</v>
      </c>
      <c r="B43" s="127"/>
      <c r="C43" s="127"/>
      <c r="D43" s="128"/>
      <c r="E43" s="128">
        <f t="shared" ref="E43:J43" si="39">E14</f>
        <v>0.10358893082499865</v>
      </c>
      <c r="F43" s="128">
        <f t="shared" si="39"/>
        <v>4.7942595906314001E-3</v>
      </c>
      <c r="G43" s="128">
        <f t="shared" si="39"/>
        <v>9.2535562896416845E-2</v>
      </c>
      <c r="H43" s="128">
        <f t="shared" si="39"/>
        <v>0.23543477632994425</v>
      </c>
      <c r="I43" s="128">
        <f t="shared" si="39"/>
        <v>0.1723315169242714</v>
      </c>
      <c r="J43" s="128">
        <f t="shared" si="39"/>
        <v>0.18757572456903437</v>
      </c>
      <c r="K43" s="128">
        <f>K14</f>
        <v>0.30572701146253212</v>
      </c>
    </row>
    <row r="44" spans="1:11">
      <c r="A44" t="s">
        <v>159</v>
      </c>
      <c r="G44" s="129">
        <f t="shared" ref="G44:J44" si="40">SUM(C39:G39)/SUM(B39:F39)-1</f>
        <v>3.465372976057246E-2</v>
      </c>
      <c r="H44" s="129">
        <f t="shared" si="40"/>
        <v>3.7570005439271581E-2</v>
      </c>
      <c r="I44" s="129">
        <f t="shared" si="40"/>
        <v>3.7458143370106445E-2</v>
      </c>
      <c r="J44" s="129">
        <f t="shared" si="40"/>
        <v>3.6274336426757037E-2</v>
      </c>
      <c r="K44" s="129">
        <f>SUM(G39:K39)/SUM(F39:J39)-1</f>
        <v>3.6703290094580954E-2</v>
      </c>
    </row>
    <row r="45" spans="1:11">
      <c r="A45" s="127" t="s">
        <v>160</v>
      </c>
      <c r="B45" s="127"/>
      <c r="C45" s="127"/>
      <c r="D45" s="127"/>
      <c r="E45" s="128"/>
      <c r="F45" s="128"/>
      <c r="G45" s="128">
        <f t="shared" ref="G45:J45" si="41">G15</f>
        <v>0.21210903131311998</v>
      </c>
      <c r="H45" s="128">
        <f t="shared" si="41"/>
        <v>0.12368994760100671</v>
      </c>
      <c r="I45" s="128">
        <f t="shared" si="41"/>
        <v>6.8666022709027885E-2</v>
      </c>
      <c r="J45" s="128">
        <f t="shared" si="41"/>
        <v>0.23926285846388762</v>
      </c>
      <c r="K45" s="128">
        <f>K15</f>
        <v>0.29454751277596136</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41"/>
  <sheetViews>
    <sheetView workbookViewId="0">
      <selection activeCell="M34" sqref="M34"/>
    </sheetView>
  </sheetViews>
  <sheetFormatPr defaultRowHeight="14.25"/>
  <cols>
    <col min="1" max="1" width="37.3984375" bestFit="1" customWidth="1"/>
    <col min="12" max="12" width="9.59765625" bestFit="1" customWidth="1"/>
  </cols>
  <sheetData>
    <row r="1" spans="1:16">
      <c r="A1" s="10" t="s">
        <v>37</v>
      </c>
      <c r="B1" s="131">
        <f>'Company Analysis'!B2</f>
        <v>39903</v>
      </c>
      <c r="C1" s="131">
        <f>'Company Analysis'!C2</f>
        <v>40268</v>
      </c>
      <c r="D1" s="131">
        <f>'Company Analysis'!D2</f>
        <v>40633</v>
      </c>
      <c r="E1" s="131">
        <f>'Company Analysis'!E2</f>
        <v>40999</v>
      </c>
      <c r="F1" s="131">
        <f>'Company Analysis'!F2</f>
        <v>41364</v>
      </c>
      <c r="G1" s="131">
        <f>'Company Analysis'!G2</f>
        <v>41729</v>
      </c>
      <c r="H1" s="131">
        <f>'Company Analysis'!H2</f>
        <v>42094</v>
      </c>
      <c r="I1" s="131">
        <f>'Company Analysis'!I2</f>
        <v>42460</v>
      </c>
      <c r="J1" s="131">
        <f>'Company Analysis'!J2</f>
        <v>42825</v>
      </c>
      <c r="K1" s="131">
        <f>'Company Analysis'!K2</f>
        <v>43190</v>
      </c>
      <c r="L1" s="131">
        <f>'Graphing Data'!K1+365</f>
        <v>43555</v>
      </c>
      <c r="M1" s="131">
        <f>'Graphing Data'!L1+365</f>
        <v>43920</v>
      </c>
      <c r="N1" s="131">
        <f>'Graphing Data'!M1+365</f>
        <v>44285</v>
      </c>
      <c r="O1" s="131">
        <f>'Graphing Data'!N1+365</f>
        <v>44650</v>
      </c>
      <c r="P1" s="131">
        <f>'Graphing Data'!O1+365</f>
        <v>45015</v>
      </c>
    </row>
    <row r="2" spans="1:16">
      <c r="A2" t="s">
        <v>163</v>
      </c>
      <c r="B2" s="17">
        <f>'Company Analysis'!B3</f>
        <v>903.29700000000003</v>
      </c>
      <c r="C2" s="17">
        <f>'Company Analysis'!C3</f>
        <v>947.72900000000004</v>
      </c>
      <c r="D2" s="17">
        <f>'Company Analysis'!D3</f>
        <v>1487.2049999999999</v>
      </c>
      <c r="E2" s="17">
        <f>'Company Analysis'!E3</f>
        <v>1383.1759999999999</v>
      </c>
      <c r="F2" s="17">
        <f>'Company Analysis'!F3</f>
        <v>1581.623</v>
      </c>
      <c r="G2" s="17">
        <f>'Company Analysis'!G3</f>
        <v>1931.2170000000001</v>
      </c>
      <c r="H2" s="17">
        <f>'Company Analysis'!H3</f>
        <v>2147.0360000000001</v>
      </c>
      <c r="I2" s="17">
        <f>'Company Analysis'!I3</f>
        <v>2173.3339999999998</v>
      </c>
      <c r="J2" s="17">
        <f>'Company Analysis'!J3</f>
        <v>3407.8069999999998</v>
      </c>
      <c r="K2" s="17">
        <f>'Company Analysis'!K3</f>
        <v>3980.8</v>
      </c>
      <c r="L2" s="17"/>
      <c r="M2" s="17"/>
      <c r="N2" s="17"/>
      <c r="O2" s="17"/>
      <c r="P2" s="17"/>
    </row>
    <row r="3" spans="1:16">
      <c r="A3" t="s">
        <v>164</v>
      </c>
      <c r="L3" s="17">
        <f>$K$2*(1+'Valuation Model'!C8)</f>
        <v>5692.5439999999999</v>
      </c>
      <c r="M3" s="17">
        <f>L3*(1+'Valuation Model'!D8)</f>
        <v>6091.0220800000006</v>
      </c>
      <c r="N3" s="17">
        <f>M3*(1+'Valuation Model'!E8)</f>
        <v>6517.3936256000006</v>
      </c>
      <c r="O3" s="17">
        <f>N3*(1+'Valuation Model'!F8)</f>
        <v>6973.6111793920008</v>
      </c>
      <c r="P3" s="17">
        <f>O3*(1+'Valuation Model'!G8)</f>
        <v>7461.7639619494412</v>
      </c>
    </row>
    <row r="4" spans="1:16">
      <c r="A4" t="s">
        <v>165</v>
      </c>
      <c r="L4" s="17">
        <f>$K$2*(1+'Valuation Model'!C9)</f>
        <v>5652.7359999999999</v>
      </c>
      <c r="M4" s="17">
        <f>L4*(1+'Valuation Model'!D9)</f>
        <v>5878.8454400000001</v>
      </c>
      <c r="N4" s="17">
        <f>M4*(1+'Valuation Model'!E9)</f>
        <v>6113.9992576000004</v>
      </c>
      <c r="O4" s="17">
        <f>N4*(1+'Valuation Model'!F9)</f>
        <v>6358.5592279040011</v>
      </c>
      <c r="P4" s="17">
        <f>O4*(1+'Valuation Model'!G9)</f>
        <v>6612.9015970201617</v>
      </c>
    </row>
    <row r="5" spans="1:16">
      <c r="A5" t="s">
        <v>166</v>
      </c>
      <c r="C5" s="20">
        <f>C2/B2-1</f>
        <v>4.9188694305416725E-2</v>
      </c>
      <c r="D5" s="20">
        <f t="shared" ref="D5:K5" si="0">D2/C2-1</f>
        <v>0.56923023353722413</v>
      </c>
      <c r="E5" s="20">
        <f t="shared" si="0"/>
        <v>-6.9949334489865178E-2</v>
      </c>
      <c r="F5" s="20">
        <f t="shared" si="0"/>
        <v>0.14347198042765363</v>
      </c>
      <c r="G5" s="20">
        <f t="shared" si="0"/>
        <v>0.2210349748328142</v>
      </c>
      <c r="H5" s="20">
        <f t="shared" si="0"/>
        <v>0.11175284807455599</v>
      </c>
      <c r="I5" s="20">
        <f t="shared" si="0"/>
        <v>1.2248513765023006E-2</v>
      </c>
      <c r="J5" s="20">
        <f t="shared" si="0"/>
        <v>0.56800887484390339</v>
      </c>
      <c r="K5" s="20">
        <f t="shared" si="0"/>
        <v>0.16814127091117559</v>
      </c>
    </row>
    <row r="6" spans="1:16">
      <c r="A6" t="s">
        <v>167</v>
      </c>
      <c r="K6" s="98">
        <f>K5</f>
        <v>0.16814127091117559</v>
      </c>
      <c r="L6" s="98">
        <f>'Valuation Model'!C8</f>
        <v>0.43</v>
      </c>
      <c r="M6" s="98">
        <f>'Valuation Model'!D8</f>
        <v>7.0000000000000007E-2</v>
      </c>
      <c r="N6" s="98">
        <f>'Valuation Model'!E8</f>
        <v>7.0000000000000007E-2</v>
      </c>
      <c r="O6" s="98">
        <f>'Valuation Model'!F8</f>
        <v>7.0000000000000007E-2</v>
      </c>
      <c r="P6" s="98">
        <f>'Valuation Model'!G8</f>
        <v>7.0000000000000007E-2</v>
      </c>
    </row>
    <row r="7" spans="1:16">
      <c r="A7" t="s">
        <v>168</v>
      </c>
      <c r="K7" s="98">
        <f>K5</f>
        <v>0.16814127091117559</v>
      </c>
      <c r="L7" s="98">
        <f>'Valuation Model'!C9</f>
        <v>0.42</v>
      </c>
      <c r="M7" s="98">
        <f>'Valuation Model'!D9</f>
        <v>0.04</v>
      </c>
      <c r="N7" s="98">
        <f>'Valuation Model'!E9</f>
        <v>0.04</v>
      </c>
      <c r="O7" s="98">
        <f>'Valuation Model'!F9</f>
        <v>0.04</v>
      </c>
      <c r="P7" s="98">
        <f>'Valuation Model'!G9</f>
        <v>0.04</v>
      </c>
    </row>
    <row r="9" spans="1:16">
      <c r="A9" s="10" t="s">
        <v>71</v>
      </c>
      <c r="B9" s="131">
        <f>B1</f>
        <v>39903</v>
      </c>
      <c r="C9" s="131">
        <f t="shared" ref="C9:P9" si="1">C1</f>
        <v>40268</v>
      </c>
      <c r="D9" s="131">
        <f t="shared" si="1"/>
        <v>40633</v>
      </c>
      <c r="E9" s="131">
        <f t="shared" si="1"/>
        <v>40999</v>
      </c>
      <c r="F9" s="131">
        <f t="shared" si="1"/>
        <v>41364</v>
      </c>
      <c r="G9" s="131">
        <f t="shared" si="1"/>
        <v>41729</v>
      </c>
      <c r="H9" s="131">
        <f t="shared" si="1"/>
        <v>42094</v>
      </c>
      <c r="I9" s="131">
        <f t="shared" si="1"/>
        <v>42460</v>
      </c>
      <c r="J9" s="131">
        <f t="shared" si="1"/>
        <v>42825</v>
      </c>
      <c r="K9" s="131">
        <f t="shared" si="1"/>
        <v>43190</v>
      </c>
      <c r="L9" s="131">
        <f t="shared" si="1"/>
        <v>43555</v>
      </c>
      <c r="M9" s="131">
        <f t="shared" si="1"/>
        <v>43920</v>
      </c>
      <c r="N9" s="131">
        <f t="shared" si="1"/>
        <v>44285</v>
      </c>
      <c r="O9" s="131">
        <f t="shared" si="1"/>
        <v>44650</v>
      </c>
      <c r="P9" s="131">
        <f t="shared" si="1"/>
        <v>45015</v>
      </c>
    </row>
    <row r="10" spans="1:16">
      <c r="A10" t="s">
        <v>169</v>
      </c>
      <c r="B10" s="17">
        <f>'Company Analysis'!B11</f>
        <v>212.97540000000001</v>
      </c>
      <c r="C10" s="17">
        <f>'Company Analysis'!C11</f>
        <v>359.90609999999998</v>
      </c>
      <c r="D10" s="17">
        <f>'Company Analysis'!D11</f>
        <v>473.19009999999997</v>
      </c>
      <c r="E10" s="17">
        <f>'Company Analysis'!E11</f>
        <v>321.33683861039583</v>
      </c>
      <c r="F10" s="17">
        <f>'Company Analysis'!F11</f>
        <v>365.44075166709945</v>
      </c>
      <c r="G10" s="17">
        <f>'Company Analysis'!G11</f>
        <v>580.52836316148444</v>
      </c>
      <c r="H10" s="17">
        <f>'Company Analysis'!H11</f>
        <v>619.70473229990876</v>
      </c>
      <c r="I10" s="17">
        <f>'Company Analysis'!I11</f>
        <v>635.25570075141241</v>
      </c>
      <c r="J10" s="17">
        <f>'Company Analysis'!J11</f>
        <v>924.82150404944582</v>
      </c>
      <c r="K10" s="17">
        <f>'Company Analysis'!K11</f>
        <v>1286.1229495697353</v>
      </c>
    </row>
    <row r="11" spans="1:16">
      <c r="A11" t="s">
        <v>170</v>
      </c>
      <c r="L11" s="18">
        <f>'Valuation Model'!C10*'Graphing Data'!L3</f>
        <v>1593.9123200000001</v>
      </c>
      <c r="M11" s="18">
        <f>'Valuation Model'!D10*'Graphing Data'!M3</f>
        <v>1827.3066240000001</v>
      </c>
      <c r="N11" s="18">
        <f>'Valuation Model'!E10*'Graphing Data'!N3</f>
        <v>2020.3920239360002</v>
      </c>
      <c r="O11" s="18">
        <f>'Valuation Model'!F10*'Graphing Data'!O3</f>
        <v>2161.8194656115202</v>
      </c>
      <c r="P11" s="18">
        <f>'Valuation Model'!G10*'Graphing Data'!P3</f>
        <v>2313.1468282043265</v>
      </c>
    </row>
    <row r="12" spans="1:16">
      <c r="A12" t="s">
        <v>171</v>
      </c>
      <c r="L12" s="18">
        <f>'Valuation Model'!C11*'Graphing Data'!L4</f>
        <v>1413.184</v>
      </c>
      <c r="M12" s="18">
        <f>'Valuation Model'!D11*'Graphing Data'!M4</f>
        <v>1528.4998144000001</v>
      </c>
      <c r="N12" s="18">
        <f>'Valuation Model'!E11*'Graphing Data'!N4</f>
        <v>1650.7797995520002</v>
      </c>
      <c r="O12" s="18">
        <f>'Valuation Model'!F11*'Graphing Data'!O4</f>
        <v>1716.8109915340804</v>
      </c>
      <c r="P12" s="18">
        <f>'Valuation Model'!G11*'Graphing Data'!P4</f>
        <v>1785.4834311954437</v>
      </c>
    </row>
    <row r="13" spans="1:16">
      <c r="A13" t="s">
        <v>172</v>
      </c>
      <c r="B13" s="20">
        <f>B10/B2</f>
        <v>0.23577560868684386</v>
      </c>
      <c r="C13" s="20">
        <f t="shared" ref="C13:K13" si="2">C10/C2</f>
        <v>0.37975634384934931</v>
      </c>
      <c r="D13" s="20">
        <f t="shared" si="2"/>
        <v>0.31817409166859983</v>
      </c>
      <c r="E13" s="20">
        <f t="shared" si="2"/>
        <v>0.23231811324834717</v>
      </c>
      <c r="F13" s="20">
        <f t="shared" si="2"/>
        <v>0.23105427252075839</v>
      </c>
      <c r="G13" s="20">
        <f t="shared" si="2"/>
        <v>0.30060234720463025</v>
      </c>
      <c r="H13" s="20">
        <f t="shared" si="2"/>
        <v>0.28863266954997902</v>
      </c>
      <c r="I13" s="20">
        <f t="shared" si="2"/>
        <v>0.29229547816921486</v>
      </c>
      <c r="J13" s="20">
        <f t="shared" si="2"/>
        <v>0.271383181045595</v>
      </c>
      <c r="K13" s="20">
        <f t="shared" si="2"/>
        <v>0.32308152873033946</v>
      </c>
    </row>
    <row r="14" spans="1:16">
      <c r="A14" t="s">
        <v>173</v>
      </c>
      <c r="K14" s="98">
        <f>K13</f>
        <v>0.32308152873033946</v>
      </c>
      <c r="L14" s="98">
        <f>'Valuation Model'!C10</f>
        <v>0.28000000000000003</v>
      </c>
      <c r="M14" s="98">
        <f>'Valuation Model'!D10</f>
        <v>0.3</v>
      </c>
      <c r="N14" s="98">
        <f>'Valuation Model'!E10</f>
        <v>0.31</v>
      </c>
      <c r="O14" s="98">
        <f>'Valuation Model'!F10</f>
        <v>0.31</v>
      </c>
      <c r="P14" s="98">
        <f>'Valuation Model'!G10</f>
        <v>0.31</v>
      </c>
    </row>
    <row r="15" spans="1:16">
      <c r="A15" t="s">
        <v>174</v>
      </c>
      <c r="K15" s="98">
        <f>K13</f>
        <v>0.32308152873033946</v>
      </c>
      <c r="L15" s="98">
        <f>'Valuation Model'!C11</f>
        <v>0.25</v>
      </c>
      <c r="M15" s="98">
        <f>'Valuation Model'!D11</f>
        <v>0.26</v>
      </c>
      <c r="N15" s="98">
        <f>'Valuation Model'!E11</f>
        <v>0.27</v>
      </c>
      <c r="O15" s="98">
        <f>'Valuation Model'!F11</f>
        <v>0.27</v>
      </c>
      <c r="P15" s="98">
        <f>'Valuation Model'!G11</f>
        <v>0.27</v>
      </c>
    </row>
    <row r="17" spans="1:16">
      <c r="A17" s="10" t="s">
        <v>175</v>
      </c>
      <c r="B17" s="131">
        <f>B9</f>
        <v>39903</v>
      </c>
      <c r="C17" s="131">
        <f t="shared" ref="C17:K17" si="3">C9</f>
        <v>40268</v>
      </c>
      <c r="D17" s="131">
        <f t="shared" si="3"/>
        <v>40633</v>
      </c>
      <c r="E17" s="131">
        <f t="shared" si="3"/>
        <v>40999</v>
      </c>
      <c r="F17" s="131">
        <f t="shared" si="3"/>
        <v>41364</v>
      </c>
      <c r="G17" s="131">
        <f t="shared" si="3"/>
        <v>41729</v>
      </c>
      <c r="H17" s="131">
        <f t="shared" si="3"/>
        <v>42094</v>
      </c>
      <c r="I17" s="131">
        <f t="shared" si="3"/>
        <v>42460</v>
      </c>
      <c r="J17" s="131">
        <f t="shared" si="3"/>
        <v>42825</v>
      </c>
      <c r="K17" s="131">
        <f t="shared" si="3"/>
        <v>43190</v>
      </c>
    </row>
    <row r="18" spans="1:16">
      <c r="A18" t="s">
        <v>137</v>
      </c>
      <c r="B18" s="18">
        <f>B10</f>
        <v>212.97540000000001</v>
      </c>
      <c r="C18" s="18">
        <f t="shared" ref="C18:K18" si="4">C10</f>
        <v>359.90609999999998</v>
      </c>
      <c r="D18" s="18">
        <f t="shared" si="4"/>
        <v>473.19009999999997</v>
      </c>
      <c r="E18" s="18">
        <f t="shared" si="4"/>
        <v>321.33683861039583</v>
      </c>
      <c r="F18" s="18">
        <f t="shared" si="4"/>
        <v>365.44075166709945</v>
      </c>
      <c r="G18" s="18">
        <f t="shared" si="4"/>
        <v>580.52836316148444</v>
      </c>
      <c r="H18" s="18">
        <f t="shared" si="4"/>
        <v>619.70473229990876</v>
      </c>
      <c r="I18" s="18">
        <f t="shared" si="4"/>
        <v>635.25570075141241</v>
      </c>
      <c r="J18" s="18">
        <f t="shared" si="4"/>
        <v>924.82150404944582</v>
      </c>
      <c r="K18" s="18">
        <f t="shared" si="4"/>
        <v>1286.1229495697353</v>
      </c>
    </row>
    <row r="19" spans="1:16">
      <c r="A19" t="s">
        <v>176</v>
      </c>
      <c r="B19" s="18">
        <f>-'Company Analysis'!B28</f>
        <v>51.894942801833338</v>
      </c>
      <c r="C19" s="18">
        <f>-'Company Analysis'!C28</f>
        <v>43.16962329719464</v>
      </c>
      <c r="D19" s="18">
        <f>-'Company Analysis'!D28</f>
        <v>130.00636608594854</v>
      </c>
      <c r="E19" s="18">
        <f>-'Company Analysis'!E28</f>
        <v>73.330238132187702</v>
      </c>
      <c r="F19" s="18">
        <f>-'Company Analysis'!F28</f>
        <v>796.33517270873244</v>
      </c>
      <c r="G19" s="18">
        <f>-'Company Analysis'!G28</f>
        <v>100.66281222815678</v>
      </c>
      <c r="H19" s="18">
        <f>-'Company Analysis'!H28</f>
        <v>777.43960919632525</v>
      </c>
      <c r="I19" s="18">
        <f>-'Company Analysis'!I28</f>
        <v>848.72048570140737</v>
      </c>
      <c r="J19" s="18">
        <f>-'Company Analysis'!J28</f>
        <v>3876.0760750677259</v>
      </c>
      <c r="K19" s="18">
        <f>-'Company Analysis'!K28</f>
        <v>617.65576363128207</v>
      </c>
    </row>
    <row r="21" spans="1:16">
      <c r="A21" s="10" t="s">
        <v>177</v>
      </c>
      <c r="B21" s="131">
        <f>B17</f>
        <v>39903</v>
      </c>
      <c r="C21" s="131">
        <f t="shared" ref="C21:K21" si="5">C17</f>
        <v>40268</v>
      </c>
      <c r="D21" s="131">
        <f t="shared" si="5"/>
        <v>40633</v>
      </c>
      <c r="E21" s="131">
        <f t="shared" si="5"/>
        <v>40999</v>
      </c>
      <c r="F21" s="131">
        <f t="shared" si="5"/>
        <v>41364</v>
      </c>
      <c r="G21" s="131">
        <f t="shared" si="5"/>
        <v>41729</v>
      </c>
      <c r="H21" s="131">
        <f t="shared" si="5"/>
        <v>42094</v>
      </c>
      <c r="I21" s="131">
        <f t="shared" si="5"/>
        <v>42460</v>
      </c>
      <c r="J21" s="131">
        <f t="shared" si="5"/>
        <v>42825</v>
      </c>
      <c r="K21" s="131">
        <f t="shared" si="5"/>
        <v>43190</v>
      </c>
    </row>
    <row r="22" spans="1:16">
      <c r="A22" t="str">
        <f>'Company Analysis'!A19</f>
        <v>Capex in Excess of Maintenance</v>
      </c>
      <c r="B22" s="18">
        <f>-'Company Analysis'!B19</f>
        <v>6.6923999999999921</v>
      </c>
      <c r="C22" s="18">
        <f>-'Company Analysis'!C19</f>
        <v>-44.536900000000045</v>
      </c>
      <c r="D22" s="18">
        <f>-'Company Analysis'!D19</f>
        <v>14.983100000000022</v>
      </c>
      <c r="E22" s="18">
        <f>-'Company Analysis'!E19</f>
        <v>-28.271161389604167</v>
      </c>
      <c r="F22" s="18">
        <f>-'Company Analysis'!F19</f>
        <v>-43.106248332900535</v>
      </c>
      <c r="G22" s="18">
        <f>-'Company Analysis'!G19</f>
        <v>17.036363161484431</v>
      </c>
      <c r="H22" s="18">
        <f>-'Company Analysis'!H19</f>
        <v>47.994732299908748</v>
      </c>
      <c r="I22" s="18">
        <f>-'Company Analysis'!I19</f>
        <v>-11.33229924858756</v>
      </c>
      <c r="J22" s="18">
        <f>-'Company Analysis'!J19</f>
        <v>-59.320495950554147</v>
      </c>
      <c r="K22" s="18">
        <f>-'Company Analysis'!K19</f>
        <v>73.322949569735385</v>
      </c>
    </row>
    <row r="23" spans="1:16">
      <c r="A23" t="s">
        <v>179</v>
      </c>
      <c r="B23" s="18">
        <f>-'Company Analysis'!B20</f>
        <v>-0.16600000000000001</v>
      </c>
      <c r="C23" s="18">
        <f>-'Company Analysis'!C20</f>
        <v>-0.1</v>
      </c>
      <c r="D23" s="18">
        <f>-'Company Analysis'!D20</f>
        <v>-31.667999999999999</v>
      </c>
      <c r="E23" s="18">
        <f>-'Company Analysis'!E20</f>
        <v>-0.41099999999999998</v>
      </c>
      <c r="F23" s="18">
        <f>-'Company Analysis'!F20</f>
        <v>-0.30599999999999999</v>
      </c>
      <c r="G23" s="18">
        <f>-'Company Analysis'!G20</f>
        <v>-16.234999999999999</v>
      </c>
      <c r="H23" s="18">
        <f>-'Company Analysis'!H20</f>
        <v>0</v>
      </c>
      <c r="I23" s="18">
        <f>-'Company Analysis'!I20</f>
        <v>-14.3</v>
      </c>
      <c r="J23" s="18">
        <f>-'Company Analysis'!J20</f>
        <v>-23</v>
      </c>
      <c r="K23" s="18">
        <f>-'Company Analysis'!K20</f>
        <v>-10.3</v>
      </c>
    </row>
    <row r="24" spans="1:16">
      <c r="A24" t="s">
        <v>180</v>
      </c>
      <c r="B24" s="18">
        <f>-'Company Analysis'!B21</f>
        <v>0</v>
      </c>
      <c r="C24" s="18">
        <f>-'Company Analysis'!C21</f>
        <v>58.402000000000001</v>
      </c>
      <c r="D24" s="18">
        <f>-'Company Analysis'!D21</f>
        <v>112.70699999999999</v>
      </c>
      <c r="E24" s="18">
        <f>-'Company Analysis'!E21</f>
        <v>44.397999999999996</v>
      </c>
      <c r="F24" s="18">
        <f>-'Company Analysis'!F21</f>
        <v>757.03200000000004</v>
      </c>
      <c r="G24" s="18">
        <f>-'Company Analysis'!G21</f>
        <v>20.256</v>
      </c>
      <c r="H24" s="18">
        <f>-'Company Analysis'!H21</f>
        <v>659.92899999999997</v>
      </c>
      <c r="I24" s="18">
        <f>-'Company Analysis'!I21</f>
        <v>361.97899999999998</v>
      </c>
      <c r="J24" s="18">
        <f>-'Company Analysis'!J21</f>
        <v>2747.5160000000001</v>
      </c>
      <c r="K24" s="18">
        <f>-'Company Analysis'!K21</f>
        <v>0</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-0.45400000000000001</v>
      </c>
      <c r="H26" s="18">
        <f>'Company Analysis'!H23</f>
        <v>-0.60399999999999998</v>
      </c>
      <c r="I26" s="18">
        <f>'Company Analysis'!I23</f>
        <v>-0.67600000000000005</v>
      </c>
      <c r="J26" s="18">
        <f>'Company Analysis'!J23</f>
        <v>-0.78300000000000003</v>
      </c>
      <c r="K26" s="18">
        <f>'Company Analysis'!K23</f>
        <v>-0.8</v>
      </c>
    </row>
    <row r="27" spans="1:16">
      <c r="A27" t="s">
        <v>182</v>
      </c>
      <c r="B27" s="18">
        <f>-'Company Analysis'!B27</f>
        <v>45.36854280183335</v>
      </c>
      <c r="C27" s="18">
        <f>-'Company Analysis'!C27</f>
        <v>29.404523297194686</v>
      </c>
      <c r="D27" s="18">
        <f>-'Company Analysis'!D27</f>
        <v>33.984266085948519</v>
      </c>
      <c r="E27" s="18">
        <f>-'Company Analysis'!E27</f>
        <v>57.614399521791867</v>
      </c>
      <c r="F27" s="18">
        <f>-'Company Analysis'!F27</f>
        <v>82.715421041632851</v>
      </c>
      <c r="G27" s="18">
        <f>-'Company Analysis'!G27</f>
        <v>79.151449066672342</v>
      </c>
      <c r="H27" s="18">
        <f>-'Company Analysis'!H27</f>
        <v>68.911876896416558</v>
      </c>
      <c r="I27" s="18">
        <f>-'Company Analysis'!I27</f>
        <v>511.69778494999497</v>
      </c>
      <c r="J27" s="18">
        <f>-'Company Analysis'!J27</f>
        <v>1210.0975710182802</v>
      </c>
      <c r="K27" s="18">
        <f>-'Company Analysis'!K27</f>
        <v>553.83281406154663</v>
      </c>
    </row>
    <row r="29" spans="1:16">
      <c r="A29" s="10" t="s">
        <v>73</v>
      </c>
      <c r="B29" s="131">
        <f>B1</f>
        <v>39903</v>
      </c>
      <c r="C29" s="131">
        <f t="shared" ref="C29:P29" si="6">C1</f>
        <v>40268</v>
      </c>
      <c r="D29" s="131">
        <f t="shared" si="6"/>
        <v>40633</v>
      </c>
      <c r="E29" s="131">
        <f t="shared" si="6"/>
        <v>40999</v>
      </c>
      <c r="F29" s="131">
        <f t="shared" si="6"/>
        <v>41364</v>
      </c>
      <c r="G29" s="131">
        <f t="shared" si="6"/>
        <v>41729</v>
      </c>
      <c r="H29" s="131">
        <f t="shared" si="6"/>
        <v>42094</v>
      </c>
      <c r="I29" s="131">
        <f t="shared" si="6"/>
        <v>42460</v>
      </c>
      <c r="J29" s="131">
        <f t="shared" si="6"/>
        <v>42825</v>
      </c>
      <c r="K29" s="131">
        <f t="shared" si="6"/>
        <v>43190</v>
      </c>
      <c r="L29" s="131">
        <f t="shared" si="6"/>
        <v>43555</v>
      </c>
      <c r="M29" s="131">
        <f t="shared" si="6"/>
        <v>43920</v>
      </c>
      <c r="N29" s="131">
        <f t="shared" si="6"/>
        <v>44285</v>
      </c>
      <c r="O29" s="131">
        <f t="shared" si="6"/>
        <v>44650</v>
      </c>
      <c r="P29" s="131">
        <f t="shared" si="6"/>
        <v>45015</v>
      </c>
    </row>
    <row r="30" spans="1:16">
      <c r="A30" t="s">
        <v>183</v>
      </c>
      <c r="B30" s="18">
        <f>'Company Analysis'!B32</f>
        <v>161.08045719816667</v>
      </c>
      <c r="C30" s="18">
        <f>'Company Analysis'!C32</f>
        <v>316.73647670280536</v>
      </c>
      <c r="D30" s="18">
        <f>'Company Analysis'!D32</f>
        <v>343.18373391405146</v>
      </c>
      <c r="E30" s="18">
        <f>'Company Analysis'!E32</f>
        <v>248.00660047820813</v>
      </c>
      <c r="F30" s="18">
        <f>'Company Analysis'!F32</f>
        <v>-430.894421041633</v>
      </c>
      <c r="G30" s="18">
        <f>'Company Analysis'!G32</f>
        <v>479.86555093332765</v>
      </c>
      <c r="H30" s="18">
        <f>'Company Analysis'!H32</f>
        <v>-157.73487689641649</v>
      </c>
      <c r="I30" s="18">
        <f>'Company Analysis'!I32</f>
        <v>-213.46478494999496</v>
      </c>
      <c r="J30" s="18">
        <f>'Company Analysis'!J32</f>
        <v>-2951.2545710182803</v>
      </c>
      <c r="K30" s="18">
        <f>'Company Analysis'!K32</f>
        <v>668.46718593845321</v>
      </c>
    </row>
    <row r="31" spans="1:16">
      <c r="A31" t="s">
        <v>184</v>
      </c>
      <c r="L31" s="18">
        <f>IF('Valuation Model'!$B$12=1,L11*(1-'Valuation Model'!C12),L11+'Valuation Model'!C13)</f>
        <v>-6906.0876799999996</v>
      </c>
      <c r="M31" s="18">
        <f>IF('Valuation Model'!$B$12=1,M11*(1-'Valuation Model'!D12),M11+'Valuation Model'!D13)</f>
        <v>1652.3066240000001</v>
      </c>
      <c r="N31" s="18">
        <f>IF('Valuation Model'!$B$12=1,N11*(1-'Valuation Model'!E12),N11+'Valuation Model'!E13)</f>
        <v>1845.3920239360002</v>
      </c>
      <c r="O31" s="18">
        <f>IF('Valuation Model'!$B$12=1,O11*(1-'Valuation Model'!F12),O11+'Valuation Model'!F13)</f>
        <v>1986.8194656115202</v>
      </c>
      <c r="P31" s="18">
        <f>IF('Valuation Model'!$B$12=1,P11*(1-'Valuation Model'!G12),P11+'Valuation Model'!G13)</f>
        <v>2138.1468282043265</v>
      </c>
    </row>
    <row r="32" spans="1:16">
      <c r="A32" t="s">
        <v>185</v>
      </c>
      <c r="L32" s="18">
        <f>IF('Valuation Model'!$B$12=1,L12*(1-'Valuation Model'!C12),L12+'Valuation Model'!C13)</f>
        <v>-7086.8159999999998</v>
      </c>
      <c r="M32" s="18">
        <f>IF('Valuation Model'!$B$12=1,M12*(1-'Valuation Model'!D12),M12+'Valuation Model'!D13)</f>
        <v>1353.4998144000001</v>
      </c>
      <c r="N32" s="18">
        <f>IF('Valuation Model'!$B$12=1,N12*(1-'Valuation Model'!E12),N12+'Valuation Model'!E13)</f>
        <v>1475.7797995520002</v>
      </c>
      <c r="O32" s="18">
        <f>IF('Valuation Model'!$B$12=1,O12*(1-'Valuation Model'!F12),O12+'Valuation Model'!F13)</f>
        <v>1541.8109915340804</v>
      </c>
      <c r="P32" s="18">
        <f>IF('Valuation Model'!$B$12=1,P12*(1-'Valuation Model'!G12),P12+'Valuation Model'!G13)</f>
        <v>1610.4834311954437</v>
      </c>
    </row>
    <row r="33" spans="1:16">
      <c r="A33" t="s">
        <v>186</v>
      </c>
      <c r="B33" s="20">
        <f t="shared" ref="B33:J33" si="7">B30/B2</f>
        <v>0.17832502177928927</v>
      </c>
      <c r="C33" s="20">
        <f t="shared" si="7"/>
        <v>0.33420574521071461</v>
      </c>
      <c r="D33" s="20">
        <f t="shared" si="7"/>
        <v>0.2307575175675522</v>
      </c>
      <c r="E33" s="20">
        <f t="shared" si="7"/>
        <v>0.17930227279696015</v>
      </c>
      <c r="F33" s="20">
        <f t="shared" si="7"/>
        <v>-0.27243813541003953</v>
      </c>
      <c r="G33" s="20">
        <f t="shared" si="7"/>
        <v>0.24847831752378299</v>
      </c>
      <c r="H33" s="20">
        <f t="shared" si="7"/>
        <v>-7.3466340059699278E-2</v>
      </c>
      <c r="I33" s="20">
        <f t="shared" si="7"/>
        <v>-9.8219962946328079E-2</v>
      </c>
      <c r="J33" s="20">
        <f t="shared" si="7"/>
        <v>-0.8660274983349352</v>
      </c>
      <c r="K33" s="20">
        <f>K30/K2</f>
        <v>0.16792282604965161</v>
      </c>
    </row>
    <row r="34" spans="1:16">
      <c r="A34" t="s">
        <v>187</v>
      </c>
      <c r="K34" s="98">
        <f>K33</f>
        <v>0.16792282604965161</v>
      </c>
      <c r="L34" s="132">
        <f>L31/L3</f>
        <v>-1.2131812560429924</v>
      </c>
      <c r="M34" s="132">
        <f t="shared" ref="M34:P34" si="8">M31/M3</f>
        <v>0.27126918968581376</v>
      </c>
      <c r="N34" s="132">
        <f t="shared" si="8"/>
        <v>0.2831487754073026</v>
      </c>
      <c r="O34" s="132">
        <f t="shared" si="8"/>
        <v>0.2849053975769183</v>
      </c>
      <c r="P34" s="132">
        <f t="shared" si="8"/>
        <v>0.28654710053917598</v>
      </c>
    </row>
    <row r="35" spans="1:16">
      <c r="A35" t="s">
        <v>188</v>
      </c>
      <c r="K35" s="98">
        <f>K33</f>
        <v>0.16792282604965161</v>
      </c>
      <c r="L35" s="132">
        <f>L32/L4</f>
        <v>-1.2536966170010415</v>
      </c>
      <c r="M35" s="132">
        <f t="shared" ref="M35:P35" si="9">M32/M4</f>
        <v>0.2302322502290518</v>
      </c>
      <c r="N35" s="132">
        <f t="shared" si="9"/>
        <v>0.24137716368178058</v>
      </c>
      <c r="O35" s="132">
        <f t="shared" si="9"/>
        <v>0.24247804200171208</v>
      </c>
      <c r="P35" s="132">
        <f t="shared" si="9"/>
        <v>0.24353657884780008</v>
      </c>
    </row>
    <row r="37" spans="1:16">
      <c r="A37" s="10" t="s">
        <v>153</v>
      </c>
      <c r="B37" s="131">
        <f>B1</f>
        <v>39903</v>
      </c>
      <c r="C37" s="131">
        <f t="shared" ref="C37:K37" si="10">C1</f>
        <v>40268</v>
      </c>
      <c r="D37" s="131">
        <f t="shared" si="10"/>
        <v>40633</v>
      </c>
      <c r="E37" s="131">
        <f t="shared" si="10"/>
        <v>40999</v>
      </c>
      <c r="F37" s="131">
        <f t="shared" si="10"/>
        <v>41364</v>
      </c>
      <c r="G37" s="131">
        <f t="shared" si="10"/>
        <v>41729</v>
      </c>
      <c r="H37" s="131">
        <f t="shared" si="10"/>
        <v>42094</v>
      </c>
      <c r="I37" s="131">
        <f t="shared" si="10"/>
        <v>42460</v>
      </c>
      <c r="J37" s="131">
        <f t="shared" si="10"/>
        <v>42825</v>
      </c>
      <c r="K37" s="131">
        <f t="shared" si="10"/>
        <v>43190</v>
      </c>
    </row>
    <row r="38" spans="1:16">
      <c r="A38" t="str">
        <f>ticker&amp;" Actual OCP ($, LHS)"</f>
        <v>MCHP Actual OCP ($, LHS)</v>
      </c>
      <c r="B38" s="18">
        <f>B10</f>
        <v>212.97540000000001</v>
      </c>
      <c r="C38" s="18">
        <f t="shared" ref="C38:K38" si="11">C10</f>
        <v>359.90609999999998</v>
      </c>
      <c r="D38" s="18">
        <f t="shared" si="11"/>
        <v>473.19009999999997</v>
      </c>
      <c r="E38" s="18">
        <f t="shared" si="11"/>
        <v>321.33683861039583</v>
      </c>
      <c r="F38" s="18">
        <f t="shared" si="11"/>
        <v>365.44075166709945</v>
      </c>
      <c r="G38" s="18">
        <f t="shared" si="11"/>
        <v>580.52836316148444</v>
      </c>
      <c r="H38" s="18">
        <f t="shared" si="11"/>
        <v>619.70473229990876</v>
      </c>
      <c r="I38" s="18">
        <f t="shared" si="11"/>
        <v>635.25570075141241</v>
      </c>
      <c r="J38" s="18">
        <f t="shared" si="11"/>
        <v>924.82150404944582</v>
      </c>
      <c r="K38" s="18">
        <f t="shared" si="11"/>
        <v>1286.1229495697353</v>
      </c>
    </row>
    <row r="39" spans="1:16">
      <c r="A39" t="str">
        <f>ticker&amp;" OCP if GDP-Growth ($, LHS)"</f>
        <v>MCHP OCP if GDP-Growth ($, LHS)</v>
      </c>
      <c r="B39" s="18">
        <f>B38</f>
        <v>212.97540000000001</v>
      </c>
      <c r="C39" s="18">
        <f>(1+'Company Analysis'!C40)*B39</f>
        <v>217.37589561523649</v>
      </c>
      <c r="D39" s="18">
        <f>(1+'Company Analysis'!D40)*C39</f>
        <v>225.62756521944672</v>
      </c>
      <c r="E39" s="18">
        <f>(1+'Company Analysis'!E40)*D39</f>
        <v>236.26012208788993</v>
      </c>
      <c r="F39" s="18">
        <f>(1+'Company Analysis'!F40)*E39</f>
        <v>244.34299744575532</v>
      </c>
      <c r="G39" s="18">
        <f>(1+'Company Analysis'!G40)*F39</f>
        <v>252.36220479842044</v>
      </c>
      <c r="H39" s="18">
        <f>(1+'Company Analysis'!H40)*G39</f>
        <v>261.55704927036481</v>
      </c>
      <c r="I39" s="18">
        <f>(1+'Company Analysis'!I40)*H39</f>
        <v>271.33211656086326</v>
      </c>
      <c r="J39" s="18">
        <f>(1+'Company Analysis'!J40)*I39</f>
        <v>282.17815373139422</v>
      </c>
      <c r="K39" s="18">
        <f>(1+'Company Analysis'!K40)*J39</f>
        <v>292.48936485173016</v>
      </c>
    </row>
    <row r="40" spans="1:16">
      <c r="A40" t="str">
        <f>ticker&amp;" - GDP Growth Difference (YoY, %, RHS)"</f>
        <v>MCHP - GDP Growth Difference (YoY, %, RHS)</v>
      </c>
      <c r="B40" s="133"/>
      <c r="C40" s="98">
        <f>'Company Analysis'!C41-'Company Analysis'!C40</f>
        <v>0.66923318084982353</v>
      </c>
      <c r="D40" s="98">
        <f>'Company Analysis'!D41-'Company Analysis'!D40</f>
        <v>0.27679950682896326</v>
      </c>
      <c r="E40" s="98">
        <f>'Company Analysis'!E41-'Company Analysis'!E40</f>
        <v>-0.36803822976918421</v>
      </c>
      <c r="F40" s="98">
        <f>'Company Analysis'!F41-'Company Analysis'!F40</f>
        <v>0.10303958101990207</v>
      </c>
      <c r="G40" s="98">
        <f>'Company Analysis'!G41-'Company Analysis'!G40</f>
        <v>0.55575093708880918</v>
      </c>
      <c r="H40" s="98">
        <f>'Company Analysis'!H41-'Company Analysis'!H40</f>
        <v>3.104887894850461E-2</v>
      </c>
      <c r="I40" s="98">
        <f>'Company Analysis'!I41-'Company Analysis'!I40</f>
        <v>-1.2278443211670265E-2</v>
      </c>
      <c r="J40" s="98">
        <f>'Company Analysis'!J41-'Company Analysis'!J40</f>
        <v>0.41585229873487983</v>
      </c>
      <c r="K40" s="98">
        <f>'Company Analysis'!K41-'Company Analysis'!K40</f>
        <v>0.35413005133586983</v>
      </c>
    </row>
    <row r="41" spans="1:16">
      <c r="A41" t="str">
        <f>ticker&amp;" - GDP Growth Difference (3Y, %, RHS)"</f>
        <v>MCHP - GDP Growth Difference (3Y, %, RHS)</v>
      </c>
      <c r="B41" s="134"/>
      <c r="C41" s="98"/>
      <c r="D41" s="98"/>
      <c r="E41" s="98">
        <f>'Company Analysis'!E43-'Company Analysis'!E42</f>
        <v>6.8092783802422563E-2</v>
      </c>
      <c r="F41" s="98">
        <f>'Company Analysis'!F43-'Company Analysis'!F42</f>
        <v>-3.4906237401259865E-2</v>
      </c>
      <c r="G41" s="98">
        <f>'Company Analysis'!G43-'Company Analysis'!G42</f>
        <v>5.4680170662474881E-2</v>
      </c>
      <c r="H41" s="98">
        <f>'Company Analysis'!H43-'Company Analysis'!H42</f>
        <v>0.20092164679611901</v>
      </c>
      <c r="I41" s="98">
        <f>'Company Analysis'!I43-'Company Analysis'!I42</f>
        <v>0.13673813341981722</v>
      </c>
      <c r="J41" s="98">
        <f>'Company Analysis'!J43-'Company Analysis'!J42</f>
        <v>0.14960578265213464</v>
      </c>
      <c r="K41" s="98">
        <f>'Company Analysis'!K43-'Company Analysis'!K42</f>
        <v>0.26777638476096843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8A90-73A4-4BC0-8BEB-1ACCB3EEE055}">
  <dimension ref="A1:B8"/>
  <sheetViews>
    <sheetView workbookViewId="0">
      <selection activeCell="O14" sqref="O14"/>
    </sheetView>
  </sheetViews>
  <sheetFormatPr defaultRowHeight="14.25"/>
  <sheetData>
    <row r="1" spans="1:2">
      <c r="B1" t="s">
        <v>220</v>
      </c>
    </row>
    <row r="2" spans="1:2">
      <c r="A2" t="s">
        <v>214</v>
      </c>
      <c r="B2" s="98">
        <v>0.54200000000000004</v>
      </c>
    </row>
    <row r="3" spans="1:2">
      <c r="A3" t="s">
        <v>215</v>
      </c>
      <c r="B3" s="98">
        <v>0.28999999999999998</v>
      </c>
    </row>
    <row r="4" spans="1:2">
      <c r="A4" t="s">
        <v>216</v>
      </c>
      <c r="B4" s="98">
        <v>0.06</v>
      </c>
    </row>
    <row r="5" spans="1:2">
      <c r="A5" t="s">
        <v>218</v>
      </c>
      <c r="B5" s="98">
        <v>5.1999999999999998E-2</v>
      </c>
    </row>
    <row r="6" spans="1:2">
      <c r="A6" t="s">
        <v>217</v>
      </c>
      <c r="B6" s="98">
        <v>3.1E-2</v>
      </c>
    </row>
    <row r="7" spans="1:2">
      <c r="A7" t="s">
        <v>219</v>
      </c>
      <c r="B7" s="98">
        <v>2.5000000000000001E-2</v>
      </c>
    </row>
    <row r="8" spans="1:2">
      <c r="B8" s="14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42EAC-C5D9-431F-971F-1339EA603E15}">
  <dimension ref="A1:N22"/>
  <sheetViews>
    <sheetView workbookViewId="0">
      <selection activeCell="J13" sqref="J13"/>
    </sheetView>
  </sheetViews>
  <sheetFormatPr defaultRowHeight="14.25"/>
  <sheetData>
    <row r="1" spans="1:14">
      <c r="A1" t="s">
        <v>207</v>
      </c>
    </row>
    <row r="2" spans="1:14">
      <c r="A2" t="s">
        <v>206</v>
      </c>
    </row>
    <row r="3" spans="1:14">
      <c r="A3" t="s">
        <v>205</v>
      </c>
    </row>
    <row r="4" spans="1:14">
      <c r="A4" t="s">
        <v>204</v>
      </c>
    </row>
    <row r="5" spans="1:14">
      <c r="A5" t="s">
        <v>203</v>
      </c>
    </row>
    <row r="7" spans="1:14">
      <c r="A7" t="s">
        <v>202</v>
      </c>
      <c r="B7" t="s">
        <v>201</v>
      </c>
      <c r="C7" t="s">
        <v>200</v>
      </c>
      <c r="E7" s="130">
        <v>43190</v>
      </c>
      <c r="F7" s="130">
        <v>42825</v>
      </c>
      <c r="G7" s="130">
        <v>42460</v>
      </c>
      <c r="H7" s="130">
        <v>42094</v>
      </c>
      <c r="I7" s="130">
        <v>41729</v>
      </c>
      <c r="J7" s="130">
        <v>41364</v>
      </c>
      <c r="K7" s="130">
        <v>40999</v>
      </c>
      <c r="L7" s="130">
        <v>40633</v>
      </c>
      <c r="M7" s="130">
        <v>40268</v>
      </c>
      <c r="N7" s="130">
        <v>39903</v>
      </c>
    </row>
    <row r="8" spans="1:14">
      <c r="A8" t="s">
        <v>194</v>
      </c>
      <c r="B8" t="s">
        <v>197</v>
      </c>
      <c r="C8" t="s">
        <v>199</v>
      </c>
      <c r="E8">
        <v>1419.6</v>
      </c>
      <c r="F8">
        <v>1059.5</v>
      </c>
      <c r="G8">
        <v>744.4</v>
      </c>
      <c r="H8">
        <v>721.18200000000002</v>
      </c>
      <c r="I8">
        <v>676.56399999999996</v>
      </c>
      <c r="J8">
        <v>459.36500000000001</v>
      </c>
      <c r="K8">
        <v>411.97800000000001</v>
      </c>
      <c r="L8">
        <v>582.66099999999994</v>
      </c>
      <c r="M8">
        <v>452.04700000000003</v>
      </c>
      <c r="N8">
        <v>308.65300000000002</v>
      </c>
    </row>
    <row r="9" spans="1:14">
      <c r="A9" t="s">
        <v>194</v>
      </c>
      <c r="B9" t="s">
        <v>197</v>
      </c>
      <c r="C9" t="s">
        <v>198</v>
      </c>
      <c r="E9">
        <v>615.9</v>
      </c>
      <c r="F9">
        <v>469.2</v>
      </c>
      <c r="G9">
        <v>283.2</v>
      </c>
      <c r="H9">
        <v>278.298</v>
      </c>
      <c r="I9">
        <v>189.13900000000001</v>
      </c>
      <c r="J9">
        <v>204.09700000000001</v>
      </c>
      <c r="K9">
        <v>99.424000000000007</v>
      </c>
      <c r="L9">
        <v>106.61199999999999</v>
      </c>
      <c r="M9">
        <v>90.057000000000002</v>
      </c>
      <c r="N9">
        <v>96.046000000000006</v>
      </c>
    </row>
    <row r="10" spans="1:14">
      <c r="A10" t="s">
        <v>194</v>
      </c>
      <c r="B10" t="s">
        <v>197</v>
      </c>
      <c r="C10" t="s">
        <v>196</v>
      </c>
      <c r="E10">
        <v>789.16660000000002</v>
      </c>
      <c r="F10">
        <v>579.13019999999995</v>
      </c>
      <c r="G10">
        <v>458.78570000000002</v>
      </c>
      <c r="H10">
        <v>443.08879999999999</v>
      </c>
      <c r="I10">
        <v>484.56479999999999</v>
      </c>
      <c r="J10">
        <v>252.25980000000001</v>
      </c>
      <c r="K10">
        <v>309.91789999999997</v>
      </c>
      <c r="L10">
        <v>473.19009999999997</v>
      </c>
      <c r="M10">
        <v>359.90609999999998</v>
      </c>
      <c r="N10">
        <v>212.97540000000001</v>
      </c>
    </row>
    <row r="12" spans="1:14">
      <c r="A12" t="s">
        <v>222</v>
      </c>
      <c r="B12" t="s">
        <v>37</v>
      </c>
      <c r="C12" t="s">
        <v>199</v>
      </c>
      <c r="D12" t="s">
        <v>209</v>
      </c>
      <c r="E12" t="s">
        <v>210</v>
      </c>
      <c r="F12" t="s">
        <v>208</v>
      </c>
      <c r="G12" t="s">
        <v>212</v>
      </c>
      <c r="H12" t="s">
        <v>211</v>
      </c>
      <c r="I12" t="s">
        <v>213</v>
      </c>
      <c r="J12" t="s">
        <v>223</v>
      </c>
      <c r="K12" t="s">
        <v>224</v>
      </c>
      <c r="L12" t="s">
        <v>221</v>
      </c>
    </row>
    <row r="13" spans="1:14">
      <c r="A13" s="19">
        <v>2009</v>
      </c>
      <c r="B13">
        <v>903.29700000000003</v>
      </c>
      <c r="C13">
        <v>308.65300000000002</v>
      </c>
      <c r="D13">
        <v>96.046000000000006</v>
      </c>
      <c r="E13">
        <f t="shared" ref="E13:E22" si="0">(C13-F13)/D13</f>
        <v>0.99616433792141268</v>
      </c>
      <c r="F13">
        <v>212.97540000000001</v>
      </c>
      <c r="J13" s="20">
        <f>F13/B13</f>
        <v>0.23577560868684386</v>
      </c>
      <c r="K13" s="98">
        <f ca="1">AVERAGE(K13:K14)</f>
        <v>0.3077659762680966</v>
      </c>
    </row>
    <row r="14" spans="1:14">
      <c r="A14" s="19">
        <v>2010</v>
      </c>
      <c r="B14">
        <v>947.72900000000004</v>
      </c>
      <c r="C14">
        <v>452.04700000000003</v>
      </c>
      <c r="D14">
        <v>90.057000000000002</v>
      </c>
      <c r="E14">
        <f t="shared" si="0"/>
        <v>1.0231397892445899</v>
      </c>
      <c r="F14">
        <v>359.90609999999998</v>
      </c>
      <c r="J14" s="20">
        <f t="shared" ref="J14:J22" si="1">F14/B14</f>
        <v>0.37975634384934931</v>
      </c>
      <c r="K14" s="98">
        <f ca="1">AVERAGE(K14:K15)</f>
        <v>0.3077659762680966</v>
      </c>
    </row>
    <row r="15" spans="1:14">
      <c r="A15" s="19">
        <v>2011</v>
      </c>
      <c r="B15">
        <v>1487.2049999999999</v>
      </c>
      <c r="C15">
        <v>582.66099999999994</v>
      </c>
      <c r="D15">
        <v>106.61199999999999</v>
      </c>
      <c r="E15">
        <f t="shared" si="0"/>
        <v>1.0268159306644653</v>
      </c>
      <c r="F15">
        <v>473.19009999999997</v>
      </c>
      <c r="J15" s="20">
        <f t="shared" si="1"/>
        <v>0.31817409166859983</v>
      </c>
      <c r="K15" s="20">
        <v>0.31817409166859983</v>
      </c>
    </row>
    <row r="16" spans="1:14">
      <c r="A16" s="19">
        <v>2012</v>
      </c>
      <c r="B16">
        <v>1383.1759999999999</v>
      </c>
      <c r="C16">
        <v>411.97800000000001</v>
      </c>
      <c r="D16">
        <v>99.424000000000007</v>
      </c>
      <c r="E16">
        <f t="shared" si="0"/>
        <v>1.0265137190215645</v>
      </c>
      <c r="F16">
        <v>309.91789999999997</v>
      </c>
      <c r="G16">
        <v>11.124000000000001</v>
      </c>
      <c r="H16">
        <f t="shared" ref="H16" si="2">D16-G16</f>
        <v>88.300000000000011</v>
      </c>
      <c r="I16">
        <f>H16*-E16</f>
        <v>-90.641161389604164</v>
      </c>
      <c r="J16" s="20">
        <f t="shared" si="1"/>
        <v>0.22406251988177933</v>
      </c>
      <c r="K16" s="20">
        <v>0.23231811324834717</v>
      </c>
      <c r="L16" s="150">
        <f>-I16/B16</f>
        <v>6.5531184310314933E-2</v>
      </c>
    </row>
    <row r="17" spans="1:12">
      <c r="A17" s="19">
        <v>2013</v>
      </c>
      <c r="B17">
        <v>1581.623</v>
      </c>
      <c r="C17">
        <v>459.36500000000001</v>
      </c>
      <c r="D17">
        <v>204.09700000000001</v>
      </c>
      <c r="E17">
        <f t="shared" si="0"/>
        <v>1.0147390701480179</v>
      </c>
      <c r="F17">
        <v>252.25980000000001</v>
      </c>
      <c r="G17">
        <v>111.53700000000001</v>
      </c>
      <c r="H17">
        <f t="shared" ref="H17:H20" si="3">D17-G17</f>
        <v>92.56</v>
      </c>
      <c r="I17">
        <f>H17*-E17</f>
        <v>-93.924248332900532</v>
      </c>
      <c r="J17" s="20">
        <f t="shared" si="1"/>
        <v>0.15949426633274807</v>
      </c>
      <c r="K17" s="20">
        <v>0.23105427252075839</v>
      </c>
      <c r="L17" s="150">
        <f t="shared" ref="L17:L22" si="4">-I17/B17</f>
        <v>5.9384725900483576E-2</v>
      </c>
    </row>
    <row r="18" spans="1:12">
      <c r="A18" s="19">
        <v>2014</v>
      </c>
      <c r="B18">
        <v>1931.2170000000001</v>
      </c>
      <c r="C18">
        <v>676.56399999999996</v>
      </c>
      <c r="D18">
        <v>189.13900000000001</v>
      </c>
      <c r="E18">
        <f t="shared" si="0"/>
        <v>1.015122211706734</v>
      </c>
      <c r="F18">
        <v>484.56479999999999</v>
      </c>
      <c r="G18">
        <v>94.534000000000006</v>
      </c>
      <c r="H18">
        <f t="shared" si="3"/>
        <v>94.605000000000004</v>
      </c>
      <c r="I18">
        <f t="shared" ref="I18:I22" si="5">H18*-E18</f>
        <v>-96.035636838515572</v>
      </c>
      <c r="J18" s="20">
        <f t="shared" si="1"/>
        <v>0.25091162722780502</v>
      </c>
      <c r="K18" s="20">
        <v>0.30060234720463025</v>
      </c>
      <c r="L18" s="150">
        <f t="shared" si="4"/>
        <v>4.9728040317849088E-2</v>
      </c>
    </row>
    <row r="19" spans="1:12">
      <c r="A19" s="19">
        <v>2015</v>
      </c>
      <c r="B19">
        <v>2147.0360000000001</v>
      </c>
      <c r="C19">
        <v>721.18200000000002</v>
      </c>
      <c r="D19">
        <v>278.298</v>
      </c>
      <c r="E19">
        <f t="shared" si="0"/>
        <v>0.99926409819689688</v>
      </c>
      <c r="F19">
        <v>443.08879999999999</v>
      </c>
      <c r="G19">
        <v>176.74600000000001</v>
      </c>
      <c r="H19">
        <f t="shared" si="3"/>
        <v>101.55199999999999</v>
      </c>
      <c r="I19">
        <f t="shared" si="5"/>
        <v>-101.47726770009126</v>
      </c>
      <c r="J19" s="20">
        <f t="shared" si="1"/>
        <v>0.20637231979342682</v>
      </c>
      <c r="K19" s="20">
        <v>0.28863266954997902</v>
      </c>
      <c r="L19" s="150">
        <f t="shared" si="4"/>
        <v>4.7263887377804216E-2</v>
      </c>
    </row>
    <row r="20" spans="1:12">
      <c r="A20" s="19">
        <v>2016</v>
      </c>
      <c r="B20">
        <v>2173.3339999999998</v>
      </c>
      <c r="C20">
        <v>744.4</v>
      </c>
      <c r="D20">
        <v>283.2</v>
      </c>
      <c r="E20">
        <f t="shared" si="0"/>
        <v>1.0085250706214688</v>
      </c>
      <c r="F20">
        <v>458.78570000000002</v>
      </c>
      <c r="G20">
        <v>174.89599999999999</v>
      </c>
      <c r="H20">
        <f t="shared" si="3"/>
        <v>108.304</v>
      </c>
      <c r="I20">
        <f t="shared" si="5"/>
        <v>-109.22729924858756</v>
      </c>
      <c r="J20" s="20">
        <f t="shared" si="1"/>
        <v>0.21109764997004604</v>
      </c>
      <c r="K20" s="20">
        <v>0.29229547816921486</v>
      </c>
      <c r="L20" s="150">
        <f t="shared" si="4"/>
        <v>5.0257944360410117E-2</v>
      </c>
    </row>
    <row r="21" spans="1:12">
      <c r="A21" s="19">
        <v>2017</v>
      </c>
      <c r="B21">
        <v>3407.8069999999998</v>
      </c>
      <c r="C21">
        <v>1059.5</v>
      </c>
      <c r="D21">
        <v>469.2</v>
      </c>
      <c r="E21">
        <f t="shared" si="0"/>
        <v>1.0238060528559252</v>
      </c>
      <c r="F21">
        <v>579.13019999999995</v>
      </c>
      <c r="G21">
        <v>337.7</v>
      </c>
      <c r="H21">
        <f>D21-G21</f>
        <v>131.5</v>
      </c>
      <c r="I21">
        <f t="shared" si="5"/>
        <v>-134.63049595055415</v>
      </c>
      <c r="J21" s="20">
        <f t="shared" si="1"/>
        <v>0.16994219449634324</v>
      </c>
      <c r="K21" s="20">
        <v>0.271383181045595</v>
      </c>
      <c r="L21" s="150">
        <f t="shared" si="4"/>
        <v>3.9506490816690665E-2</v>
      </c>
    </row>
    <row r="22" spans="1:12">
      <c r="A22" s="19">
        <v>2018</v>
      </c>
      <c r="B22">
        <v>3980.8</v>
      </c>
      <c r="C22">
        <v>1419.6</v>
      </c>
      <c r="D22">
        <v>615.9</v>
      </c>
      <c r="E22">
        <f t="shared" si="0"/>
        <v>1.0235970125020295</v>
      </c>
      <c r="F22">
        <v>789.16660000000002</v>
      </c>
      <c r="G22">
        <v>485.5</v>
      </c>
      <c r="H22">
        <f>D22-G22</f>
        <v>130.39999999999998</v>
      </c>
      <c r="I22">
        <f t="shared" si="5"/>
        <v>-133.47705043026463</v>
      </c>
      <c r="J22" s="20">
        <f t="shared" si="1"/>
        <v>0.19824321744372989</v>
      </c>
      <c r="K22" s="20">
        <v>0.32308152873033946</v>
      </c>
      <c r="L22" s="150">
        <f t="shared" si="4"/>
        <v>3.3530207604065672E-2</v>
      </c>
    </row>
  </sheetData>
  <sortState xmlns:xlrd2="http://schemas.microsoft.com/office/spreadsheetml/2017/richdata2" ref="A13:E22">
    <sortCondition ref="A1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A2445-0A44-47BA-AC8D-06363AB0DD61}">
  <dimension ref="A1:C102"/>
  <sheetViews>
    <sheetView workbookViewId="0">
      <selection activeCell="O88" sqref="O88"/>
    </sheetView>
  </sheetViews>
  <sheetFormatPr defaultRowHeight="14.25"/>
  <cols>
    <col min="1" max="1" width="10.19921875" style="130" bestFit="1" customWidth="1"/>
  </cols>
  <sheetData>
    <row r="1" spans="1:2">
      <c r="A1" s="130" t="s">
        <v>161</v>
      </c>
      <c r="B1" t="s">
        <v>195</v>
      </c>
    </row>
    <row r="2" spans="1:2" hidden="1">
      <c r="A2" s="130">
        <v>34424</v>
      </c>
      <c r="B2">
        <v>26.606999999999999</v>
      </c>
    </row>
    <row r="3" spans="1:2" hidden="1">
      <c r="A3" s="130">
        <v>34515</v>
      </c>
      <c r="B3">
        <v>34.058199999999999</v>
      </c>
    </row>
    <row r="4" spans="1:2" hidden="1">
      <c r="A4" s="130">
        <v>34607</v>
      </c>
      <c r="B4">
        <v>28.238499999999998</v>
      </c>
    </row>
    <row r="5" spans="1:2" hidden="1">
      <c r="A5" s="130">
        <v>34699</v>
      </c>
      <c r="B5">
        <v>26.8095</v>
      </c>
    </row>
    <row r="6" spans="1:2" hidden="1">
      <c r="A6" s="130">
        <v>34789</v>
      </c>
      <c r="B6">
        <v>25.5121</v>
      </c>
    </row>
    <row r="7" spans="1:2" hidden="1">
      <c r="A7" s="130">
        <v>34880</v>
      </c>
      <c r="B7">
        <v>27.597999999999999</v>
      </c>
    </row>
    <row r="8" spans="1:2" hidden="1">
      <c r="A8" s="130">
        <v>34972</v>
      </c>
      <c r="B8">
        <v>39.225200000000001</v>
      </c>
    </row>
    <row r="9" spans="1:2" hidden="1">
      <c r="A9" s="130">
        <v>35064</v>
      </c>
      <c r="B9">
        <v>37.340000000000003</v>
      </c>
    </row>
    <row r="10" spans="1:2" hidden="1">
      <c r="A10" s="130">
        <v>35155</v>
      </c>
      <c r="B10">
        <v>42.547899999999998</v>
      </c>
    </row>
    <row r="11" spans="1:2" hidden="1">
      <c r="A11" s="130">
        <v>35246</v>
      </c>
      <c r="B11">
        <v>33.968299999999999</v>
      </c>
    </row>
    <row r="12" spans="1:2" hidden="1">
      <c r="A12" s="130">
        <v>35338</v>
      </c>
      <c r="B12">
        <v>29.922899999999998</v>
      </c>
    </row>
    <row r="13" spans="1:2" hidden="1">
      <c r="A13" s="130">
        <v>35430</v>
      </c>
      <c r="B13">
        <v>28.898800000000001</v>
      </c>
    </row>
    <row r="14" spans="1:2" hidden="1">
      <c r="A14" s="130">
        <v>35520</v>
      </c>
      <c r="B14">
        <v>36.324100000000001</v>
      </c>
    </row>
    <row r="15" spans="1:2" hidden="1">
      <c r="A15" s="130">
        <v>35611</v>
      </c>
      <c r="B15">
        <v>72.783699999999996</v>
      </c>
    </row>
    <row r="16" spans="1:2" hidden="1">
      <c r="A16" s="130">
        <v>35703</v>
      </c>
      <c r="B16">
        <v>87.3459</v>
      </c>
    </row>
    <row r="17" spans="1:3" hidden="1">
      <c r="A17" s="130">
        <v>35795</v>
      </c>
      <c r="B17">
        <v>102.7954</v>
      </c>
    </row>
    <row r="18" spans="1:3" hidden="1">
      <c r="A18" s="130">
        <v>35885</v>
      </c>
      <c r="B18">
        <v>81.9602</v>
      </c>
    </row>
    <row r="19" spans="1:3" hidden="1">
      <c r="A19" s="130">
        <v>35976</v>
      </c>
      <c r="B19">
        <v>48.614199999999997</v>
      </c>
    </row>
    <row r="20" spans="1:3" hidden="1">
      <c r="A20" s="130">
        <v>36068</v>
      </c>
      <c r="B20">
        <v>32.488900000000001</v>
      </c>
    </row>
    <row r="21" spans="1:3" hidden="1">
      <c r="A21" s="130">
        <v>36160</v>
      </c>
      <c r="B21">
        <v>16.663900000000002</v>
      </c>
    </row>
    <row r="22" spans="1:3" hidden="1">
      <c r="A22" s="130">
        <v>36250</v>
      </c>
      <c r="B22">
        <v>40.880699999999997</v>
      </c>
      <c r="C22">
        <f t="shared" ref="C22:C53" si="0">(B22/B2)^0.2-1</f>
        <v>8.9693807246084223E-2</v>
      </c>
    </row>
    <row r="23" spans="1:3" hidden="1">
      <c r="A23" s="130">
        <v>36341</v>
      </c>
      <c r="B23">
        <v>56.410600000000002</v>
      </c>
      <c r="C23">
        <f t="shared" si="0"/>
        <v>0.10618510296962169</v>
      </c>
    </row>
    <row r="24" spans="1:3" hidden="1">
      <c r="A24" s="130">
        <v>36433</v>
      </c>
      <c r="B24">
        <v>93.349800000000002</v>
      </c>
      <c r="C24">
        <f t="shared" si="0"/>
        <v>0.27014807287465081</v>
      </c>
    </row>
    <row r="25" spans="1:3" hidden="1">
      <c r="A25" s="130">
        <v>36525</v>
      </c>
      <c r="B25">
        <v>134.31639999999999</v>
      </c>
      <c r="C25">
        <f t="shared" si="0"/>
        <v>0.38028276683821471</v>
      </c>
    </row>
    <row r="26" spans="1:3" hidden="1">
      <c r="A26" s="130">
        <v>36616</v>
      </c>
      <c r="B26">
        <v>173.0856</v>
      </c>
      <c r="C26">
        <f t="shared" si="0"/>
        <v>0.46657050315796655</v>
      </c>
    </row>
    <row r="27" spans="1:3" hidden="1">
      <c r="A27" s="130">
        <v>36707</v>
      </c>
      <c r="B27">
        <v>219.35159999999999</v>
      </c>
      <c r="C27">
        <f t="shared" si="0"/>
        <v>0.51374471281622802</v>
      </c>
    </row>
    <row r="28" spans="1:3" hidden="1">
      <c r="A28" s="130">
        <v>36799</v>
      </c>
      <c r="B28">
        <v>231.78639999999999</v>
      </c>
      <c r="C28">
        <f t="shared" si="0"/>
        <v>0.42660767690104962</v>
      </c>
    </row>
    <row r="29" spans="1:3" hidden="1">
      <c r="A29" s="130">
        <v>36891</v>
      </c>
      <c r="B29">
        <v>262.834</v>
      </c>
      <c r="C29">
        <f t="shared" si="0"/>
        <v>0.47741140129265136</v>
      </c>
    </row>
    <row r="30" spans="1:3" hidden="1">
      <c r="A30" s="130">
        <v>36981</v>
      </c>
      <c r="B30">
        <v>146.99109999999999</v>
      </c>
      <c r="C30">
        <f t="shared" si="0"/>
        <v>0.28139369284025517</v>
      </c>
    </row>
    <row r="31" spans="1:3" hidden="1">
      <c r="A31" s="130">
        <v>37072</v>
      </c>
      <c r="B31">
        <v>64.514300000000006</v>
      </c>
      <c r="C31">
        <f t="shared" si="0"/>
        <v>0.13688473542977087</v>
      </c>
    </row>
    <row r="32" spans="1:3" hidden="1">
      <c r="A32" s="130">
        <v>37164</v>
      </c>
      <c r="B32">
        <v>17.663399999999999</v>
      </c>
      <c r="C32">
        <f t="shared" si="0"/>
        <v>-0.1000588208406904</v>
      </c>
    </row>
    <row r="33" spans="1:3" hidden="1">
      <c r="A33" s="130">
        <v>37256</v>
      </c>
      <c r="B33">
        <v>-28.280999999999999</v>
      </c>
      <c r="C33">
        <f t="shared" si="0"/>
        <v>-1.9956873521528207</v>
      </c>
    </row>
    <row r="34" spans="1:3" hidden="1">
      <c r="A34" s="130">
        <v>37346</v>
      </c>
      <c r="B34">
        <v>68.177999999999997</v>
      </c>
      <c r="C34">
        <f t="shared" si="0"/>
        <v>0.13420061617709456</v>
      </c>
    </row>
    <row r="35" spans="1:3" hidden="1">
      <c r="A35" s="130">
        <v>37437</v>
      </c>
      <c r="B35">
        <v>124.1275</v>
      </c>
      <c r="C35">
        <f t="shared" si="0"/>
        <v>0.1126710174816985</v>
      </c>
    </row>
    <row r="36" spans="1:3" hidden="1">
      <c r="A36" s="130">
        <v>37529</v>
      </c>
      <c r="B36">
        <v>142.03489999999999</v>
      </c>
      <c r="C36">
        <f t="shared" si="0"/>
        <v>0.10212412536609294</v>
      </c>
    </row>
    <row r="37" spans="1:3" hidden="1">
      <c r="A37" s="130">
        <v>37621</v>
      </c>
      <c r="B37">
        <v>158.85499999999999</v>
      </c>
      <c r="C37">
        <f t="shared" si="0"/>
        <v>9.0951494621030138E-2</v>
      </c>
    </row>
    <row r="38" spans="1:3" hidden="1">
      <c r="A38" s="130">
        <v>37711</v>
      </c>
      <c r="B38">
        <v>145.75640000000001</v>
      </c>
      <c r="C38">
        <f t="shared" si="0"/>
        <v>0.12203117766881744</v>
      </c>
    </row>
    <row r="39" spans="1:3" hidden="1">
      <c r="A39" s="130">
        <v>37802</v>
      </c>
      <c r="B39">
        <v>111.0372</v>
      </c>
      <c r="C39">
        <f t="shared" si="0"/>
        <v>0.17961713291969028</v>
      </c>
    </row>
    <row r="40" spans="1:3" hidden="1">
      <c r="A40" s="130">
        <v>37894</v>
      </c>
      <c r="B40">
        <v>131.7749</v>
      </c>
      <c r="C40">
        <f t="shared" si="0"/>
        <v>0.32318185770235086</v>
      </c>
    </row>
    <row r="41" spans="1:3" hidden="1">
      <c r="A41" s="130">
        <v>37986</v>
      </c>
      <c r="B41">
        <v>191.42619999999999</v>
      </c>
      <c r="C41">
        <f t="shared" si="0"/>
        <v>0.62946465857989575</v>
      </c>
    </row>
    <row r="42" spans="1:3" hidden="1">
      <c r="A42" s="130">
        <v>38077</v>
      </c>
      <c r="B42">
        <v>229.5138</v>
      </c>
      <c r="C42">
        <f t="shared" si="0"/>
        <v>0.4120760789207516</v>
      </c>
    </row>
    <row r="43" spans="1:3" hidden="1">
      <c r="A43" s="130">
        <v>38168</v>
      </c>
      <c r="B43">
        <v>294.71129999999999</v>
      </c>
      <c r="C43">
        <f t="shared" si="0"/>
        <v>0.39189736867785729</v>
      </c>
    </row>
    <row r="44" spans="1:3" hidden="1">
      <c r="A44" s="130">
        <v>38260</v>
      </c>
      <c r="B44">
        <v>293.97399999999999</v>
      </c>
      <c r="C44">
        <f t="shared" si="0"/>
        <v>0.25787969293565105</v>
      </c>
    </row>
    <row r="45" spans="1:3" hidden="1">
      <c r="A45" s="130">
        <v>38352</v>
      </c>
      <c r="B45">
        <v>266.62009999999998</v>
      </c>
      <c r="C45">
        <f t="shared" si="0"/>
        <v>0.14697187527912359</v>
      </c>
    </row>
    <row r="46" spans="1:3" hidden="1">
      <c r="A46" s="130">
        <v>38442</v>
      </c>
      <c r="B46">
        <v>228.45140000000001</v>
      </c>
      <c r="C46">
        <f t="shared" si="0"/>
        <v>5.707688728340532E-2</v>
      </c>
    </row>
    <row r="47" spans="1:3" hidden="1">
      <c r="A47" s="130">
        <v>38533</v>
      </c>
      <c r="B47">
        <v>220.2004</v>
      </c>
      <c r="C47">
        <f t="shared" si="0"/>
        <v>7.7272218671797788E-4</v>
      </c>
    </row>
    <row r="48" spans="1:3" hidden="1">
      <c r="A48" s="130">
        <v>38625</v>
      </c>
      <c r="B48">
        <v>249.74</v>
      </c>
      <c r="C48">
        <f t="shared" si="0"/>
        <v>1.5032694955907644E-2</v>
      </c>
    </row>
    <row r="49" spans="1:3" hidden="1">
      <c r="A49" s="130">
        <v>38717</v>
      </c>
      <c r="B49">
        <v>264.28129999999999</v>
      </c>
      <c r="C49">
        <f t="shared" si="0"/>
        <v>1.0988857292595355E-3</v>
      </c>
    </row>
    <row r="50" spans="1:3" hidden="1">
      <c r="A50" s="130">
        <v>38807</v>
      </c>
      <c r="B50">
        <v>322.91919999999999</v>
      </c>
      <c r="C50">
        <f t="shared" si="0"/>
        <v>0.17047075112900223</v>
      </c>
    </row>
    <row r="51" spans="1:3" hidden="1">
      <c r="A51" s="130">
        <v>38898</v>
      </c>
      <c r="B51">
        <v>357.2371</v>
      </c>
      <c r="C51">
        <f t="shared" si="0"/>
        <v>0.40818629456902622</v>
      </c>
    </row>
    <row r="52" spans="1:3" hidden="1">
      <c r="A52" s="130">
        <v>38990</v>
      </c>
      <c r="B52">
        <v>369.79809999999998</v>
      </c>
      <c r="C52">
        <f t="shared" si="0"/>
        <v>0.83729153582944704</v>
      </c>
    </row>
    <row r="53" spans="1:3" hidden="1">
      <c r="A53" s="130">
        <v>39082</v>
      </c>
      <c r="B53">
        <v>353.78980000000001</v>
      </c>
      <c r="C53">
        <f t="shared" si="0"/>
        <v>-2.6574869174012132</v>
      </c>
    </row>
    <row r="54" spans="1:3" hidden="1">
      <c r="A54" s="130">
        <v>39172</v>
      </c>
      <c r="B54">
        <v>310.3698</v>
      </c>
      <c r="C54">
        <f t="shared" ref="C54:C85" si="1">(B54/B34)^0.2-1</f>
        <v>0.35408846922791737</v>
      </c>
    </row>
    <row r="55" spans="1:3" hidden="1">
      <c r="A55" s="130">
        <v>39263</v>
      </c>
      <c r="B55">
        <v>304.96800000000002</v>
      </c>
      <c r="C55">
        <f t="shared" si="1"/>
        <v>0.19695342732183829</v>
      </c>
    </row>
    <row r="56" spans="1:3" hidden="1">
      <c r="A56" s="130">
        <v>39355</v>
      </c>
      <c r="B56">
        <v>293.26769999999999</v>
      </c>
      <c r="C56">
        <f t="shared" si="1"/>
        <v>0.15604258562010731</v>
      </c>
    </row>
    <row r="57" spans="1:3" hidden="1">
      <c r="A57" s="130">
        <v>39447</v>
      </c>
      <c r="B57">
        <v>322.81029999999998</v>
      </c>
      <c r="C57">
        <f t="shared" si="1"/>
        <v>0.15236298241634993</v>
      </c>
    </row>
    <row r="58" spans="1:3">
      <c r="A58" s="130">
        <v>39538</v>
      </c>
      <c r="B58">
        <v>342.99590000000001</v>
      </c>
      <c r="C58">
        <f t="shared" si="1"/>
        <v>0.18667627341061155</v>
      </c>
    </row>
    <row r="59" spans="1:3">
      <c r="A59" s="130">
        <v>39629</v>
      </c>
      <c r="B59">
        <v>345.399</v>
      </c>
      <c r="C59">
        <f t="shared" si="1"/>
        <v>0.25478845678155482</v>
      </c>
    </row>
    <row r="60" spans="1:3">
      <c r="A60" s="130">
        <v>39721</v>
      </c>
      <c r="B60">
        <v>386.32499999999999</v>
      </c>
      <c r="C60">
        <f t="shared" si="1"/>
        <v>0.24000667671448173</v>
      </c>
    </row>
    <row r="61" spans="1:3">
      <c r="A61" s="130">
        <v>39813</v>
      </c>
      <c r="B61">
        <v>255.15479999999999</v>
      </c>
      <c r="C61">
        <f t="shared" si="1"/>
        <v>5.915732209902691E-2</v>
      </c>
    </row>
    <row r="62" spans="1:3">
      <c r="A62" s="130">
        <v>39903</v>
      </c>
      <c r="B62">
        <v>212.97540000000001</v>
      </c>
      <c r="C62">
        <f t="shared" si="1"/>
        <v>-1.4845993707789384E-2</v>
      </c>
    </row>
    <row r="63" spans="1:3">
      <c r="A63" s="130">
        <v>39994</v>
      </c>
      <c r="B63">
        <v>207.32939999999999</v>
      </c>
      <c r="C63">
        <f t="shared" si="1"/>
        <v>-6.7920791317870322E-2</v>
      </c>
    </row>
    <row r="64" spans="1:3">
      <c r="A64" s="130">
        <v>40086</v>
      </c>
      <c r="B64">
        <v>192.29329999999999</v>
      </c>
      <c r="C64">
        <f t="shared" si="1"/>
        <v>-8.1390259482788774E-2</v>
      </c>
    </row>
    <row r="65" spans="1:3">
      <c r="A65" s="130">
        <v>40178</v>
      </c>
      <c r="B65">
        <v>294.63170000000002</v>
      </c>
      <c r="C65">
        <f t="shared" si="1"/>
        <v>2.0181202067016457E-2</v>
      </c>
    </row>
    <row r="66" spans="1:3">
      <c r="A66" s="130">
        <v>40268</v>
      </c>
      <c r="B66">
        <v>359.90609999999998</v>
      </c>
      <c r="C66">
        <f t="shared" si="1"/>
        <v>9.5163791728573477E-2</v>
      </c>
    </row>
    <row r="67" spans="1:3">
      <c r="A67" s="130">
        <v>40359</v>
      </c>
      <c r="B67">
        <v>376.48309999999998</v>
      </c>
      <c r="C67">
        <f t="shared" si="1"/>
        <v>0.11323147393716271</v>
      </c>
    </row>
    <row r="68" spans="1:3">
      <c r="A68" s="130">
        <v>40451</v>
      </c>
      <c r="B68">
        <v>401.54919999999998</v>
      </c>
      <c r="C68">
        <f t="shared" si="1"/>
        <v>9.9638993193684744E-2</v>
      </c>
    </row>
    <row r="69" spans="1:3">
      <c r="A69" s="130">
        <v>40543</v>
      </c>
      <c r="B69">
        <v>434.14429999999999</v>
      </c>
      <c r="C69">
        <f t="shared" si="1"/>
        <v>0.10436728722293154</v>
      </c>
    </row>
    <row r="70" spans="1:3">
      <c r="A70" s="130">
        <v>40633</v>
      </c>
      <c r="B70">
        <v>473.19009999999997</v>
      </c>
      <c r="C70">
        <f t="shared" si="1"/>
        <v>7.941477004009867E-2</v>
      </c>
    </row>
    <row r="71" spans="1:3">
      <c r="A71" s="130">
        <v>40724</v>
      </c>
      <c r="B71">
        <v>422.33300000000003</v>
      </c>
      <c r="C71">
        <f t="shared" si="1"/>
        <v>3.4045603500333144E-2</v>
      </c>
    </row>
    <row r="72" spans="1:3">
      <c r="A72" s="130">
        <v>40816</v>
      </c>
      <c r="B72">
        <v>421.0795</v>
      </c>
      <c r="C72">
        <f t="shared" si="1"/>
        <v>2.6313129044071681E-2</v>
      </c>
    </row>
    <row r="73" spans="1:3">
      <c r="A73" s="130">
        <v>40908</v>
      </c>
      <c r="B73">
        <v>341.89530000000002</v>
      </c>
      <c r="C73">
        <f t="shared" si="1"/>
        <v>-6.8163429478789173E-3</v>
      </c>
    </row>
    <row r="74" spans="1:3">
      <c r="A74" s="130">
        <v>40999</v>
      </c>
      <c r="B74">
        <v>309.91789999999997</v>
      </c>
      <c r="C74">
        <f t="shared" si="1"/>
        <v>-2.9137075683982605E-4</v>
      </c>
    </row>
    <row r="75" spans="1:3">
      <c r="A75" s="130">
        <v>41090</v>
      </c>
      <c r="B75">
        <v>356.67329999999998</v>
      </c>
      <c r="C75">
        <f t="shared" si="1"/>
        <v>3.181839396625219E-2</v>
      </c>
    </row>
    <row r="76" spans="1:3">
      <c r="A76" s="130">
        <v>41182</v>
      </c>
      <c r="B76">
        <v>238.34190000000001</v>
      </c>
      <c r="C76">
        <f t="shared" si="1"/>
        <v>-4.0627572138418722E-2</v>
      </c>
    </row>
    <row r="77" spans="1:3">
      <c r="A77" s="130">
        <v>41274</v>
      </c>
      <c r="B77">
        <v>281.87220000000002</v>
      </c>
      <c r="C77">
        <f t="shared" si="1"/>
        <v>-2.675770908364794E-2</v>
      </c>
    </row>
    <row r="78" spans="1:3">
      <c r="A78" s="130">
        <v>41364</v>
      </c>
      <c r="B78">
        <v>252.25980000000001</v>
      </c>
      <c r="C78">
        <f t="shared" si="1"/>
        <v>-5.9601725319202825E-2</v>
      </c>
    </row>
    <row r="79" spans="1:3">
      <c r="A79" s="130">
        <v>41455</v>
      </c>
      <c r="B79">
        <v>264.48180000000002</v>
      </c>
      <c r="C79">
        <f t="shared" si="1"/>
        <v>-5.1985580245639706E-2</v>
      </c>
    </row>
    <row r="80" spans="1:3">
      <c r="A80" s="130">
        <v>41547</v>
      </c>
      <c r="B80">
        <v>363.23489999999998</v>
      </c>
      <c r="C80">
        <f t="shared" si="1"/>
        <v>-1.2250198191512629E-2</v>
      </c>
    </row>
    <row r="81" spans="1:3">
      <c r="A81" s="130">
        <v>41639</v>
      </c>
      <c r="B81">
        <v>390.65949999999998</v>
      </c>
      <c r="C81">
        <f t="shared" si="1"/>
        <v>8.8927409034878613E-2</v>
      </c>
    </row>
    <row r="82" spans="1:3">
      <c r="A82" s="130">
        <v>41729</v>
      </c>
      <c r="B82">
        <v>484.56479999999999</v>
      </c>
      <c r="C82">
        <f t="shared" si="1"/>
        <v>0.1787032582103838</v>
      </c>
    </row>
    <row r="83" spans="1:3">
      <c r="A83" s="130">
        <v>41820</v>
      </c>
      <c r="B83">
        <v>471.12430000000001</v>
      </c>
      <c r="C83">
        <f t="shared" si="1"/>
        <v>0.17840593965049334</v>
      </c>
    </row>
    <row r="84" spans="1:3">
      <c r="A84" s="130">
        <v>41912</v>
      </c>
      <c r="B84">
        <v>483.30040000000002</v>
      </c>
      <c r="C84">
        <f t="shared" si="1"/>
        <v>0.20240452069985215</v>
      </c>
    </row>
    <row r="85" spans="1:3">
      <c r="A85" s="130">
        <v>42004</v>
      </c>
      <c r="B85">
        <v>493.57060000000001</v>
      </c>
      <c r="C85">
        <f t="shared" si="1"/>
        <v>0.10869978217768472</v>
      </c>
    </row>
    <row r="86" spans="1:3">
      <c r="A86" s="130">
        <v>42094</v>
      </c>
      <c r="B86">
        <v>443.08879999999999</v>
      </c>
      <c r="C86">
        <f t="shared" ref="C86:C100" si="2">(B86/B66)^0.2-1</f>
        <v>4.2462192103890573E-2</v>
      </c>
    </row>
    <row r="87" spans="1:3">
      <c r="A87" s="130">
        <v>42185</v>
      </c>
      <c r="B87">
        <v>458.89319999999998</v>
      </c>
      <c r="C87">
        <f t="shared" si="2"/>
        <v>4.0382952389088844E-2</v>
      </c>
    </row>
    <row r="88" spans="1:3">
      <c r="A88" s="130">
        <v>42277</v>
      </c>
      <c r="B88">
        <v>416.88929999999999</v>
      </c>
      <c r="C88">
        <f t="shared" si="2"/>
        <v>7.5263118879627111E-3</v>
      </c>
    </row>
    <row r="89" spans="1:3">
      <c r="A89" s="130">
        <v>42369</v>
      </c>
      <c r="B89">
        <v>437.50420000000003</v>
      </c>
      <c r="C89">
        <f t="shared" si="2"/>
        <v>1.5430569759389279E-3</v>
      </c>
    </row>
    <row r="90" spans="1:3">
      <c r="A90" s="130">
        <v>42460</v>
      </c>
      <c r="B90">
        <v>458.78570000000002</v>
      </c>
      <c r="C90">
        <f t="shared" si="2"/>
        <v>-6.1637246292630676E-3</v>
      </c>
    </row>
    <row r="91" spans="1:3">
      <c r="A91" s="130">
        <v>42551</v>
      </c>
      <c r="B91">
        <v>447.5224</v>
      </c>
      <c r="C91">
        <f t="shared" si="2"/>
        <v>1.1653881450729875E-2</v>
      </c>
    </row>
    <row r="92" spans="1:3">
      <c r="A92" s="130">
        <v>42643</v>
      </c>
      <c r="B92">
        <v>475.87459999999999</v>
      </c>
      <c r="C92">
        <f t="shared" si="2"/>
        <v>2.4768306333232459E-2</v>
      </c>
    </row>
    <row r="93" spans="1:3">
      <c r="A93" s="130">
        <v>42735</v>
      </c>
      <c r="B93">
        <v>514.29809999999998</v>
      </c>
      <c r="C93">
        <f t="shared" si="2"/>
        <v>8.5086493924846129E-2</v>
      </c>
    </row>
    <row r="94" spans="1:3">
      <c r="A94" s="130">
        <v>42825</v>
      </c>
      <c r="B94">
        <v>579.13019999999995</v>
      </c>
      <c r="C94">
        <f t="shared" si="2"/>
        <v>0.13319828982006121</v>
      </c>
    </row>
    <row r="95" spans="1:3">
      <c r="A95" s="130">
        <v>42916</v>
      </c>
      <c r="B95">
        <v>664.37810000000002</v>
      </c>
      <c r="C95">
        <f t="shared" si="2"/>
        <v>0.1324758296510502</v>
      </c>
    </row>
    <row r="96" spans="1:3">
      <c r="A96" s="130">
        <v>43008</v>
      </c>
      <c r="B96">
        <v>748.63810000000001</v>
      </c>
      <c r="C96">
        <f t="shared" si="2"/>
        <v>0.25722875551943147</v>
      </c>
    </row>
    <row r="97" spans="1:3">
      <c r="A97" s="130">
        <v>43100</v>
      </c>
      <c r="B97">
        <v>782.99609999999996</v>
      </c>
      <c r="C97">
        <f t="shared" si="2"/>
        <v>0.22670877170334047</v>
      </c>
    </row>
    <row r="98" spans="1:3">
      <c r="A98" s="130">
        <v>43190</v>
      </c>
      <c r="B98">
        <v>789.16660000000002</v>
      </c>
      <c r="C98">
        <f t="shared" si="2"/>
        <v>0.25621544831452336</v>
      </c>
    </row>
    <row r="99" spans="1:3">
      <c r="A99" s="130">
        <v>43281</v>
      </c>
      <c r="B99">
        <v>721.81140000000005</v>
      </c>
      <c r="C99">
        <f t="shared" si="2"/>
        <v>0.22237818009190669</v>
      </c>
    </row>
    <row r="100" spans="1:3">
      <c r="A100" s="130">
        <v>43373</v>
      </c>
      <c r="B100">
        <v>793.0403</v>
      </c>
      <c r="C100">
        <f t="shared" si="2"/>
        <v>0.16901891343834907</v>
      </c>
    </row>
    <row r="102" spans="1:3">
      <c r="B102">
        <f>(B100/B4)^(1/24)-1</f>
        <v>0.14908520975109152</v>
      </c>
    </row>
  </sheetData>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55"/>
  <sheetViews>
    <sheetView zoomScale="110" zoomScaleNormal="110" workbookViewId="0">
      <selection activeCell="C5" sqref="C5"/>
    </sheetView>
  </sheetViews>
  <sheetFormatPr defaultColWidth="9.1328125" defaultRowHeight="14.25"/>
  <cols>
    <col min="1" max="1" width="4.73046875" style="76" bestFit="1" customWidth="1"/>
    <col min="2" max="2" width="14.3984375" style="76" bestFit="1" customWidth="1"/>
    <col min="3" max="3" width="9.265625" style="76" bestFit="1" customWidth="1"/>
    <col min="4" max="4" width="12.265625" style="76" bestFit="1" customWidth="1"/>
    <col min="5" max="7" width="12.265625" style="76" customWidth="1"/>
    <col min="8" max="8" width="16.1328125" style="76" bestFit="1" customWidth="1"/>
    <col min="9" max="10" width="12.265625" style="76" customWidth="1"/>
    <col min="11" max="11" width="10.86328125" style="76" bestFit="1" customWidth="1"/>
    <col min="12" max="12" width="10.59765625" style="76" bestFit="1" customWidth="1"/>
    <col min="13" max="14" width="9.1328125" style="76"/>
    <col min="15" max="15" width="13.86328125" style="76" bestFit="1" customWidth="1"/>
    <col min="16" max="16384" width="9.1328125" style="76"/>
  </cols>
  <sheetData>
    <row r="1" spans="1:15">
      <c r="A1" s="76" t="s">
        <v>100</v>
      </c>
      <c r="B1" s="77">
        <f ca="1">MAX(C5:C12)+10</f>
        <v>158</v>
      </c>
      <c r="D1" s="76" t="s">
        <v>101</v>
      </c>
      <c r="E1" s="76">
        <v>5</v>
      </c>
    </row>
    <row r="2" spans="1:15">
      <c r="A2" s="76" t="s">
        <v>102</v>
      </c>
      <c r="B2" s="77">
        <f ca="1">MAX(MIN(C5:C12)-10,0)</f>
        <v>71</v>
      </c>
    </row>
    <row r="4" spans="1:15" s="78" customFormat="1" ht="11.65">
      <c r="B4" s="79" t="s">
        <v>103</v>
      </c>
      <c r="C4" s="80" t="s">
        <v>104</v>
      </c>
      <c r="D4" s="78" t="s">
        <v>105</v>
      </c>
      <c r="E4" s="78" t="s">
        <v>106</v>
      </c>
      <c r="F4" s="78" t="s">
        <v>107</v>
      </c>
      <c r="G4" s="78" t="s">
        <v>108</v>
      </c>
      <c r="H4" s="78" t="s">
        <v>109</v>
      </c>
      <c r="J4" s="78" t="s">
        <v>110</v>
      </c>
      <c r="K4" s="78" t="s">
        <v>111</v>
      </c>
      <c r="L4" s="78" t="s">
        <v>56</v>
      </c>
      <c r="M4" s="78" t="s">
        <v>112</v>
      </c>
      <c r="N4" s="78" t="s">
        <v>113</v>
      </c>
      <c r="O4" s="78" t="s">
        <v>114</v>
      </c>
    </row>
    <row r="5" spans="1:15" s="78" customFormat="1" ht="11.65">
      <c r="A5" s="81"/>
      <c r="B5" s="87" t="str">
        <f>'Valuation Model'!I2</f>
        <v>12% | 26% | 5%</v>
      </c>
      <c r="C5" s="88">
        <f ca="1">'Valuation Model'!K2</f>
        <v>81</v>
      </c>
      <c r="D5" s="83">
        <f t="shared" ref="D5:D12" ca="1" si="0">IF(ABS(INDEX($K$6:$K$55,MATCH(C5,$K$6:$K$55,1)+IF(C5&gt;=MAX($K$6:$K$55),0,1),1)-C5)&lt;ABS(INDEX($K$6:$K$55,MATCH(C5,$K$6:$K$55,1))-C5),INDEX($K$6:$K$55,MATCH(C5,$K$6:$K$55,1)+IF(C5&gt;=MAX($K$6:$K$55),0,1),1),INDEX($K$6:$K$55,MATCH(C5,$K$6:$K$55,1)))</f>
        <v>82.160000000000025</v>
      </c>
      <c r="E5" s="84">
        <f>IF(H5="N",5%/COUNTIF('Valuation Model'!$L$2:$L$9,"No"),IF(G5&lt;&gt;"Y",50%/(COUNTIF('Valuation Model'!$L$2:$L$9,"Yes")-COUNTIF(G$5:G$12,"Y")),45%/(COUNTIF(G$5:G$12,"Y"))))</f>
        <v>6.25E-2</v>
      </c>
      <c r="F5" s="78" t="s">
        <v>51</v>
      </c>
      <c r="G5" s="78" t="str">
        <f>IF(LEFT('Valuation Model'!L2,1)="M","Y","")</f>
        <v/>
      </c>
      <c r="H5" s="78" t="str">
        <f>IF(LEFT('Valuation Model'!L2,1)="M","Y",LEFT('Valuation Model'!L2,1))</f>
        <v>Y</v>
      </c>
      <c r="J5" s="85">
        <v>0</v>
      </c>
      <c r="K5" s="83">
        <f ca="1">$B$1*J5</f>
        <v>0</v>
      </c>
      <c r="L5" s="86" t="str">
        <f t="shared" ref="L5:L55" ca="1" si="1">IFERROR(IF(VLOOKUP(K5,$D$5:$F$16,3,FALSE)="Scenario",IF(VLOOKUP(K5,$D$5:$H$16,5,FALSE)="Y",VLOOKUP(K5,$D$5:$E$16,2,0),""),IF(VLOOKUP(K5,$D$5:$F$16,3,FALSE)&lt;&gt;"Scenario","")),"")</f>
        <v/>
      </c>
      <c r="M5" s="84" t="str">
        <f t="shared" ref="M5:M55" ca="1" si="2">IFERROR(IF(VLOOKUP(K5,$D$5:$F$16,3,FALSE)="Scenario",IF(VLOOKUP(K5,$D$5:$H$16,5,FALSE)="N",VLOOKUP(K5,$D$5:$E$16,2,0),""),IF(VLOOKUP(K5,$D$5:$F$16,3,FALSE)&lt;&gt;"Scenario","")),"")</f>
        <v/>
      </c>
      <c r="N5" s="83">
        <f ca="1">LN('Histogram Data'!K5+0.01)-LN(price)</f>
        <v>-8.9226582995244001</v>
      </c>
      <c r="O5" s="83">
        <f ca="1">_xlfn.NORM.DIST(N5,0+0.03^3,AVERAGE('Valuation Model'!$K$22:$L$22),FALSE)/scaling</f>
        <v>2.5784390292436431E-271</v>
      </c>
    </row>
    <row r="6" spans="1:15" s="78" customFormat="1" ht="11.65">
      <c r="A6" s="81"/>
      <c r="B6" s="87" t="str">
        <f>'Valuation Model'!I6</f>
        <v>14% | 26% | 5%</v>
      </c>
      <c r="C6" s="88">
        <f ca="1">'Valuation Model'!K6</f>
        <v>96</v>
      </c>
      <c r="D6" s="83">
        <f t="shared" ca="1" si="0"/>
        <v>94.800000000000026</v>
      </c>
      <c r="E6" s="84">
        <f>IF(H6="N",5%/COUNTIF('Valuation Model'!$L$2:$L$9,"No"),IF(G6&lt;&gt;"Y",50%/(COUNTIF('Valuation Model'!$L$2:$L$9,"Yes")-COUNTIF(G$5:G$12,"Y")),45%/(COUNTIF(G$5:G$12,"Y"))))</f>
        <v>6.25E-2</v>
      </c>
      <c r="F6" s="78" t="s">
        <v>51</v>
      </c>
      <c r="G6" s="78" t="str">
        <f>IF(LEFT('Valuation Model'!L3,1)="M","Y","")</f>
        <v/>
      </c>
      <c r="H6" s="78" t="str">
        <f>IF(LEFT('Valuation Model'!L6,1)="M","Y",LEFT('Valuation Model'!L6,1))</f>
        <v>Y</v>
      </c>
      <c r="J6" s="85">
        <v>0.02</v>
      </c>
      <c r="K6" s="83">
        <f ca="1">$B$1*J6</f>
        <v>3.16</v>
      </c>
      <c r="L6" s="86" t="str">
        <f t="shared" ca="1" si="1"/>
        <v/>
      </c>
      <c r="M6" s="84" t="str">
        <f t="shared" ca="1" si="2"/>
        <v/>
      </c>
      <c r="N6" s="83">
        <f ca="1">LN('Histogram Data'!K6+0.01)-LN(price)</f>
        <v>-3.1637565256471207</v>
      </c>
      <c r="O6" s="83">
        <f ca="1">_xlfn.NORM.DIST(N6,0+0.03^3,AVERAGE('Valuation Model'!$K$22:$L$22),FALSE)/scaling</f>
        <v>3.4835066059353767E-35</v>
      </c>
    </row>
    <row r="7" spans="1:15" s="78" customFormat="1" ht="11.65">
      <c r="A7" s="81"/>
      <c r="B7" s="87" t="str">
        <f>'Valuation Model'!I4</f>
        <v>12% | 30% | 5%</v>
      </c>
      <c r="C7" s="88">
        <f ca="1">'Valuation Model'!K4</f>
        <v>100</v>
      </c>
      <c r="D7" s="83">
        <f t="shared" ca="1" si="0"/>
        <v>101.12000000000003</v>
      </c>
      <c r="E7" s="84">
        <f>IF(H7="N",5%/COUNTIF('Valuation Model'!$L$2:$L$9,"No"),IF(G7&lt;&gt;"Y",50%/(COUNTIF('Valuation Model'!$L$2:$L$9,"Yes")-COUNTIF(G$5:G$12,"Y")),45%/(COUNTIF(G$5:G$12,"Y"))))</f>
        <v>6.25E-2</v>
      </c>
      <c r="F7" s="78" t="s">
        <v>51</v>
      </c>
      <c r="G7" s="78" t="str">
        <f>IF(LEFT('Valuation Model'!L4,1)="M","Y","")</f>
        <v/>
      </c>
      <c r="H7" s="78" t="str">
        <f>IF(LEFT('Valuation Model'!L4,1)="M","Y",LEFT('Valuation Model'!L4,1))</f>
        <v>Y</v>
      </c>
      <c r="J7" s="85">
        <f>J6+2%</f>
        <v>0.04</v>
      </c>
      <c r="K7" s="83">
        <f t="shared" ref="K7:K55" ca="1" si="3">$B$1*J7</f>
        <v>6.32</v>
      </c>
      <c r="L7" s="86" t="str">
        <f t="shared" ca="1" si="1"/>
        <v/>
      </c>
      <c r="M7" s="84" t="str">
        <f t="shared" ca="1" si="2"/>
        <v/>
      </c>
      <c r="N7" s="83">
        <f ca="1">LN('Histogram Data'!K7+0.01)-LN(price)</f>
        <v>-2.4721878773802253</v>
      </c>
      <c r="O7" s="83">
        <f ca="1">_xlfn.NORM.DIST(N7,0+0.03^3,AVERAGE('Valuation Model'!$K$22:$L$22),FALSE)/scaling</f>
        <v>5.8169444880844241E-22</v>
      </c>
    </row>
    <row r="8" spans="1:15" s="78" customFormat="1" ht="11.65">
      <c r="A8" s="81"/>
      <c r="B8" s="87" t="str">
        <f>'Valuation Model'!I3</f>
        <v>12% | 26% | 10%</v>
      </c>
      <c r="C8" s="88">
        <f ca="1">'Valuation Model'!K3</f>
        <v>104</v>
      </c>
      <c r="D8" s="83">
        <f t="shared" ca="1" si="0"/>
        <v>104.28000000000004</v>
      </c>
      <c r="E8" s="84">
        <f>IF(H8="N",5%/COUNTIF('Valuation Model'!$L$2:$L$9,"No"),IF(G8&lt;&gt;"Y",50%/(COUNTIF('Valuation Model'!$L$2:$L$9,"Yes")-COUNTIF(G$5:G$12,"Y")),45%/(COUNTIF(G$5:G$12,"Y"))))</f>
        <v>6.25E-2</v>
      </c>
      <c r="F8" s="78" t="s">
        <v>51</v>
      </c>
      <c r="G8" s="78" t="str">
        <f>IF(LEFT('Valuation Model'!L6,1)="M","Y","")</f>
        <v/>
      </c>
      <c r="H8" s="78" t="str">
        <f>IF(LEFT('Valuation Model'!L3,1)="M","Y",LEFT('Valuation Model'!L3,1))</f>
        <v>Y</v>
      </c>
      <c r="J8" s="85">
        <f t="shared" ref="J8:J55" si="4">J7+2%</f>
        <v>0.06</v>
      </c>
      <c r="K8" s="83">
        <f t="shared" ca="1" si="3"/>
        <v>9.48</v>
      </c>
      <c r="L8" s="86" t="str">
        <f t="shared" ca="1" si="1"/>
        <v/>
      </c>
      <c r="M8" s="84" t="str">
        <f t="shared" ca="1" si="2"/>
        <v/>
      </c>
      <c r="N8" s="83">
        <f ca="1">LN('Histogram Data'!K8+0.01)-LN(price)</f>
        <v>-2.0672495009144738</v>
      </c>
      <c r="O8" s="83">
        <f ca="1">_xlfn.NORM.DIST(N8,0+0.03^3,AVERAGE('Valuation Model'!$K$22:$L$22),FALSE)/scaling</f>
        <v>1.0017106681183198E-15</v>
      </c>
    </row>
    <row r="9" spans="1:15" s="78" customFormat="1" ht="11.65">
      <c r="A9" s="81"/>
      <c r="B9" s="87" t="str">
        <f>'Valuation Model'!I8</f>
        <v>14% | 30% | 5%</v>
      </c>
      <c r="C9" s="88">
        <f ca="1">'Valuation Model'!K8</f>
        <v>117</v>
      </c>
      <c r="D9" s="83">
        <f t="shared" ca="1" si="0"/>
        <v>116.92000000000004</v>
      </c>
      <c r="E9" s="84">
        <f>IF(H9="N",5%/COUNTIF('Valuation Model'!$L$2:$L$9,"No"),IF(G9&lt;&gt;"Y",50%/(COUNTIF('Valuation Model'!$L$2:$L$9,"Yes")-COUNTIF(G$5:G$12,"Y")),45%/(COUNTIF(G$5:G$12,"Y"))))</f>
        <v>6.25E-2</v>
      </c>
      <c r="F9" s="78" t="s">
        <v>51</v>
      </c>
      <c r="G9" s="78" t="str">
        <f>IF(LEFT('Valuation Model'!L5,1)="M","Y","")</f>
        <v/>
      </c>
      <c r="H9" s="78" t="str">
        <f>IF(LEFT('Valuation Model'!L8,1)="M","Y",LEFT('Valuation Model'!L8,1))</f>
        <v>Y</v>
      </c>
      <c r="J9" s="85">
        <f t="shared" si="4"/>
        <v>0.08</v>
      </c>
      <c r="K9" s="83">
        <f t="shared" ca="1" si="3"/>
        <v>12.64</v>
      </c>
      <c r="L9" s="86" t="str">
        <f t="shared" ca="1" si="1"/>
        <v/>
      </c>
      <c r="M9" s="84" t="str">
        <f t="shared" ca="1" si="2"/>
        <v/>
      </c>
      <c r="N9" s="83">
        <f ca="1">LN('Histogram Data'!K9+0.01)-LN(price)</f>
        <v>-1.7798308983627806</v>
      </c>
      <c r="O9" s="83">
        <f ca="1">_xlfn.NORM.DIST(N9,0+0.03^3,AVERAGE('Valuation Model'!$K$22:$L$22),FALSE)/scaling</f>
        <v>5.6480896201983242E-12</v>
      </c>
    </row>
    <row r="10" spans="1:15" s="78" customFormat="1" ht="11.65">
      <c r="A10" s="81"/>
      <c r="B10" s="87" t="str">
        <f>'Valuation Model'!I7</f>
        <v>14% | 26% | 10%</v>
      </c>
      <c r="C10" s="88">
        <f ca="1">'Valuation Model'!K7</f>
        <v>122</v>
      </c>
      <c r="D10" s="83">
        <f t="shared" ca="1" si="0"/>
        <v>123.24000000000005</v>
      </c>
      <c r="E10" s="84">
        <f>IF(H10="N",5%/COUNTIF('Valuation Model'!$L$2:$L$9,"No"),IF(G10&lt;&gt;"Y",50%/(COUNTIF('Valuation Model'!$L$2:$L$9,"Yes")-COUNTIF(G$5:G$12,"Y")),45%/(COUNTIF(G$5:G$12,"Y"))))</f>
        <v>6.25E-2</v>
      </c>
      <c r="F10" s="78" t="s">
        <v>51</v>
      </c>
      <c r="G10" s="78" t="str">
        <f>IF(LEFT('Valuation Model'!L7,1)="M","Y","")</f>
        <v/>
      </c>
      <c r="H10" s="78" t="str">
        <f>IF(LEFT('Valuation Model'!L7,1)="M","Y",LEFT('Valuation Model'!L7,1))</f>
        <v>Y</v>
      </c>
      <c r="J10" s="85">
        <f t="shared" si="4"/>
        <v>0.1</v>
      </c>
      <c r="K10" s="83">
        <f t="shared" ca="1" si="3"/>
        <v>15.8</v>
      </c>
      <c r="L10" s="86" t="str">
        <f t="shared" ca="1" si="1"/>
        <v/>
      </c>
      <c r="M10" s="84" t="str">
        <f t="shared" ca="1" si="2"/>
        <v/>
      </c>
      <c r="N10" s="83">
        <f ca="1">LN('Histogram Data'!K10+0.01)-LN(price)</f>
        <v>-1.5568454623149295</v>
      </c>
      <c r="O10" s="83">
        <f ca="1">_xlfn.NORM.DIST(N10,0+0.03^3,AVERAGE('Valuation Model'!$K$22:$L$22),FALSE)/scaling</f>
        <v>1.8881075733294604E-9</v>
      </c>
    </row>
    <row r="11" spans="1:15" s="78" customFormat="1" ht="11.65">
      <c r="A11" s="81"/>
      <c r="B11" s="87" t="str">
        <f>'Valuation Model'!I5</f>
        <v>12% | 30% | 10%</v>
      </c>
      <c r="C11" s="88">
        <f ca="1">'Valuation Model'!K5</f>
        <v>127</v>
      </c>
      <c r="D11" s="83">
        <f t="shared" ca="1" si="0"/>
        <v>126.40000000000006</v>
      </c>
      <c r="E11" s="84">
        <f>IF(H11="N",5%/COUNTIF('Valuation Model'!$L$2:$L$9,"No"),IF(G11&lt;&gt;"Y",50%/(COUNTIF('Valuation Model'!$L$2:$L$9,"Yes")-COUNTIF(G$5:G$12,"Y")),45%/(COUNTIF(G$5:G$12,"Y"))))</f>
        <v>6.25E-2</v>
      </c>
      <c r="F11" s="78" t="s">
        <v>51</v>
      </c>
      <c r="G11" s="78" t="str">
        <f>IF(LEFT('Valuation Model'!L8,1)="M","Y","")</f>
        <v/>
      </c>
      <c r="H11" s="78" t="str">
        <f>IF(LEFT('Valuation Model'!L5,1)="M","Y",LEFT('Valuation Model'!L5,1))</f>
        <v>Y</v>
      </c>
      <c r="J11" s="85">
        <f t="shared" si="4"/>
        <v>0.12000000000000001</v>
      </c>
      <c r="K11" s="83">
        <f t="shared" ca="1" si="3"/>
        <v>18.96</v>
      </c>
      <c r="L11" s="86" t="str">
        <f t="shared" ca="1" si="1"/>
        <v/>
      </c>
      <c r="M11" s="84" t="str">
        <f t="shared" ca="1" si="2"/>
        <v/>
      </c>
      <c r="N11" s="83">
        <f ca="1">LN('Histogram Data'!K11+0.01)-LN(price)</f>
        <v>-1.374629329589387</v>
      </c>
      <c r="O11" s="83">
        <f ca="1">_xlfn.NORM.DIST(N11,0+0.03^3,AVERAGE('Valuation Model'!$K$22:$L$22),FALSE)/scaling</f>
        <v>1.2251160533002797E-7</v>
      </c>
    </row>
    <row r="12" spans="1:15" s="78" customFormat="1" ht="11.65">
      <c r="A12" s="81"/>
      <c r="B12" s="87" t="str">
        <f>'Valuation Model'!I9</f>
        <v>14% | 30% | 10%</v>
      </c>
      <c r="C12" s="88">
        <f ca="1">'Valuation Model'!K9</f>
        <v>148</v>
      </c>
      <c r="D12" s="83">
        <f t="shared" ca="1" si="0"/>
        <v>148.52000000000007</v>
      </c>
      <c r="E12" s="84">
        <f>IF(H12="N",5%/COUNTIF('Valuation Model'!$L$2:$L$9,"No"),IF(G12&lt;&gt;"Y",50%/(COUNTIF('Valuation Model'!$L$2:$L$9,"Yes")-COUNTIF(G$5:G$12,"Y")),45%/(COUNTIF(G$5:G$12,"Y"))))</f>
        <v>6.25E-2</v>
      </c>
      <c r="F12" s="78" t="s">
        <v>51</v>
      </c>
      <c r="G12" s="78" t="str">
        <f>IF(LEFT('Valuation Model'!L9,1)="M","Y","")</f>
        <v/>
      </c>
      <c r="H12" s="78" t="str">
        <f>IF(LEFT('Valuation Model'!L9,1)="M","Y",LEFT('Valuation Model'!L9,1))</f>
        <v>Y</v>
      </c>
      <c r="J12" s="85">
        <f t="shared" si="4"/>
        <v>0.14000000000000001</v>
      </c>
      <c r="K12" s="83">
        <f t="shared" ca="1" si="3"/>
        <v>22.12</v>
      </c>
      <c r="L12" s="86" t="str">
        <f t="shared" ca="1" si="1"/>
        <v/>
      </c>
      <c r="M12" s="84" t="str">
        <f t="shared" ca="1" si="2"/>
        <v/>
      </c>
      <c r="N12" s="83">
        <f ca="1">LN('Histogram Data'!K12+0.01)-LN(price)</f>
        <v>-1.2205539594733517</v>
      </c>
      <c r="O12" s="83">
        <f ca="1">_xlfn.NORM.DIST(N12,0+0.03^3,AVERAGE('Valuation Model'!$K$22:$L$22),FALSE)/scaling</f>
        <v>2.7841267193957382E-6</v>
      </c>
    </row>
    <row r="13" spans="1:15" s="78" customFormat="1" ht="11.65">
      <c r="A13" s="81"/>
      <c r="J13" s="85">
        <f t="shared" si="4"/>
        <v>0.16</v>
      </c>
      <c r="K13" s="83">
        <f t="shared" ca="1" si="3"/>
        <v>25.28</v>
      </c>
      <c r="L13" s="86" t="str">
        <f t="shared" ca="1" si="1"/>
        <v/>
      </c>
      <c r="M13" s="84" t="str">
        <f t="shared" ca="1" si="2"/>
        <v/>
      </c>
      <c r="N13" s="83">
        <f ca="1">LN('Histogram Data'!K13+0.01)-LN(price)</f>
        <v>-1.0870790528544361</v>
      </c>
      <c r="O13" s="83">
        <f ca="1">_xlfn.NORM.DIST(N13,0+0.03^3,AVERAGE('Valuation Model'!$K$22:$L$22),FALSE)/scaling</f>
        <v>3.087630131735836E-5</v>
      </c>
    </row>
    <row r="14" spans="1:15" s="78" customFormat="1" ht="11.65">
      <c r="A14" s="81"/>
      <c r="J14" s="85">
        <f t="shared" si="4"/>
        <v>0.18</v>
      </c>
      <c r="K14" s="83">
        <f t="shared" ca="1" si="3"/>
        <v>28.439999999999998</v>
      </c>
      <c r="L14" s="86" t="str">
        <f t="shared" ca="1" si="1"/>
        <v/>
      </c>
      <c r="M14" s="84" t="str">
        <f t="shared" ca="1" si="2"/>
        <v/>
      </c>
      <c r="N14" s="83">
        <f ca="1">LN('Histogram Data'!K14+0.01)-LN(price)</f>
        <v>-0.96933995296397013</v>
      </c>
      <c r="O14" s="83">
        <f ca="1">_xlfn.NORM.DIST(N14,0+0.03^3,AVERAGE('Valuation Model'!$K$22:$L$22),FALSE)/scaling</f>
        <v>2.0465842102739039E-4</v>
      </c>
    </row>
    <row r="15" spans="1:15" s="78" customFormat="1" ht="11.65">
      <c r="A15" s="81"/>
      <c r="J15" s="85">
        <f t="shared" si="4"/>
        <v>0.19999999999999998</v>
      </c>
      <c r="K15" s="83">
        <f t="shared" ca="1" si="3"/>
        <v>31.599999999999998</v>
      </c>
      <c r="L15" s="86" t="str">
        <f t="shared" ca="1" si="1"/>
        <v/>
      </c>
      <c r="M15" s="84" t="str">
        <f t="shared" ca="1" si="2"/>
        <v/>
      </c>
      <c r="N15" s="83">
        <f ca="1">LN('Histogram Data'!K15+0.01)-LN(price)</f>
        <v>-0.86401458730878389</v>
      </c>
      <c r="O15" s="83">
        <f ca="1">_xlfn.NORM.DIST(N15,0+0.03^3,AVERAGE('Valuation Model'!$K$22:$L$22),FALSE)/scaling</f>
        <v>9.2496745122423577E-4</v>
      </c>
    </row>
    <row r="16" spans="1:15" s="78" customFormat="1" ht="11.65">
      <c r="A16" s="81"/>
      <c r="C16" s="82"/>
      <c r="D16" s="83"/>
      <c r="E16" s="84"/>
      <c r="J16" s="85">
        <f t="shared" si="4"/>
        <v>0.21999999999999997</v>
      </c>
      <c r="K16" s="83">
        <f t="shared" ca="1" si="3"/>
        <v>34.76</v>
      </c>
      <c r="L16" s="86" t="str">
        <f t="shared" ca="1" si="1"/>
        <v/>
      </c>
      <c r="M16" s="84" t="str">
        <f t="shared" ca="1" si="2"/>
        <v/>
      </c>
      <c r="N16" s="83">
        <f ca="1">LN('Histogram Data'!K16+0.01)-LN(price)</f>
        <v>-0.76873316751654031</v>
      </c>
      <c r="O16" s="83">
        <f ca="1">_xlfn.NORM.DIST(N16,0+0.03^3,AVERAGE('Valuation Model'!$K$22:$L$22),FALSE)/scaling</f>
        <v>3.1182354814968142E-3</v>
      </c>
    </row>
    <row r="17" spans="4:15" s="78" customFormat="1" ht="11.65">
      <c r="J17" s="85">
        <f t="shared" si="4"/>
        <v>0.23999999999999996</v>
      </c>
      <c r="K17" s="83">
        <f t="shared" ca="1" si="3"/>
        <v>37.919999999999995</v>
      </c>
      <c r="L17" s="86" t="str">
        <f t="shared" ca="1" si="1"/>
        <v/>
      </c>
      <c r="M17" s="84" t="str">
        <f t="shared" ca="1" si="2"/>
        <v/>
      </c>
      <c r="N17" s="83">
        <f ca="1">LN('Histogram Data'!K17+0.01)-LN(price)</f>
        <v>-0.68174575783550262</v>
      </c>
      <c r="O17" s="83">
        <f ca="1">_xlfn.NORM.DIST(N17,0+0.03^3,AVERAGE('Valuation Model'!$K$22:$L$22),FALSE)/scaling</f>
        <v>8.3552919760033987E-3</v>
      </c>
    </row>
    <row r="18" spans="4:15" s="78" customFormat="1" ht="11.65">
      <c r="D18" s="85"/>
      <c r="J18" s="85">
        <f t="shared" si="4"/>
        <v>0.25999999999999995</v>
      </c>
      <c r="K18" s="83">
        <f t="shared" ca="1" si="3"/>
        <v>41.079999999999991</v>
      </c>
      <c r="L18" s="86" t="str">
        <f t="shared" ca="1" si="1"/>
        <v/>
      </c>
      <c r="M18" s="84" t="str">
        <f t="shared" ca="1" si="2"/>
        <v/>
      </c>
      <c r="N18" s="83">
        <f ca="1">LN('Histogram Data'!K18+0.01)-LN(price)</f>
        <v>-0.60172333064099215</v>
      </c>
      <c r="O18" s="83">
        <f ca="1">_xlfn.NORM.DIST(N18,0+0.03^3,AVERAGE('Valuation Model'!$K$22:$L$22),FALSE)/scaling</f>
        <v>1.863812290794881E-2</v>
      </c>
    </row>
    <row r="19" spans="4:15" s="78" customFormat="1" ht="11.65">
      <c r="D19" s="89"/>
      <c r="J19" s="85">
        <f t="shared" si="4"/>
        <v>0.27999999999999997</v>
      </c>
      <c r="K19" s="83">
        <f t="shared" ca="1" si="3"/>
        <v>44.239999999999995</v>
      </c>
      <c r="L19" s="86" t="str">
        <f t="shared" ca="1" si="1"/>
        <v/>
      </c>
      <c r="M19" s="84" t="str">
        <f t="shared" ca="1" si="2"/>
        <v/>
      </c>
      <c r="N19" s="83">
        <f ca="1">LN('Histogram Data'!K19+0.01)-LN(price)</f>
        <v>-0.52763274208237165</v>
      </c>
      <c r="O19" s="83">
        <f ca="1">_xlfn.NORM.DIST(N19,0+0.03^3,AVERAGE('Valuation Model'!$K$22:$L$22),FALSE)/scaling</f>
        <v>3.5832549725621055E-2</v>
      </c>
    </row>
    <row r="20" spans="4:15" s="78" customFormat="1" ht="11.65">
      <c r="J20" s="85">
        <f t="shared" si="4"/>
        <v>0.3</v>
      </c>
      <c r="K20" s="83">
        <f t="shared" ca="1" si="3"/>
        <v>47.4</v>
      </c>
      <c r="L20" s="86" t="str">
        <f t="shared" ca="1" si="1"/>
        <v/>
      </c>
      <c r="M20" s="84" t="str">
        <f t="shared" ca="1" si="2"/>
        <v/>
      </c>
      <c r="N20" s="83">
        <f ca="1">LN('Histogram Data'!K20+0.01)-LN(price)</f>
        <v>-0.4586549366222834</v>
      </c>
      <c r="O20" s="83">
        <f ca="1">_xlfn.NORM.DIST(N20,0+0.03^3,AVERAGE('Valuation Model'!$K$22:$L$22),FALSE)/scaling</f>
        <v>6.0965659060609523E-2</v>
      </c>
    </row>
    <row r="21" spans="4:15" s="78" customFormat="1" ht="11.65">
      <c r="J21" s="85">
        <f t="shared" si="4"/>
        <v>0.32</v>
      </c>
      <c r="K21" s="83">
        <f t="shared" ca="1" si="3"/>
        <v>50.56</v>
      </c>
      <c r="L21" s="86" t="str">
        <f t="shared" ca="1" si="1"/>
        <v/>
      </c>
      <c r="M21" s="84" t="str">
        <f t="shared" ca="1" si="2"/>
        <v/>
      </c>
      <c r="N21" s="83">
        <f ca="1">LN('Histogram Data'!K21+0.01)-LN(price)</f>
        <v>-0.39412959844441842</v>
      </c>
      <c r="O21" s="83">
        <f ca="1">_xlfn.NORM.DIST(N21,0+0.03^3,AVERAGE('Valuation Model'!$K$22:$L$22),FALSE)/scaling</f>
        <v>9.3706708462611227E-2</v>
      </c>
    </row>
    <row r="22" spans="4:15" s="78" customFormat="1" ht="11.65">
      <c r="J22" s="85">
        <f t="shared" si="4"/>
        <v>0.34</v>
      </c>
      <c r="K22" s="83">
        <f t="shared" ca="1" si="3"/>
        <v>53.720000000000006</v>
      </c>
      <c r="L22" s="86" t="str">
        <f t="shared" ca="1" si="1"/>
        <v/>
      </c>
      <c r="M22" s="84" t="str">
        <f t="shared" ca="1" si="2"/>
        <v/>
      </c>
      <c r="N22" s="83">
        <f ca="1">LN('Histogram Data'!K22+0.01)-LN(price)</f>
        <v>-0.33351660879558009</v>
      </c>
      <c r="O22" s="83">
        <f ca="1">_xlfn.NORM.DIST(N22,0+0.03^3,AVERAGE('Valuation Model'!$K$22:$L$22),FALSE)/scaling</f>
        <v>0.13225286646453299</v>
      </c>
    </row>
    <row r="23" spans="4:15" s="78" customFormat="1" ht="11.65">
      <c r="J23" s="85">
        <f t="shared" si="4"/>
        <v>0.36000000000000004</v>
      </c>
      <c r="K23" s="83">
        <f t="shared" ca="1" si="3"/>
        <v>56.88000000000001</v>
      </c>
      <c r="L23" s="86" t="str">
        <f t="shared" ca="1" si="1"/>
        <v/>
      </c>
      <c r="M23" s="84" t="str">
        <f t="shared" ca="1" si="2"/>
        <v/>
      </c>
      <c r="N23" s="83">
        <f ca="1">LN('Histogram Data'!K23+0.01)-LN(price)</f>
        <v>-0.27636853477375389</v>
      </c>
      <c r="O23" s="83">
        <f ca="1">_xlfn.NORM.DIST(N23,0+0.03^3,AVERAGE('Valuation Model'!$K$22:$L$22),FALSE)/scaling</f>
        <v>0.17364215052751938</v>
      </c>
    </row>
    <row r="24" spans="4:15" s="78" customFormat="1" ht="11.65">
      <c r="J24" s="85">
        <f t="shared" si="4"/>
        <v>0.38000000000000006</v>
      </c>
      <c r="K24" s="83">
        <f t="shared" ca="1" si="3"/>
        <v>60.040000000000006</v>
      </c>
      <c r="L24" s="86" t="str">
        <f t="shared" ca="1" si="1"/>
        <v/>
      </c>
      <c r="M24" s="84" t="str">
        <f t="shared" ca="1" si="2"/>
        <v/>
      </c>
      <c r="N24" s="83">
        <f ca="1">LN('Histogram Data'!K24+0.01)-LN(price)</f>
        <v>-0.22231056501031787</v>
      </c>
      <c r="O24" s="83">
        <f ca="1">_xlfn.NORM.DIST(N24,0+0.03^3,AVERAGE('Valuation Model'!$K$22:$L$22),FALSE)/scaling</f>
        <v>0.21434692707027486</v>
      </c>
    </row>
    <row r="25" spans="4:15" s="78" customFormat="1" ht="11.65">
      <c r="J25" s="85">
        <f t="shared" si="4"/>
        <v>0.40000000000000008</v>
      </c>
      <c r="K25" s="83">
        <f t="shared" ca="1" si="3"/>
        <v>63.20000000000001</v>
      </c>
      <c r="L25" s="86" t="str">
        <f t="shared" ca="1" si="1"/>
        <v/>
      </c>
      <c r="M25" s="84" t="str">
        <f t="shared" ca="1" si="2"/>
        <v/>
      </c>
      <c r="N25" s="83">
        <f ca="1">LN('Histogram Data'!K25+0.01)-LN(price)</f>
        <v>-0.17102559705210307</v>
      </c>
      <c r="O25" s="83">
        <f ca="1">_xlfn.NORM.DIST(N25,0+0.03^3,AVERAGE('Valuation Model'!$K$22:$L$22),FALSE)/scaling</f>
        <v>0.25093423606793275</v>
      </c>
    </row>
    <row r="26" spans="4:15" s="78" customFormat="1" ht="11.65">
      <c r="J26" s="85">
        <f t="shared" si="4"/>
        <v>0.4200000000000001</v>
      </c>
      <c r="K26" s="83">
        <f t="shared" ca="1" si="3"/>
        <v>66.360000000000014</v>
      </c>
      <c r="L26" s="86" t="str">
        <f t="shared" ca="1" si="1"/>
        <v/>
      </c>
      <c r="M26" s="84" t="str">
        <f t="shared" ca="1" si="2"/>
        <v/>
      </c>
      <c r="N26" s="83">
        <f ca="1">LN('Histogram Data'!K26+0.01)-LN(price)</f>
        <v>-0.12224296637847587</v>
      </c>
      <c r="O26" s="83">
        <f ca="1">_xlfn.NORM.DIST(N26,0+0.03^3,AVERAGE('Valuation Model'!$K$22:$L$22),FALSE)/scaling</f>
        <v>0.280609662717618</v>
      </c>
    </row>
    <row r="27" spans="4:15" s="78" customFormat="1" ht="11.65">
      <c r="J27" s="85">
        <f t="shared" si="4"/>
        <v>0.44000000000000011</v>
      </c>
      <c r="K27" s="83">
        <f t="shared" ca="1" si="3"/>
        <v>69.520000000000024</v>
      </c>
      <c r="L27" s="86" t="str">
        <f t="shared" ca="1" si="1"/>
        <v/>
      </c>
      <c r="M27" s="84" t="str">
        <f t="shared" ca="1" si="2"/>
        <v/>
      </c>
      <c r="N27" s="83">
        <f ca="1">LN('Histogram Data'!K27+0.01)-LN(price)</f>
        <v>-7.5729799425383604E-2</v>
      </c>
      <c r="O27" s="83">
        <f ca="1">_xlfn.NORM.DIST(N27,0+0.03^3,AVERAGE('Valuation Model'!$K$22:$L$22),FALSE)/scaling</f>
        <v>0.30154349460239482</v>
      </c>
    </row>
    <row r="28" spans="4:15" s="78" customFormat="1" ht="11.65">
      <c r="J28" s="85">
        <f t="shared" si="4"/>
        <v>0.46000000000000013</v>
      </c>
      <c r="K28" s="83">
        <f t="shared" ca="1" si="3"/>
        <v>72.680000000000021</v>
      </c>
      <c r="L28" s="86" t="str">
        <f t="shared" ca="1" si="1"/>
        <v/>
      </c>
      <c r="M28" s="84" t="str">
        <f t="shared" ca="1" si="2"/>
        <v/>
      </c>
      <c r="N28" s="83">
        <f ca="1">LN('Histogram Data'!K28+0.01)-LN(price)</f>
        <v>-3.128429003976585E-2</v>
      </c>
      <c r="O28" s="83">
        <f ca="1">_xlfn.NORM.DIST(N28,0+0.03^3,AVERAGE('Valuation Model'!$K$22:$L$22),FALSE)/scaling</f>
        <v>0.31296343101192303</v>
      </c>
    </row>
    <row r="29" spans="4:15" s="78" customFormat="1" ht="11.65">
      <c r="J29" s="85">
        <f t="shared" si="4"/>
        <v>0.48000000000000015</v>
      </c>
      <c r="K29" s="83">
        <f t="shared" ca="1" si="3"/>
        <v>75.840000000000018</v>
      </c>
      <c r="L29" s="86" t="str">
        <f t="shared" ca="1" si="1"/>
        <v/>
      </c>
      <c r="M29" s="84" t="str">
        <f t="shared" ca="1" si="2"/>
        <v/>
      </c>
      <c r="N29" s="83">
        <f ca="1">LN('Histogram Data'!K29+0.01)-LN(price)</f>
        <v>1.126959225823132E-2</v>
      </c>
      <c r="O29" s="83">
        <f ca="1">_xlfn.NORM.DIST(N29,0+0.03^3,AVERAGE('Valuation Model'!$K$22:$L$22),FALSE)/scaling</f>
        <v>0.31505817194698321</v>
      </c>
    </row>
    <row r="30" spans="4:15" s="78" customFormat="1" ht="11.65">
      <c r="J30" s="85">
        <f t="shared" si="4"/>
        <v>0.50000000000000011</v>
      </c>
      <c r="K30" s="83">
        <f t="shared" ca="1" si="3"/>
        <v>79.000000000000014</v>
      </c>
      <c r="L30" s="86" t="str">
        <f ca="1">L33</f>
        <v/>
      </c>
      <c r="M30" s="84" t="str">
        <f t="shared" ca="1" si="2"/>
        <v/>
      </c>
      <c r="N30" s="83">
        <f ca="1">LN('Histogram Data'!K30+0.01)-LN(price)</f>
        <v>5.2086313198332235E-2</v>
      </c>
      <c r="O30" s="83">
        <f ca="1">_xlfn.NORM.DIST(N30,0+0.03^3,AVERAGE('Valuation Model'!$K$22:$L$22),FALSE)/scaling</f>
        <v>0.3087631200736069</v>
      </c>
    </row>
    <row r="31" spans="4:15" s="78" customFormat="1" ht="11.65">
      <c r="J31" s="85">
        <f t="shared" si="4"/>
        <v>0.52000000000000013</v>
      </c>
      <c r="K31" s="83">
        <f t="shared" ca="1" si="3"/>
        <v>82.160000000000025</v>
      </c>
      <c r="L31" s="86">
        <f t="shared" ca="1" si="1"/>
        <v>6.25E-2</v>
      </c>
      <c r="M31" s="84" t="str">
        <f t="shared" ca="1" si="2"/>
        <v/>
      </c>
      <c r="N31" s="83">
        <f ca="1">LN('Histogram Data'!K31+0.01)-LN(price)</f>
        <v>9.1302158406787015E-2</v>
      </c>
      <c r="O31" s="83">
        <f ca="1">_xlfn.NORM.DIST(N31,0+0.03^3,AVERAGE('Valuation Model'!$K$22:$L$22),FALSE)/scaling</f>
        <v>0.29549934797518762</v>
      </c>
    </row>
    <row r="32" spans="4:15" s="78" customFormat="1" ht="11.65">
      <c r="J32" s="85">
        <f t="shared" si="4"/>
        <v>0.54000000000000015</v>
      </c>
      <c r="K32" s="83">
        <f t="shared" ca="1" si="3"/>
        <v>85.320000000000022</v>
      </c>
      <c r="L32" s="86" t="str">
        <f t="shared" ca="1" si="1"/>
        <v/>
      </c>
      <c r="M32" s="84" t="str">
        <f t="shared" ca="1" si="2"/>
        <v/>
      </c>
      <c r="N32" s="83">
        <f ca="1">LN('Histogram Data'!K32+0.01)-LN(price)</f>
        <v>0.12903797901218361</v>
      </c>
      <c r="O32" s="83">
        <f ca="1">_xlfn.NORM.DIST(N32,0+0.03^3,AVERAGE('Valuation Model'!$K$22:$L$22),FALSE)/scaling</f>
        <v>0.27692119288108347</v>
      </c>
    </row>
    <row r="33" spans="10:15" s="78" customFormat="1" ht="11.65">
      <c r="J33" s="85">
        <f t="shared" si="4"/>
        <v>0.56000000000000016</v>
      </c>
      <c r="K33" s="83">
        <f t="shared" ca="1" si="3"/>
        <v>88.480000000000032</v>
      </c>
      <c r="L33" s="86" t="str">
        <f t="shared" ca="1" si="1"/>
        <v/>
      </c>
      <c r="M33" s="84" t="str">
        <f t="shared" ca="1" si="2"/>
        <v/>
      </c>
      <c r="N33" s="83">
        <f ca="1">LN('Histogram Data'!K33+0.01)-LN(price)</f>
        <v>0.16540143774294869</v>
      </c>
      <c r="O33" s="83">
        <f ca="1">_xlfn.NORM.DIST(N33,0+0.03^3,AVERAGE('Valuation Model'!$K$22:$L$22),FALSE)/scaling</f>
        <v>0.25470675687957101</v>
      </c>
    </row>
    <row r="34" spans="10:15" s="78" customFormat="1" ht="11.65">
      <c r="J34" s="85">
        <f t="shared" si="4"/>
        <v>0.58000000000000018</v>
      </c>
      <c r="K34" s="83">
        <f t="shared" ca="1" si="3"/>
        <v>91.640000000000029</v>
      </c>
      <c r="L34" s="86" t="str">
        <f t="shared" ca="1" si="1"/>
        <v/>
      </c>
      <c r="M34" s="84" t="str">
        <f t="shared" ca="1" si="2"/>
        <v/>
      </c>
      <c r="N34" s="83">
        <f ca="1">LN('Histogram Data'!K34+0.01)-LN(price)</f>
        <v>0.2004888607494042</v>
      </c>
      <c r="O34" s="83">
        <f ca="1">_xlfn.NORM.DIST(N34,0+0.03^3,AVERAGE('Valuation Model'!$K$22:$L$22),FALSE)/scaling</f>
        <v>0.2304061876395144</v>
      </c>
    </row>
    <row r="35" spans="10:15" s="78" customFormat="1" ht="11.65">
      <c r="J35" s="85">
        <f t="shared" si="4"/>
        <v>0.6000000000000002</v>
      </c>
      <c r="K35" s="83">
        <f t="shared" ca="1" si="3"/>
        <v>94.800000000000026</v>
      </c>
      <c r="L35" s="86">
        <f t="shared" ca="1" si="1"/>
        <v>6.25E-2</v>
      </c>
      <c r="M35" s="84" t="str">
        <f t="shared" ca="1" si="2"/>
        <v/>
      </c>
      <c r="N35" s="83">
        <f ca="1">LN('Histogram Data'!K35+0.01)-LN(price)</f>
        <v>0.23438677539355801</v>
      </c>
      <c r="O35" s="83">
        <f ca="1">_xlfn.NORM.DIST(N35,0+0.03^3,AVERAGE('Valuation Model'!$K$22:$L$22),FALSE)/scaling</f>
        <v>0.20534823945041328</v>
      </c>
    </row>
    <row r="36" spans="10:15" s="78" customFormat="1" ht="11.65">
      <c r="J36" s="85">
        <f t="shared" si="4"/>
        <v>0.62000000000000022</v>
      </c>
      <c r="K36" s="83">
        <f t="shared" ca="1" si="3"/>
        <v>97.960000000000036</v>
      </c>
      <c r="L36" s="86" t="str">
        <f t="shared" ca="1" si="1"/>
        <v/>
      </c>
      <c r="M36" s="84" t="str">
        <f t="shared" ca="1" si="2"/>
        <v/>
      </c>
      <c r="N36" s="83">
        <f ca="1">LN('Histogram Data'!K36+0.01)-LN(price)</f>
        <v>0.26717319582024146</v>
      </c>
      <c r="O36" s="83">
        <f ca="1">_xlfn.NORM.DIST(N36,0+0.03^3,AVERAGE('Valuation Model'!$K$22:$L$22),FALSE)/scaling</f>
        <v>0.18059692759602758</v>
      </c>
    </row>
    <row r="37" spans="10:15" s="78" customFormat="1" ht="11.65">
      <c r="J37" s="85">
        <f t="shared" si="4"/>
        <v>0.64000000000000024</v>
      </c>
      <c r="K37" s="83">
        <f t="shared" ca="1" si="3"/>
        <v>101.12000000000003</v>
      </c>
      <c r="L37" s="86">
        <f t="shared" ca="1" si="1"/>
        <v>6.25E-2</v>
      </c>
      <c r="M37" s="84" t="str">
        <f t="shared" ca="1" si="2"/>
        <v/>
      </c>
      <c r="N37" s="83">
        <f ca="1">LN('Histogram Data'!K37+0.01)-LN(price)</f>
        <v>0.29891870437776902</v>
      </c>
      <c r="O37" s="83">
        <f ca="1">_xlfn.NORM.DIST(N37,0+0.03^3,AVERAGE('Valuation Model'!$K$22:$L$22),FALSE)/scaling</f>
        <v>0.15694623540040786</v>
      </c>
    </row>
    <row r="38" spans="10:15" s="78" customFormat="1" ht="11.65">
      <c r="J38" s="85">
        <f t="shared" si="4"/>
        <v>0.66000000000000025</v>
      </c>
      <c r="K38" s="83">
        <f t="shared" ca="1" si="3"/>
        <v>104.28000000000004</v>
      </c>
      <c r="L38" s="86">
        <f t="shared" ca="1" si="1"/>
        <v>6.25E-2</v>
      </c>
      <c r="M38" s="84" t="str">
        <f t="shared" ca="1" si="2"/>
        <v/>
      </c>
      <c r="N38" s="83">
        <f ca="1">LN('Histogram Data'!K38+0.01)-LN(price)</f>
        <v>0.32968736659681142</v>
      </c>
      <c r="O38" s="83">
        <f ca="1">_xlfn.NORM.DIST(N38,0+0.03^3,AVERAGE('Valuation Model'!$K$22:$L$22),FALSE)/scaling</f>
        <v>0.13494038459850119</v>
      </c>
    </row>
    <row r="39" spans="10:15" s="78" customFormat="1" ht="11.65">
      <c r="J39" s="85">
        <f t="shared" si="4"/>
        <v>0.68000000000000027</v>
      </c>
      <c r="K39" s="83">
        <f t="shared" ca="1" si="3"/>
        <v>107.44000000000004</v>
      </c>
      <c r="L39" s="86" t="str">
        <f t="shared" ca="1" si="1"/>
        <v/>
      </c>
      <c r="M39" s="84" t="str">
        <f t="shared" ca="1" si="2"/>
        <v/>
      </c>
      <c r="N39" s="83">
        <f ca="1">LN('Histogram Data'!K39+0.01)-LN(price)</f>
        <v>0.35953750955220976</v>
      </c>
      <c r="O39" s="83">
        <f ca="1">_xlfn.NORM.DIST(N39,0+0.03^3,AVERAGE('Valuation Model'!$K$22:$L$22),FALSE)/scaling</f>
        <v>0.11490872429131656</v>
      </c>
    </row>
    <row r="40" spans="10:15" s="78" customFormat="1" ht="11.65">
      <c r="J40" s="85">
        <f t="shared" si="4"/>
        <v>0.70000000000000029</v>
      </c>
      <c r="K40" s="83">
        <f t="shared" ca="1" si="3"/>
        <v>110.60000000000005</v>
      </c>
      <c r="L40" s="86" t="str">
        <f t="shared" ca="1" si="1"/>
        <v/>
      </c>
      <c r="M40" s="84" t="str">
        <f t="shared" ca="1" si="2"/>
        <v/>
      </c>
      <c r="N40" s="83">
        <f ca="1">LN('Histogram Data'!K40+0.01)-LN(price)</f>
        <v>0.38852238737785338</v>
      </c>
      <c r="O40" s="83">
        <f ca="1">_xlfn.NORM.DIST(N40,0+0.03^3,AVERAGE('Valuation Model'!$K$22:$L$22),FALSE)/scaling</f>
        <v>9.7006715904446025E-2</v>
      </c>
    </row>
    <row r="41" spans="10:15" s="78" customFormat="1" ht="11.65">
      <c r="J41" s="85">
        <f t="shared" si="4"/>
        <v>0.72000000000000031</v>
      </c>
      <c r="K41" s="83">
        <f t="shared" ca="1" si="3"/>
        <v>113.76000000000005</v>
      </c>
      <c r="L41" s="86" t="str">
        <f t="shared" ca="1" si="1"/>
        <v/>
      </c>
      <c r="M41" s="84" t="str">
        <f t="shared" ca="1" si="2"/>
        <v/>
      </c>
      <c r="N41" s="83">
        <f ca="1">LN('Histogram Data'!K41+0.01)-LN(price)</f>
        <v>0.41669075301531588</v>
      </c>
      <c r="O41" s="83">
        <f ca="1">_xlfn.NORM.DIST(N41,0+0.03^3,AVERAGE('Valuation Model'!$K$22:$L$22),FALSE)/scaling</f>
        <v>8.1257042342486485E-2</v>
      </c>
    </row>
    <row r="42" spans="10:15" s="78" customFormat="1" ht="11.65">
      <c r="J42" s="85">
        <f t="shared" si="4"/>
        <v>0.74000000000000032</v>
      </c>
      <c r="K42" s="83">
        <f t="shared" ca="1" si="3"/>
        <v>116.92000000000004</v>
      </c>
      <c r="L42" s="86">
        <f t="shared" ca="1" si="1"/>
        <v>6.25E-2</v>
      </c>
      <c r="M42" s="84" t="str">
        <f t="shared" ca="1" si="2"/>
        <v/>
      </c>
      <c r="N42" s="83">
        <f ca="1">LN('Histogram Data'!K42+0.01)-LN(price)</f>
        <v>0.44408735161591739</v>
      </c>
      <c r="O42" s="83">
        <f ca="1">_xlfn.NORM.DIST(N42,0+0.03^3,AVERAGE('Valuation Model'!$K$22:$L$22),FALSE)/scaling</f>
        <v>6.7587125539155607E-2</v>
      </c>
    </row>
    <row r="43" spans="10:15" s="78" customFormat="1" ht="11.65">
      <c r="J43" s="85">
        <f t="shared" si="4"/>
        <v>0.76000000000000034</v>
      </c>
      <c r="K43" s="83">
        <f t="shared" ca="1" si="3"/>
        <v>120.08000000000006</v>
      </c>
      <c r="L43" s="86" t="str">
        <f t="shared" ca="1" si="1"/>
        <v/>
      </c>
      <c r="M43" s="84" t="str">
        <f t="shared" ca="1" si="2"/>
        <v/>
      </c>
      <c r="N43" s="83">
        <f ca="1">LN('Histogram Data'!K43+0.01)-LN(price)</f>
        <v>0.47075334813628267</v>
      </c>
      <c r="O43" s="83">
        <f ca="1">_xlfn.NORM.DIST(N43,0+0.03^3,AVERAGE('Valuation Model'!$K$22:$L$22),FALSE)/scaling</f>
        <v>5.5861115908122573E-2</v>
      </c>
    </row>
    <row r="44" spans="10:15" s="78" customFormat="1" ht="11.65">
      <c r="J44" s="85">
        <f t="shared" si="4"/>
        <v>0.78000000000000036</v>
      </c>
      <c r="K44" s="83">
        <f t="shared" ca="1" si="3"/>
        <v>123.24000000000005</v>
      </c>
      <c r="L44" s="86">
        <f t="shared" ca="1" si="1"/>
        <v>6.25E-2</v>
      </c>
      <c r="M44" s="84" t="str">
        <f t="shared" ca="1" si="2"/>
        <v/>
      </c>
      <c r="N44" s="83">
        <f ca="1">LN('Histogram Data'!K44+0.01)-LN(price)</f>
        <v>0.49672669938648983</v>
      </c>
      <c r="O44" s="83">
        <f ca="1">_xlfn.NORM.DIST(N44,0+0.03^3,AVERAGE('Valuation Model'!$K$22:$L$22),FALSE)/scaling</f>
        <v>4.5905692764922235E-2</v>
      </c>
    </row>
    <row r="45" spans="10:15" s="78" customFormat="1" ht="11.65">
      <c r="J45" s="85">
        <f t="shared" si="4"/>
        <v>0.80000000000000038</v>
      </c>
      <c r="K45" s="83">
        <f t="shared" ca="1" si="3"/>
        <v>126.40000000000006</v>
      </c>
      <c r="L45" s="86">
        <f t="shared" ca="1" si="1"/>
        <v>6.25E-2</v>
      </c>
      <c r="M45" s="84" t="str">
        <f t="shared" ca="1" si="2"/>
        <v/>
      </c>
      <c r="N45" s="83">
        <f ca="1">LN('Histogram Data'!K45+0.01)-LN(price)</f>
        <v>0.52204247897115685</v>
      </c>
      <c r="O45" s="83">
        <f ca="1">_xlfn.NORM.DIST(N45,0+0.03^3,AVERAGE('Valuation Model'!$K$22:$L$22),FALSE)/scaling</f>
        <v>3.7529844016041466E-2</v>
      </c>
    </row>
    <row r="46" spans="10:15" s="78" customFormat="1" ht="11.65">
      <c r="J46" s="85">
        <f t="shared" si="4"/>
        <v>0.8200000000000004</v>
      </c>
      <c r="K46" s="83">
        <f t="shared" ca="1" si="3"/>
        <v>129.56000000000006</v>
      </c>
      <c r="L46" s="86" t="str">
        <f t="shared" ca="1" si="1"/>
        <v/>
      </c>
      <c r="M46" s="84" t="str">
        <f t="shared" ca="1" si="2"/>
        <v/>
      </c>
      <c r="N46" s="83">
        <f ca="1">LN('Histogram Data'!K46+0.01)-LN(price)</f>
        <v>0.54673316210440959</v>
      </c>
      <c r="O46" s="83">
        <f ca="1">_xlfn.NORM.DIST(N46,0+0.03^3,AVERAGE('Valuation Model'!$K$22:$L$22),FALSE)/scaling</f>
        <v>3.0539268701561716E-2</v>
      </c>
    </row>
    <row r="47" spans="10:15" s="78" customFormat="1" ht="11.65">
      <c r="J47" s="85">
        <f t="shared" si="4"/>
        <v>0.84000000000000041</v>
      </c>
      <c r="K47" s="83">
        <f t="shared" ca="1" si="3"/>
        <v>132.72000000000006</v>
      </c>
      <c r="L47" s="86" t="str">
        <f t="shared" ca="1" si="1"/>
        <v/>
      </c>
      <c r="M47" s="84" t="str">
        <f t="shared" ca="1" si="2"/>
        <v/>
      </c>
      <c r="N47" s="83">
        <f ca="1">LN('Histogram Data'!K47+0.01)-LN(price)</f>
        <v>0.57082887610180144</v>
      </c>
      <c r="O47" s="83">
        <f ca="1">_xlfn.NORM.DIST(N47,0+0.03^3,AVERAGE('Valuation Model'!$K$22:$L$22),FALSE)/scaling</f>
        <v>2.4746264332641703E-2</v>
      </c>
    </row>
    <row r="48" spans="10:15" s="78" customFormat="1" ht="11.65">
      <c r="J48" s="85">
        <f t="shared" si="4"/>
        <v>0.86000000000000043</v>
      </c>
      <c r="K48" s="83">
        <f t="shared" ca="1" si="3"/>
        <v>135.88000000000008</v>
      </c>
      <c r="L48" s="86" t="str">
        <f t="shared" ca="1" si="1"/>
        <v/>
      </c>
      <c r="M48" s="84" t="str">
        <f t="shared" ca="1" si="2"/>
        <v/>
      </c>
      <c r="N48" s="83">
        <f ca="1">LN('Histogram Data'!K48+0.01)-LN(price)</f>
        <v>0.59435762139609682</v>
      </c>
      <c r="O48" s="83">
        <f ca="1">_xlfn.NORM.DIST(N48,0+0.03^3,AVERAGE('Valuation Model'!$K$22:$L$22),FALSE)/scaling</f>
        <v>1.9976008012001629E-2</v>
      </c>
    </row>
    <row r="49" spans="10:15" s="78" customFormat="1" ht="11.65">
      <c r="J49" s="85">
        <f t="shared" si="4"/>
        <v>0.88000000000000045</v>
      </c>
      <c r="K49" s="83">
        <f t="shared" ca="1" si="3"/>
        <v>139.04000000000008</v>
      </c>
      <c r="L49" s="86" t="str">
        <f t="shared" ca="1" si="1"/>
        <v/>
      </c>
      <c r="M49" s="84" t="str">
        <f t="shared" ca="1" si="2"/>
        <v/>
      </c>
      <c r="N49" s="83">
        <f ca="1">LN('Histogram Data'!K49+0.01)-LN(price)</f>
        <v>0.61734546714366445</v>
      </c>
      <c r="O49" s="83">
        <f ca="1">_xlfn.NORM.DIST(N49,0+0.03^3,AVERAGE('Valuation Model'!$K$22:$L$22),FALSE)/scaling</f>
        <v>1.6070083999856336E-2</v>
      </c>
    </row>
    <row r="50" spans="10:15" s="78" customFormat="1" ht="11.65">
      <c r="J50" s="85">
        <f t="shared" si="4"/>
        <v>0.90000000000000047</v>
      </c>
      <c r="K50" s="83">
        <f t="shared" ca="1" si="3"/>
        <v>142.20000000000007</v>
      </c>
      <c r="L50" s="86" t="str">
        <f t="shared" ca="1" si="1"/>
        <v/>
      </c>
      <c r="M50" s="84" t="str">
        <f t="shared" ca="1" si="2"/>
        <v/>
      </c>
      <c r="N50" s="83">
        <f ca="1">LN('Histogram Data'!K50+0.01)-LN(price)</f>
        <v>0.63981672484829488</v>
      </c>
      <c r="O50" s="83">
        <f ca="1">_xlfn.NORM.DIST(N50,0+0.03^3,AVERAGE('Valuation Model'!$K$22:$L$22),FALSE)/scaling</f>
        <v>1.288800032122101E-2</v>
      </c>
    </row>
    <row r="51" spans="10:15" s="78" customFormat="1" ht="11.65">
      <c r="J51" s="85">
        <f t="shared" si="4"/>
        <v>0.92000000000000048</v>
      </c>
      <c r="K51" s="83">
        <f t="shared" ca="1" si="3"/>
        <v>145.36000000000007</v>
      </c>
      <c r="L51" s="86" t="str">
        <f t="shared" ca="1" si="1"/>
        <v/>
      </c>
      <c r="M51" s="84" t="str">
        <f t="shared" ca="1" si="2"/>
        <v/>
      </c>
      <c r="N51" s="83">
        <f ca="1">LN('Histogram Data'!K51+0.01)-LN(price)</f>
        <v>0.66179410290192386</v>
      </c>
      <c r="O51" s="83">
        <f ca="1">_xlfn.NORM.DIST(N51,0+0.03^3,AVERAGE('Valuation Model'!$K$22:$L$22),FALSE)/scaling</f>
        <v>1.0307306802954197E-2</v>
      </c>
    </row>
    <row r="52" spans="10:15" s="78" customFormat="1" ht="11.65">
      <c r="J52" s="85">
        <f t="shared" si="4"/>
        <v>0.9400000000000005</v>
      </c>
      <c r="K52" s="83">
        <f t="shared" ca="1" si="3"/>
        <v>148.52000000000007</v>
      </c>
      <c r="L52" s="86">
        <f t="shared" ca="1" si="1"/>
        <v>6.25E-2</v>
      </c>
      <c r="M52" s="84" t="str">
        <f t="shared" ca="1" si="2"/>
        <v/>
      </c>
      <c r="N52" s="83">
        <f ca="1">LN('Histogram Data'!K52+0.01)-LN(price)</f>
        <v>0.68329884450513134</v>
      </c>
      <c r="O52" s="83">
        <f ca="1">_xlfn.NORM.DIST(N52,0+0.03^3,AVERAGE('Valuation Model'!$K$22:$L$22),FALSE)/scaling</f>
        <v>8.2227974966726687E-3</v>
      </c>
    </row>
    <row r="53" spans="10:15" s="78" customFormat="1" ht="11.65">
      <c r="J53" s="85">
        <f t="shared" si="4"/>
        <v>0.96000000000000052</v>
      </c>
      <c r="K53" s="83">
        <f t="shared" ca="1" si="3"/>
        <v>151.68000000000009</v>
      </c>
      <c r="L53" s="86" t="str">
        <f t="shared" ca="1" si="1"/>
        <v/>
      </c>
      <c r="M53" s="84" t="str">
        <f t="shared" ca="1" si="2"/>
        <v/>
      </c>
      <c r="N53" s="83">
        <f ca="1">LN('Histogram Data'!K53+0.01)-LN(price)</f>
        <v>0.70435085106727158</v>
      </c>
      <c r="O53" s="83">
        <f ca="1">_xlfn.NORM.DIST(N53,0+0.03^3,AVERAGE('Valuation Model'!$K$22:$L$22),FALSE)/scaling</f>
        <v>6.5451634147678239E-3</v>
      </c>
    </row>
    <row r="54" spans="10:15" s="78" customFormat="1" ht="11.65">
      <c r="J54" s="85">
        <f t="shared" si="4"/>
        <v>0.98000000000000054</v>
      </c>
      <c r="K54" s="83">
        <f t="shared" ca="1" si="3"/>
        <v>154.84000000000009</v>
      </c>
      <c r="L54" s="86" t="str">
        <f t="shared" ca="1" si="1"/>
        <v/>
      </c>
      <c r="M54" s="84" t="str">
        <f t="shared" ca="1" si="2"/>
        <v/>
      </c>
      <c r="N54" s="83">
        <f ca="1">LN('Histogram Data'!K54+0.01)-LN(price)</f>
        <v>0.72496879288290206</v>
      </c>
      <c r="O54" s="83">
        <f ca="1">_xlfn.NORM.DIST(N54,0+0.03^3,AVERAGE('Valuation Model'!$K$22:$L$22),FALSE)/scaling</f>
        <v>5.1993621629658152E-3</v>
      </c>
    </row>
    <row r="55" spans="10:15">
      <c r="J55" s="85">
        <f t="shared" si="4"/>
        <v>1.0000000000000004</v>
      </c>
      <c r="K55" s="83">
        <f t="shared" ca="1" si="3"/>
        <v>158.00000000000006</v>
      </c>
      <c r="L55" s="86" t="str">
        <f t="shared" ca="1" si="1"/>
        <v/>
      </c>
      <c r="M55" s="84" t="str">
        <f t="shared" ca="1" si="2"/>
        <v/>
      </c>
      <c r="N55" s="83">
        <f ca="1">LN('Histogram Data'!K55+0.01)-LN(price)</f>
        <v>0.74517020862709771</v>
      </c>
      <c r="O55" s="83">
        <f ca="1">_xlfn.NORM.DIST(N55,0+0.03^3,AVERAGE('Valuation Model'!$K$22:$L$22),FALSE)/scaling</f>
        <v>4.1228906453935951E-3</v>
      </c>
    </row>
  </sheetData>
  <sortState xmlns:xlrd2="http://schemas.microsoft.com/office/spreadsheetml/2017/richdata2"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75"/>
  <sheetViews>
    <sheetView topLeftCell="A52" workbookViewId="0">
      <selection activeCell="C74" sqref="C74"/>
    </sheetView>
  </sheetViews>
  <sheetFormatPr defaultRowHeight="14.25"/>
  <cols>
    <col min="1" max="1" width="10.73046875" bestFit="1" customWidth="1"/>
    <col min="3" max="3" width="10.73046875" bestFit="1" customWidth="1"/>
  </cols>
  <sheetData>
    <row r="1" spans="1:3">
      <c r="A1" t="s">
        <v>161</v>
      </c>
      <c r="B1" t="s">
        <v>162</v>
      </c>
    </row>
    <row r="2" spans="1:3">
      <c r="A2" s="130">
        <v>36616</v>
      </c>
      <c r="B2">
        <v>10036.1</v>
      </c>
      <c r="C2" s="130"/>
    </row>
    <row r="3" spans="1:3">
      <c r="A3" s="130">
        <v>36707</v>
      </c>
      <c r="B3">
        <v>10283.700000000001</v>
      </c>
      <c r="C3" s="130"/>
    </row>
    <row r="4" spans="1:3">
      <c r="A4" s="130">
        <v>36799</v>
      </c>
      <c r="B4">
        <v>10363.799999999999</v>
      </c>
      <c r="C4" s="130"/>
    </row>
    <row r="5" spans="1:3">
      <c r="A5" s="130">
        <v>36891</v>
      </c>
      <c r="B5">
        <v>10475.299999999999</v>
      </c>
      <c r="C5" s="130"/>
    </row>
    <row r="6" spans="1:3">
      <c r="A6" s="130">
        <v>36981</v>
      </c>
      <c r="B6">
        <v>10512.5</v>
      </c>
      <c r="C6" s="130"/>
    </row>
    <row r="7" spans="1:3">
      <c r="A7" s="130">
        <v>37072</v>
      </c>
      <c r="B7">
        <v>10641.6</v>
      </c>
      <c r="C7" s="130"/>
    </row>
    <row r="8" spans="1:3">
      <c r="A8" s="130">
        <v>37164</v>
      </c>
      <c r="B8">
        <v>10644.3</v>
      </c>
      <c r="C8" s="130"/>
    </row>
    <row r="9" spans="1:3">
      <c r="A9" s="130">
        <v>37256</v>
      </c>
      <c r="B9">
        <v>10702.7</v>
      </c>
      <c r="C9" s="130"/>
    </row>
    <row r="10" spans="1:3">
      <c r="A10" s="130">
        <v>37346</v>
      </c>
      <c r="B10">
        <v>10837.3</v>
      </c>
      <c r="C10" s="130"/>
    </row>
    <row r="11" spans="1:3">
      <c r="A11" s="130">
        <v>37437</v>
      </c>
      <c r="B11">
        <v>10938</v>
      </c>
      <c r="C11" s="130"/>
    </row>
    <row r="12" spans="1:3">
      <c r="A12" s="130">
        <v>37529</v>
      </c>
      <c r="B12">
        <v>11039.8</v>
      </c>
      <c r="C12" s="130"/>
    </row>
    <row r="13" spans="1:3">
      <c r="A13" s="130">
        <v>37621</v>
      </c>
      <c r="B13">
        <v>11105.7</v>
      </c>
      <c r="C13" s="130"/>
    </row>
    <row r="14" spans="1:3">
      <c r="A14" s="130">
        <v>37711</v>
      </c>
      <c r="B14">
        <v>11230.8</v>
      </c>
      <c r="C14" s="130"/>
    </row>
    <row r="15" spans="1:3">
      <c r="A15" s="130">
        <v>37802</v>
      </c>
      <c r="B15">
        <v>11371.4</v>
      </c>
      <c r="C15" s="130"/>
    </row>
    <row r="16" spans="1:3">
      <c r="A16" s="130">
        <v>37894</v>
      </c>
      <c r="B16">
        <v>11628.4</v>
      </c>
      <c r="C16" s="130"/>
    </row>
    <row r="17" spans="1:3">
      <c r="A17" s="130">
        <v>37986</v>
      </c>
      <c r="B17">
        <v>11818.5</v>
      </c>
      <c r="C17" s="130"/>
    </row>
    <row r="18" spans="1:3">
      <c r="A18" s="130">
        <v>38077</v>
      </c>
      <c r="B18">
        <v>11991.4</v>
      </c>
      <c r="C18" s="130"/>
    </row>
    <row r="19" spans="1:3">
      <c r="A19" s="130">
        <v>38168</v>
      </c>
      <c r="B19">
        <v>12183.5</v>
      </c>
      <c r="C19" s="130"/>
    </row>
    <row r="20" spans="1:3">
      <c r="A20" s="130">
        <v>38260</v>
      </c>
      <c r="B20">
        <v>12369.4</v>
      </c>
      <c r="C20" s="130"/>
    </row>
    <row r="21" spans="1:3">
      <c r="A21" s="130">
        <v>38352</v>
      </c>
      <c r="B21">
        <v>12563.8</v>
      </c>
      <c r="C21" s="130"/>
    </row>
    <row r="22" spans="1:3">
      <c r="A22" s="130">
        <v>38442</v>
      </c>
      <c r="B22">
        <v>12816.2</v>
      </c>
      <c r="C22" s="130"/>
    </row>
    <row r="23" spans="1:3">
      <c r="A23" s="130">
        <v>38533</v>
      </c>
      <c r="B23">
        <v>12975.7</v>
      </c>
      <c r="C23" s="130"/>
    </row>
    <row r="24" spans="1:3">
      <c r="A24" s="130">
        <v>38625</v>
      </c>
      <c r="B24">
        <v>13206.5</v>
      </c>
      <c r="C24" s="130"/>
    </row>
    <row r="25" spans="1:3">
      <c r="A25" s="130">
        <v>38717</v>
      </c>
      <c r="B25">
        <v>13383.3</v>
      </c>
      <c r="C25" s="130"/>
    </row>
    <row r="26" spans="1:3">
      <c r="A26" s="130">
        <v>38807</v>
      </c>
      <c r="B26">
        <v>13649.8</v>
      </c>
      <c r="C26" s="130"/>
    </row>
    <row r="27" spans="1:3">
      <c r="A27" s="130">
        <v>38898</v>
      </c>
      <c r="B27">
        <v>13802.9</v>
      </c>
      <c r="C27" s="130"/>
    </row>
    <row r="28" spans="1:3">
      <c r="A28" s="130">
        <v>38990</v>
      </c>
      <c r="B28">
        <v>13910.5</v>
      </c>
      <c r="C28" s="130"/>
    </row>
    <row r="29" spans="1:3">
      <c r="A29" s="130">
        <v>39082</v>
      </c>
      <c r="B29">
        <v>14068.4</v>
      </c>
    </row>
    <row r="30" spans="1:3">
      <c r="A30" s="130">
        <v>39172</v>
      </c>
      <c r="B30">
        <v>14235</v>
      </c>
    </row>
    <row r="31" spans="1:3">
      <c r="A31" s="130">
        <v>39263</v>
      </c>
      <c r="B31">
        <v>14424.5</v>
      </c>
    </row>
    <row r="32" spans="1:3">
      <c r="A32" s="130">
        <v>39355</v>
      </c>
      <c r="B32">
        <v>14571.9</v>
      </c>
    </row>
    <row r="33" spans="1:2">
      <c r="A33" s="130">
        <v>39447</v>
      </c>
      <c r="B33">
        <v>14690</v>
      </c>
    </row>
    <row r="34" spans="1:2">
      <c r="A34" s="130">
        <v>39538</v>
      </c>
      <c r="B34">
        <v>14672.9</v>
      </c>
    </row>
    <row r="35" spans="1:2">
      <c r="A35" s="130">
        <v>39629</v>
      </c>
      <c r="B35">
        <v>14813</v>
      </c>
    </row>
    <row r="36" spans="1:2">
      <c r="A36" s="130">
        <v>39721</v>
      </c>
      <c r="B36">
        <v>14843</v>
      </c>
    </row>
    <row r="37" spans="1:2">
      <c r="A37" s="130">
        <v>39813</v>
      </c>
      <c r="B37">
        <v>14549.9</v>
      </c>
    </row>
    <row r="38" spans="1:2">
      <c r="A38" s="130">
        <v>39903</v>
      </c>
      <c r="B38">
        <v>14383.9</v>
      </c>
    </row>
    <row r="39" spans="1:2">
      <c r="A39" s="130">
        <v>39994</v>
      </c>
      <c r="B39">
        <v>14340.4</v>
      </c>
    </row>
    <row r="40" spans="1:2">
      <c r="A40" s="130">
        <v>40086</v>
      </c>
      <c r="B40">
        <v>14384.1</v>
      </c>
    </row>
    <row r="41" spans="1:2">
      <c r="A41" s="130">
        <v>40178</v>
      </c>
      <c r="B41">
        <v>14566.5</v>
      </c>
    </row>
    <row r="42" spans="1:2">
      <c r="A42" s="130">
        <v>40268</v>
      </c>
      <c r="B42">
        <v>14681.1</v>
      </c>
    </row>
    <row r="43" spans="1:2">
      <c r="A43" s="130">
        <v>40359</v>
      </c>
      <c r="B43">
        <v>14888.6</v>
      </c>
    </row>
    <row r="44" spans="1:2">
      <c r="A44" s="130">
        <v>40451</v>
      </c>
      <c r="B44">
        <v>15057.7</v>
      </c>
    </row>
    <row r="45" spans="1:2">
      <c r="A45" s="130">
        <v>40543</v>
      </c>
      <c r="B45">
        <v>15230.2</v>
      </c>
    </row>
    <row r="46" spans="1:2">
      <c r="A46" s="130">
        <v>40633</v>
      </c>
      <c r="B46">
        <v>15238.4</v>
      </c>
    </row>
    <row r="47" spans="1:2">
      <c r="A47" s="130">
        <v>40724</v>
      </c>
      <c r="B47">
        <v>15460.9</v>
      </c>
    </row>
    <row r="48" spans="1:2">
      <c r="A48" s="130">
        <v>40816</v>
      </c>
      <c r="B48">
        <v>15587.1</v>
      </c>
    </row>
    <row r="49" spans="1:5">
      <c r="A49" s="130">
        <v>40908</v>
      </c>
      <c r="B49">
        <v>15785.3</v>
      </c>
    </row>
    <row r="50" spans="1:5">
      <c r="A50" s="130">
        <v>40999</v>
      </c>
      <c r="B50">
        <v>15956.5</v>
      </c>
    </row>
    <row r="51" spans="1:5">
      <c r="A51" s="130">
        <v>41090</v>
      </c>
      <c r="B51">
        <v>16094.7</v>
      </c>
    </row>
    <row r="52" spans="1:5">
      <c r="A52" s="130">
        <v>41182</v>
      </c>
      <c r="B52">
        <v>16268.9</v>
      </c>
    </row>
    <row r="53" spans="1:5">
      <c r="A53" s="130">
        <v>41274</v>
      </c>
      <c r="B53">
        <v>16332.5</v>
      </c>
    </row>
    <row r="54" spans="1:5">
      <c r="A54" s="130">
        <v>41364</v>
      </c>
      <c r="B54">
        <v>16502.400000000001</v>
      </c>
    </row>
    <row r="55" spans="1:5">
      <c r="A55" s="130">
        <v>41455</v>
      </c>
      <c r="B55">
        <v>16619.2</v>
      </c>
    </row>
    <row r="56" spans="1:5">
      <c r="A56" s="130">
        <v>41547</v>
      </c>
      <c r="B56">
        <v>16872.3</v>
      </c>
    </row>
    <row r="57" spans="1:5">
      <c r="A57" s="130">
        <v>41639</v>
      </c>
      <c r="B57">
        <v>17078.3</v>
      </c>
    </row>
    <row r="58" spans="1:5">
      <c r="A58" s="130">
        <v>41729</v>
      </c>
      <c r="B58">
        <v>17044</v>
      </c>
    </row>
    <row r="59" spans="1:5">
      <c r="A59" s="130">
        <v>41820</v>
      </c>
      <c r="B59">
        <v>17328.2</v>
      </c>
    </row>
    <row r="60" spans="1:5">
      <c r="A60" s="130">
        <v>41912</v>
      </c>
      <c r="B60">
        <v>17599.8</v>
      </c>
    </row>
    <row r="61" spans="1:5">
      <c r="A61" s="130">
        <v>42004</v>
      </c>
      <c r="B61">
        <v>17703.7</v>
      </c>
    </row>
    <row r="62" spans="1:5">
      <c r="A62" s="130">
        <v>42094</v>
      </c>
      <c r="B62">
        <v>17665</v>
      </c>
      <c r="E62" s="130"/>
    </row>
    <row r="63" spans="1:5">
      <c r="A63" s="130">
        <v>42185</v>
      </c>
      <c r="B63">
        <v>17913.7</v>
      </c>
      <c r="E63" s="130"/>
    </row>
    <row r="64" spans="1:5">
      <c r="A64" s="130">
        <v>42277</v>
      </c>
      <c r="B64">
        <v>18060.2</v>
      </c>
    </row>
    <row r="65" spans="1:2">
      <c r="A65" s="130">
        <v>42369</v>
      </c>
      <c r="B65">
        <v>18164.8</v>
      </c>
    </row>
    <row r="66" spans="1:2">
      <c r="A66" s="130">
        <v>42460</v>
      </c>
      <c r="B66" s="137">
        <v>18325.187000000002</v>
      </c>
    </row>
    <row r="67" spans="1:2">
      <c r="A67" s="130">
        <v>42551</v>
      </c>
      <c r="B67" s="137">
        <v>18538.039000000001</v>
      </c>
    </row>
    <row r="68" spans="1:2">
      <c r="A68" s="130">
        <v>42643</v>
      </c>
      <c r="B68" s="137">
        <v>18729.13</v>
      </c>
    </row>
    <row r="69" spans="1:2">
      <c r="A69" s="130">
        <v>42735</v>
      </c>
      <c r="B69" s="137">
        <v>18905.544999999998</v>
      </c>
    </row>
    <row r="70" spans="1:2">
      <c r="A70" s="130">
        <v>42825</v>
      </c>
      <c r="B70" s="137">
        <v>19057.705000000002</v>
      </c>
    </row>
    <row r="71" spans="1:2">
      <c r="A71" s="130">
        <v>42916</v>
      </c>
      <c r="B71" s="137">
        <v>19250.008999999998</v>
      </c>
    </row>
    <row r="72" spans="1:2">
      <c r="A72" s="130">
        <v>43008</v>
      </c>
      <c r="B72" s="137">
        <v>19500.601999999999</v>
      </c>
    </row>
    <row r="73" spans="1:2">
      <c r="A73" s="130">
        <v>43100</v>
      </c>
      <c r="B73" s="137">
        <v>19754.101999999999</v>
      </c>
    </row>
    <row r="74" spans="1:2">
      <c r="A74" s="130">
        <v>43190</v>
      </c>
      <c r="B74" s="137">
        <v>19956.811000000002</v>
      </c>
    </row>
    <row r="75" spans="1:2">
      <c r="A75" s="130">
        <v>43281</v>
      </c>
      <c r="B75" s="137">
        <v>20411.870000000003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showGridLines="0" workbookViewId="0"/>
  </sheetViews>
  <sheetFormatPr defaultRowHeight="14.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8</vt:i4>
      </vt:variant>
      <vt:variant>
        <vt:lpstr>Named Ranges</vt:lpstr>
      </vt:variant>
      <vt:variant>
        <vt:i4>44</vt:i4>
      </vt:variant>
    </vt:vector>
  </HeadingPairs>
  <TitlesOfParts>
    <vt:vector size="61" baseType="lpstr">
      <vt:lpstr>Valuation Model</vt:lpstr>
      <vt:lpstr>Company Analysis</vt:lpstr>
      <vt:lpstr>Graphing Data</vt:lpstr>
      <vt:lpstr>Scratch</vt:lpstr>
      <vt:lpstr>GAAP vs Non-GAAP OCP</vt:lpstr>
      <vt:lpstr>Long-run OCP</vt:lpstr>
      <vt:lpstr>Histogram Data</vt:lpstr>
      <vt:lpstr>GDP Data</vt:lpstr>
      <vt:lpstr>Disclaimer</vt:lpstr>
      <vt:lpstr>GAAP v NonGAAP OCP Chart</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2018-12-01T21:25:52Z</dcterms:modified>
</cp:coreProperties>
</file>