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https://d.docs.live.net/31dfedd50d51e5ce/Documents/Business/Company Research/IBM - IBM Corporation/RHT/"/>
    </mc:Choice>
  </mc:AlternateContent>
  <xr:revisionPtr revIDLastSave="120" documentId="8_{F7B8050C-24EB-453F-9223-906F582A0650}" xr6:coauthVersionLast="37" xr6:coauthVersionMax="37" xr10:uidLastSave="{C364AEE8-AA17-469E-B5E5-B661FE6A3175}"/>
  <bookViews>
    <workbookView xWindow="480" yWindow="0" windowWidth="18690" windowHeight="15" tabRatio="825" xr2:uid="{00000000-000D-0000-FFFF-FFFF00000000}"/>
  </bookViews>
  <sheets>
    <sheet name="Valuation Model" sheetId="1" r:id="rId1"/>
    <sheet name="Company Analysis" sheetId="19" r:id="rId2"/>
    <sheet name="Graphing Data" sheetId="21" r:id="rId3"/>
    <sheet name="Revenue Chart" sheetId="22" r:id="rId4"/>
    <sheet name="Profit Chart" sheetId="23" r:id="rId5"/>
    <sheet name="ECF to OCP Chart" sheetId="25" r:id="rId6"/>
    <sheet name="ECF Breakdown Chart" sheetId="26" r:id="rId7"/>
    <sheet name="FCFO Chart" sheetId="27" r:id="rId8"/>
    <sheet name="Investment Efficacy Chart" sheetId="28" r:id="rId9"/>
    <sheet name="Valuation Histogram" sheetId="16" r:id="rId10"/>
    <sheet name="Histogram Data" sheetId="17" r:id="rId11"/>
    <sheet name="GDP Data" sheetId="20" r:id="rId12"/>
    <sheet name="Disclaimer" sheetId="18" r:id="rId13"/>
    <sheet name="PSW_Sheet" sheetId="11" state="veryHidden" r:id="rId14"/>
    <sheet name="_SSC" sheetId="12" state="veryHidden" r:id="rId15"/>
    <sheet name="_Options" sheetId="13" state="veryHidden" r:id="rId16"/>
  </sheets>
  <externalReferences>
    <externalReference r:id="rId17"/>
    <externalReference r:id="rId18"/>
    <externalReference r:id="rId19"/>
    <externalReference r:id="rId20"/>
    <externalReference r:id="rId21"/>
    <externalReference r:id="rId22"/>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0"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Model'!$G$68</definedName>
    <definedName name="Scenario2">'Valuation Model'!$G$79</definedName>
    <definedName name="Scenario3">'Valuation Model'!$G$90</definedName>
    <definedName name="Scenario4">'Valuation Model'!$G$101</definedName>
    <definedName name="Scenario5">'Valuation Model'!$G$112</definedName>
    <definedName name="Scenario6">'Valuation Model'!$G$123</definedName>
    <definedName name="Scenario7">'Valuation Model'!$G$134</definedName>
    <definedName name="Scenario8">'Valuation Model'!$G$145</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 i="1" l="1"/>
  <c r="G16" i="19"/>
  <c r="H16" i="19"/>
  <c r="I16" i="19"/>
  <c r="J16" i="19"/>
  <c r="K16" i="19"/>
  <c r="F16" i="19"/>
  <c r="B26" i="19"/>
  <c r="C26" i="19"/>
  <c r="E26" i="19"/>
  <c r="D26" i="19"/>
  <c r="H26" i="19"/>
  <c r="G26" i="19"/>
  <c r="F26" i="19"/>
  <c r="K26" i="19"/>
  <c r="J26" i="19"/>
  <c r="I26" i="19"/>
  <c r="D19" i="1" l="1"/>
  <c r="B2" i="19" l="1"/>
  <c r="B38" i="19" s="1"/>
  <c r="B39" i="19" s="1"/>
  <c r="C2" i="19"/>
  <c r="C38" i="19" s="1"/>
  <c r="C39" i="19" s="1"/>
  <c r="D2" i="19"/>
  <c r="D8" i="19" s="1"/>
  <c r="E2" i="19"/>
  <c r="E38" i="19" s="1"/>
  <c r="E39" i="19" s="1"/>
  <c r="F2" i="19"/>
  <c r="F38" i="19" s="1"/>
  <c r="F39" i="19" s="1"/>
  <c r="G2" i="19"/>
  <c r="G38" i="19" s="1"/>
  <c r="G39" i="19" s="1"/>
  <c r="H2" i="19"/>
  <c r="H31" i="19" s="1"/>
  <c r="I2" i="19"/>
  <c r="I17" i="19" s="1"/>
  <c r="J2" i="19"/>
  <c r="J38" i="19" s="1"/>
  <c r="J39" i="19" s="1"/>
  <c r="K2" i="19"/>
  <c r="K38" i="19" s="1"/>
  <c r="K39" i="19" s="1"/>
  <c r="C26" i="21"/>
  <c r="D26" i="21"/>
  <c r="E26" i="21"/>
  <c r="F26" i="21"/>
  <c r="G26" i="21"/>
  <c r="H26" i="21"/>
  <c r="I26" i="21"/>
  <c r="J26" i="21"/>
  <c r="K26" i="21"/>
  <c r="B26" i="21"/>
  <c r="G3" i="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L7" i="21"/>
  <c r="M7" i="21"/>
  <c r="N7" i="21"/>
  <c r="O7" i="21"/>
  <c r="P7" i="21"/>
  <c r="M6" i="21"/>
  <c r="N6" i="21"/>
  <c r="O6" i="21"/>
  <c r="P6" i="21"/>
  <c r="L6" i="21"/>
  <c r="C2" i="21"/>
  <c r="D2" i="21"/>
  <c r="E2" i="21"/>
  <c r="F2" i="21"/>
  <c r="G2" i="21"/>
  <c r="H2" i="21"/>
  <c r="I2" i="21"/>
  <c r="J2" i="21"/>
  <c r="K2" i="21"/>
  <c r="L3" i="21" s="1"/>
  <c r="B2" i="21"/>
  <c r="J1" i="21"/>
  <c r="J37" i="21" s="1"/>
  <c r="B1" i="21"/>
  <c r="B29" i="21" s="1"/>
  <c r="K27" i="19"/>
  <c r="K27" i="21" s="1"/>
  <c r="J27" i="19"/>
  <c r="I27" i="19"/>
  <c r="I27" i="21" s="1"/>
  <c r="H27" i="19"/>
  <c r="H27" i="21" s="1"/>
  <c r="G27" i="19"/>
  <c r="G27" i="21" s="1"/>
  <c r="F27" i="19"/>
  <c r="F27" i="21" s="1"/>
  <c r="E27" i="19"/>
  <c r="E27" i="21" s="1"/>
  <c r="D27" i="19"/>
  <c r="D27" i="21" s="1"/>
  <c r="C27" i="19"/>
  <c r="C27" i="21" s="1"/>
  <c r="B27" i="19"/>
  <c r="K19" i="19"/>
  <c r="K22" i="21" s="1"/>
  <c r="J19" i="19"/>
  <c r="J22" i="21" s="1"/>
  <c r="I19" i="19"/>
  <c r="I22" i="21" s="1"/>
  <c r="H19" i="19"/>
  <c r="H22" i="21" s="1"/>
  <c r="G19" i="19"/>
  <c r="G22" i="21" s="1"/>
  <c r="F19" i="19"/>
  <c r="E19" i="19"/>
  <c r="E22" i="21" s="1"/>
  <c r="D19" i="19"/>
  <c r="D22" i="21" s="1"/>
  <c r="C19" i="19"/>
  <c r="C22" i="21" s="1"/>
  <c r="B19" i="19"/>
  <c r="B22" i="21" s="1"/>
  <c r="H17" i="19"/>
  <c r="K11" i="19"/>
  <c r="J11" i="19"/>
  <c r="J10" i="21" s="1"/>
  <c r="I11" i="19"/>
  <c r="I10" i="21" s="1"/>
  <c r="H11" i="19"/>
  <c r="H10" i="21" s="1"/>
  <c r="G11" i="19"/>
  <c r="G10" i="21" s="1"/>
  <c r="F11" i="19"/>
  <c r="F12" i="19" s="1"/>
  <c r="E11" i="19"/>
  <c r="E10" i="21" s="1"/>
  <c r="D11" i="19"/>
  <c r="D10" i="21" s="1"/>
  <c r="D38" i="21" s="1"/>
  <c r="C11" i="19"/>
  <c r="C10" i="21" s="1"/>
  <c r="B11" i="19"/>
  <c r="B12" i="19" s="1"/>
  <c r="K6" i="19"/>
  <c r="J6" i="19"/>
  <c r="I6" i="19"/>
  <c r="H6" i="19"/>
  <c r="G6" i="19"/>
  <c r="K5" i="19"/>
  <c r="J5" i="19"/>
  <c r="I5" i="19"/>
  <c r="H5" i="19"/>
  <c r="G5" i="19"/>
  <c r="F5" i="19"/>
  <c r="E5" i="19"/>
  <c r="K4" i="19"/>
  <c r="J4" i="19"/>
  <c r="I4" i="19"/>
  <c r="H4" i="19"/>
  <c r="G4" i="19"/>
  <c r="F4" i="19"/>
  <c r="E4" i="19"/>
  <c r="D4" i="19"/>
  <c r="C4" i="19"/>
  <c r="C31" i="19"/>
  <c r="B17" i="19"/>
  <c r="J17" i="19"/>
  <c r="B31" i="19"/>
  <c r="B8" i="19"/>
  <c r="J8" i="19"/>
  <c r="H6" i="17"/>
  <c r="H8" i="17"/>
  <c r="H7" i="17"/>
  <c r="G7" i="17"/>
  <c r="G6" i="17"/>
  <c r="G8" i="17"/>
  <c r="G9" i="17"/>
  <c r="G11" i="17"/>
  <c r="G10" i="17"/>
  <c r="G12" i="17"/>
  <c r="G5" i="17"/>
  <c r="H5" i="17"/>
  <c r="C2" i="1"/>
  <c r="H9" i="17"/>
  <c r="H10" i="17"/>
  <c r="H11" i="17"/>
  <c r="H12" i="17"/>
  <c r="J7" i="17"/>
  <c r="J8" i="17" s="1"/>
  <c r="J9" i="17" s="1"/>
  <c r="J10" i="17" s="1"/>
  <c r="J11" i="17" s="1"/>
  <c r="J12" i="17" s="1"/>
  <c r="J13" i="17" s="1"/>
  <c r="J14" i="17" s="1"/>
  <c r="J15" i="17" s="1"/>
  <c r="J16" i="17" s="1"/>
  <c r="J17" i="17" s="1"/>
  <c r="J18" i="17" s="1"/>
  <c r="J19" i="17" s="1"/>
  <c r="J20" i="17" s="1"/>
  <c r="J21" i="17" s="1"/>
  <c r="J22" i="17" s="1"/>
  <c r="J23" i="17" s="1"/>
  <c r="J24" i="17" s="1"/>
  <c r="J25" i="17" s="1"/>
  <c r="J26" i="17" s="1"/>
  <c r="J27" i="17" s="1"/>
  <c r="J28" i="17" s="1"/>
  <c r="J29" i="17" s="1"/>
  <c r="J30" i="17" s="1"/>
  <c r="J31" i="17" s="1"/>
  <c r="J32" i="17" s="1"/>
  <c r="J33" i="17" s="1"/>
  <c r="J34" i="17" s="1"/>
  <c r="J35" i="17" s="1"/>
  <c r="J36" i="17" s="1"/>
  <c r="J37" i="17" s="1"/>
  <c r="J38" i="17" s="1"/>
  <c r="J39" i="17" s="1"/>
  <c r="J40" i="17" s="1"/>
  <c r="J41" i="17" s="1"/>
  <c r="J42" i="17" s="1"/>
  <c r="J43" i="17" s="1"/>
  <c r="J44" i="17" s="1"/>
  <c r="J45" i="17" s="1"/>
  <c r="J46" i="17" s="1"/>
  <c r="J47" i="17" s="1"/>
  <c r="J48" i="17" s="1"/>
  <c r="J49" i="17" s="1"/>
  <c r="J50" i="17" s="1"/>
  <c r="J51" i="17" s="1"/>
  <c r="J52" i="17" s="1"/>
  <c r="J53" i="17" s="1"/>
  <c r="J54" i="17" s="1"/>
  <c r="J55" i="17" s="1"/>
  <c r="B52" i="1"/>
  <c r="B46" i="1"/>
  <c r="B47" i="1"/>
  <c r="C26" i="1"/>
  <c r="C43" i="1" s="1"/>
  <c r="B115" i="1"/>
  <c r="C115" i="1" s="1"/>
  <c r="D26" i="1"/>
  <c r="D43" i="1" s="1"/>
  <c r="B93" i="1"/>
  <c r="B94" i="1" s="1"/>
  <c r="B95" i="1" s="1"/>
  <c r="E26" i="1"/>
  <c r="E43" i="1" s="1"/>
  <c r="B126" i="1"/>
  <c r="C126" i="1" s="1"/>
  <c r="F26" i="1"/>
  <c r="F43" i="1" s="1"/>
  <c r="B59" i="1"/>
  <c r="C59" i="1" s="1"/>
  <c r="B26" i="1"/>
  <c r="B43" i="1" s="1"/>
  <c r="B104" i="1"/>
  <c r="B105" i="1" s="1"/>
  <c r="B106" i="1" s="1"/>
  <c r="B137" i="1"/>
  <c r="B82" i="1"/>
  <c r="B83" i="1" s="1"/>
  <c r="B84" i="1" s="1"/>
  <c r="B71" i="1"/>
  <c r="B72" i="1" s="1"/>
  <c r="B73" i="1" s="1"/>
  <c r="B38" i="1"/>
  <c r="B39" i="1"/>
  <c r="B37" i="1"/>
  <c r="B27" i="1" s="1"/>
  <c r="C27" i="1" s="1"/>
  <c r="I11" i="1"/>
  <c r="I9" i="1"/>
  <c r="B12" i="17" s="1"/>
  <c r="I8" i="1"/>
  <c r="B8" i="17" s="1"/>
  <c r="I7" i="1"/>
  <c r="B11" i="17" s="1"/>
  <c r="I6" i="1"/>
  <c r="B7" i="17" s="1"/>
  <c r="I2" i="1"/>
  <c r="B5" i="17" s="1"/>
  <c r="I4" i="1"/>
  <c r="B6" i="17" s="1"/>
  <c r="I5" i="1"/>
  <c r="B10" i="17" s="1"/>
  <c r="I3" i="1"/>
  <c r="B9" i="17" s="1"/>
  <c r="F86" i="1"/>
  <c r="D18" i="1"/>
  <c r="F119" i="1" s="1"/>
  <c r="E22" i="1"/>
  <c r="K10" i="21" l="1"/>
  <c r="E5" i="21"/>
  <c r="J31" i="19"/>
  <c r="D31" i="19"/>
  <c r="D17" i="19"/>
  <c r="D1" i="21"/>
  <c r="D37" i="21" s="1"/>
  <c r="E12" i="19"/>
  <c r="I13" i="19"/>
  <c r="I41" i="19" s="1"/>
  <c r="B60" i="1"/>
  <c r="B62" i="1" s="1"/>
  <c r="B63" i="1" s="1"/>
  <c r="I31" i="19"/>
  <c r="I1" i="21"/>
  <c r="I37" i="21" s="1"/>
  <c r="B37" i="21"/>
  <c r="E9" i="17"/>
  <c r="I28" i="19"/>
  <c r="I29" i="19" s="1"/>
  <c r="I29" i="21"/>
  <c r="E1" i="21"/>
  <c r="E29" i="21" s="1"/>
  <c r="E6" i="17"/>
  <c r="I8" i="19"/>
  <c r="E11" i="17"/>
  <c r="E17" i="19"/>
  <c r="E31" i="19"/>
  <c r="I38" i="19"/>
  <c r="I39" i="19" s="1"/>
  <c r="J40" i="19" s="1"/>
  <c r="E12" i="17"/>
  <c r="E8" i="17"/>
  <c r="D12" i="19"/>
  <c r="F28" i="19"/>
  <c r="F19" i="21" s="1"/>
  <c r="J5" i="21"/>
  <c r="D38" i="19"/>
  <c r="D39" i="19" s="1"/>
  <c r="F42" i="19" s="1"/>
  <c r="B116" i="1"/>
  <c r="C28" i="1"/>
  <c r="C29" i="1" s="1"/>
  <c r="C30" i="1" s="1"/>
  <c r="C44" i="1" s="1"/>
  <c r="B127" i="1"/>
  <c r="B128" i="1" s="1"/>
  <c r="B129" i="1" s="1"/>
  <c r="E10" i="17"/>
  <c r="H12" i="19"/>
  <c r="J9" i="21"/>
  <c r="J17" i="21" s="1"/>
  <c r="J21" i="21" s="1"/>
  <c r="F1" i="21"/>
  <c r="F29" i="21" s="1"/>
  <c r="C28" i="19"/>
  <c r="C29" i="19" s="1"/>
  <c r="C12" i="19"/>
  <c r="D13" i="19"/>
  <c r="D41" i="19" s="1"/>
  <c r="E14" i="19"/>
  <c r="E43" i="19" s="1"/>
  <c r="F64" i="1"/>
  <c r="F108" i="1"/>
  <c r="D27" i="1"/>
  <c r="E27" i="1" s="1"/>
  <c r="F27" i="1" s="1"/>
  <c r="L16" i="1" s="1"/>
  <c r="F17" i="19"/>
  <c r="H28" i="19"/>
  <c r="H32" i="19" s="1"/>
  <c r="C82" i="1"/>
  <c r="F141" i="1"/>
  <c r="E18" i="21"/>
  <c r="E38" i="21"/>
  <c r="E13" i="21"/>
  <c r="K12" i="19"/>
  <c r="G12" i="19"/>
  <c r="K28" i="19"/>
  <c r="K29" i="19" s="1"/>
  <c r="F5" i="21"/>
  <c r="E5" i="17"/>
  <c r="F8" i="19"/>
  <c r="J28" i="19"/>
  <c r="J32" i="19" s="1"/>
  <c r="F75" i="1"/>
  <c r="F97" i="1"/>
  <c r="B54" i="1"/>
  <c r="C93" i="1"/>
  <c r="C94" i="1" s="1"/>
  <c r="F31" i="19"/>
  <c r="K15" i="19"/>
  <c r="K45" i="19" s="1"/>
  <c r="J12" i="19"/>
  <c r="E13" i="19"/>
  <c r="E41" i="19" s="1"/>
  <c r="B28" i="19"/>
  <c r="B19" i="21" s="1"/>
  <c r="G5" i="21"/>
  <c r="C5" i="21"/>
  <c r="K40" i="19"/>
  <c r="I38" i="21"/>
  <c r="I13" i="21"/>
  <c r="I18" i="21"/>
  <c r="D126" i="1"/>
  <c r="C127" i="1"/>
  <c r="C60" i="1"/>
  <c r="C62" i="1" s="1"/>
  <c r="D59" i="1"/>
  <c r="E59" i="1" s="1"/>
  <c r="H13" i="21"/>
  <c r="H38" i="21"/>
  <c r="C71" i="1"/>
  <c r="B48" i="1"/>
  <c r="B49" i="1" s="1"/>
  <c r="H14" i="19"/>
  <c r="H43" i="19" s="1"/>
  <c r="H8" i="19"/>
  <c r="D18" i="21"/>
  <c r="J29" i="21"/>
  <c r="L4" i="21"/>
  <c r="E7" i="17"/>
  <c r="I12" i="19"/>
  <c r="G13" i="19"/>
  <c r="G41" i="19" s="1"/>
  <c r="J15" i="19"/>
  <c r="J45" i="19" s="1"/>
  <c r="F22" i="21"/>
  <c r="G28" i="19"/>
  <c r="H1" i="21"/>
  <c r="H29" i="21" s="1"/>
  <c r="H38" i="19"/>
  <c r="H39" i="19" s="1"/>
  <c r="H13" i="19"/>
  <c r="H41" i="19" s="1"/>
  <c r="G14" i="19"/>
  <c r="G43" i="19" s="1"/>
  <c r="H15" i="19"/>
  <c r="H45" i="19" s="1"/>
  <c r="I15" i="19"/>
  <c r="I45" i="19" s="1"/>
  <c r="E28" i="19"/>
  <c r="E8" i="19"/>
  <c r="B27" i="21"/>
  <c r="J27" i="21"/>
  <c r="H5" i="21"/>
  <c r="D5" i="21"/>
  <c r="F130" i="1"/>
  <c r="B107" i="1"/>
  <c r="B28" i="1"/>
  <c r="J18" i="21"/>
  <c r="J38" i="21"/>
  <c r="J13" i="21"/>
  <c r="F40" i="19"/>
  <c r="C104" i="1"/>
  <c r="B53" i="1"/>
  <c r="B138" i="1"/>
  <c r="C137" i="1"/>
  <c r="D115" i="1"/>
  <c r="C116" i="1"/>
  <c r="C13" i="21"/>
  <c r="C18" i="21"/>
  <c r="C38" i="21"/>
  <c r="K13" i="21"/>
  <c r="K38" i="21"/>
  <c r="K18" i="21"/>
  <c r="C40" i="19"/>
  <c r="G38" i="21"/>
  <c r="G13" i="21"/>
  <c r="G18" i="21"/>
  <c r="M3" i="21"/>
  <c r="L11" i="21"/>
  <c r="L31" i="21" s="1"/>
  <c r="G40" i="19"/>
  <c r="F14" i="19"/>
  <c r="F43" i="19" s="1"/>
  <c r="D13" i="21"/>
  <c r="K17" i="19"/>
  <c r="G8" i="19"/>
  <c r="D29" i="21"/>
  <c r="K1" i="21"/>
  <c r="G1" i="21"/>
  <c r="C1" i="21"/>
  <c r="I5" i="21"/>
  <c r="K14" i="19"/>
  <c r="K43" i="19" s="1"/>
  <c r="J13" i="19"/>
  <c r="J41" i="19" s="1"/>
  <c r="I14" i="19"/>
  <c r="I43" i="19" s="1"/>
  <c r="K31" i="19"/>
  <c r="G15" i="19"/>
  <c r="G45" i="19" s="1"/>
  <c r="K13" i="19"/>
  <c r="K41" i="19" s="1"/>
  <c r="C13" i="19"/>
  <c r="C41" i="19" s="1"/>
  <c r="F13" i="19"/>
  <c r="F41" i="19" s="1"/>
  <c r="F10" i="21"/>
  <c r="B10" i="21"/>
  <c r="H18" i="21"/>
  <c r="D28" i="19"/>
  <c r="G17" i="19"/>
  <c r="H37" i="21"/>
  <c r="B9" i="21"/>
  <c r="B17" i="21" s="1"/>
  <c r="B21" i="21" s="1"/>
  <c r="K5" i="21"/>
  <c r="G31" i="19"/>
  <c r="J14" i="19"/>
  <c r="J43" i="19" s="1"/>
  <c r="C17" i="19"/>
  <c r="C8" i="19"/>
  <c r="K8" i="19"/>
  <c r="B96" i="1"/>
  <c r="B85" i="1"/>
  <c r="B74" i="1"/>
  <c r="I9" i="21" l="1"/>
  <c r="I17" i="21" s="1"/>
  <c r="I21" i="21" s="1"/>
  <c r="K32" i="19"/>
  <c r="B139" i="1"/>
  <c r="B140" i="1" s="1"/>
  <c r="C128" i="1"/>
  <c r="C129" i="1" s="1"/>
  <c r="C117" i="1"/>
  <c r="C118" i="1" s="1"/>
  <c r="C95" i="1"/>
  <c r="C96" i="1" s="1"/>
  <c r="B117" i="1"/>
  <c r="B118" i="1" s="1"/>
  <c r="G44" i="19"/>
  <c r="B55" i="1"/>
  <c r="D9" i="21"/>
  <c r="D17" i="21" s="1"/>
  <c r="D21" i="21" s="1"/>
  <c r="G42" i="19"/>
  <c r="G41" i="21" s="1"/>
  <c r="D40" i="19"/>
  <c r="D40" i="21" s="1"/>
  <c r="E42" i="19"/>
  <c r="E40" i="19"/>
  <c r="I44" i="19"/>
  <c r="B61" i="1"/>
  <c r="J19" i="21"/>
  <c r="I19" i="21"/>
  <c r="C19" i="21"/>
  <c r="I32" i="19"/>
  <c r="I33" i="19" s="1"/>
  <c r="D60" i="1"/>
  <c r="F9" i="21"/>
  <c r="F17" i="21" s="1"/>
  <c r="F21" i="21" s="1"/>
  <c r="F37" i="21"/>
  <c r="E37" i="21"/>
  <c r="E9" i="21"/>
  <c r="E17" i="21" s="1"/>
  <c r="E21" i="21" s="1"/>
  <c r="F29" i="19"/>
  <c r="H9" i="21"/>
  <c r="H17" i="21" s="1"/>
  <c r="H21" i="21" s="1"/>
  <c r="F32" i="19"/>
  <c r="F33" i="19" s="1"/>
  <c r="C32" i="19"/>
  <c r="C33" i="19" s="1"/>
  <c r="J29" i="19"/>
  <c r="F28" i="1"/>
  <c r="F29" i="1" s="1"/>
  <c r="F30" i="1" s="1"/>
  <c r="G40" i="21"/>
  <c r="E41" i="21"/>
  <c r="E40" i="21"/>
  <c r="E28" i="1"/>
  <c r="E29" i="1" s="1"/>
  <c r="E30" i="1" s="1"/>
  <c r="E44" i="1" s="1"/>
  <c r="D28" i="1"/>
  <c r="D29" i="1" s="1"/>
  <c r="D30" i="1" s="1"/>
  <c r="D44" i="1" s="1"/>
  <c r="D93" i="1"/>
  <c r="D94" i="1" s="1"/>
  <c r="H19" i="21"/>
  <c r="H29" i="19"/>
  <c r="C83" i="1"/>
  <c r="D82" i="1"/>
  <c r="K40" i="21"/>
  <c r="I42" i="19"/>
  <c r="I41" i="21" s="1"/>
  <c r="B32" i="19"/>
  <c r="B33" i="19" s="1"/>
  <c r="J40" i="21"/>
  <c r="B29" i="19"/>
  <c r="K19" i="21"/>
  <c r="K35" i="19"/>
  <c r="F40" i="21"/>
  <c r="J42" i="19"/>
  <c r="J41" i="21" s="1"/>
  <c r="J44" i="19"/>
  <c r="K44" i="19"/>
  <c r="I40" i="19"/>
  <c r="I40" i="21" s="1"/>
  <c r="H42" i="19"/>
  <c r="H41" i="21" s="1"/>
  <c r="H44" i="19"/>
  <c r="H40" i="19"/>
  <c r="H40" i="21" s="1"/>
  <c r="F41" i="21"/>
  <c r="K42" i="19"/>
  <c r="K41" i="21" s="1"/>
  <c r="H30" i="21"/>
  <c r="H33" i="21" s="1"/>
  <c r="H33" i="19"/>
  <c r="M4" i="21"/>
  <c r="L12" i="21"/>
  <c r="L32" i="21" s="1"/>
  <c r="E126" i="1"/>
  <c r="D127" i="1"/>
  <c r="G29" i="19"/>
  <c r="G19" i="21"/>
  <c r="G32" i="19"/>
  <c r="E29" i="19"/>
  <c r="E19" i="21"/>
  <c r="E32" i="19"/>
  <c r="C72" i="1"/>
  <c r="D71" i="1"/>
  <c r="C63" i="1"/>
  <c r="C61" i="1"/>
  <c r="B13" i="21"/>
  <c r="B38" i="21"/>
  <c r="B39" i="21" s="1"/>
  <c r="C39" i="21" s="1"/>
  <c r="D39" i="21" s="1"/>
  <c r="E39" i="21" s="1"/>
  <c r="F39" i="21" s="1"/>
  <c r="G39" i="21" s="1"/>
  <c r="B18" i="21"/>
  <c r="C37" i="21"/>
  <c r="C9" i="21"/>
  <c r="C17" i="21" s="1"/>
  <c r="C21" i="21" s="1"/>
  <c r="C29" i="21"/>
  <c r="F13" i="21"/>
  <c r="F38" i="21"/>
  <c r="F18" i="21"/>
  <c r="G9" i="21"/>
  <c r="G17" i="21" s="1"/>
  <c r="G21" i="21" s="1"/>
  <c r="G29" i="21"/>
  <c r="G37" i="21"/>
  <c r="N3" i="21"/>
  <c r="M11" i="21"/>
  <c r="M31" i="21" s="1"/>
  <c r="C138" i="1"/>
  <c r="D137" i="1"/>
  <c r="D104" i="1"/>
  <c r="C105" i="1"/>
  <c r="K7" i="21"/>
  <c r="K6" i="21"/>
  <c r="K29" i="21"/>
  <c r="K37" i="21"/>
  <c r="L1" i="21"/>
  <c r="K9" i="21"/>
  <c r="K17" i="21" s="1"/>
  <c r="K21" i="21" s="1"/>
  <c r="K14" i="21"/>
  <c r="K15" i="21"/>
  <c r="E60" i="1"/>
  <c r="E62" i="1" s="1"/>
  <c r="F59" i="1"/>
  <c r="F60" i="1" s="1"/>
  <c r="F62" i="1" s="1"/>
  <c r="D29" i="19"/>
  <c r="D19" i="21"/>
  <c r="D32" i="19"/>
  <c r="C40" i="21"/>
  <c r="J33" i="19"/>
  <c r="J30" i="21"/>
  <c r="J33" i="21" s="1"/>
  <c r="D116" i="1"/>
  <c r="E115" i="1"/>
  <c r="B29" i="1"/>
  <c r="B30" i="1" s="1"/>
  <c r="C106" i="1" l="1"/>
  <c r="C107" i="1" s="1"/>
  <c r="D62" i="1"/>
  <c r="D63" i="1" s="1"/>
  <c r="D117" i="1"/>
  <c r="D118" i="1" s="1"/>
  <c r="D61" i="1"/>
  <c r="C73" i="1"/>
  <c r="C74" i="1" s="1"/>
  <c r="C139" i="1"/>
  <c r="C140" i="1" s="1"/>
  <c r="D95" i="1"/>
  <c r="D96" i="1" s="1"/>
  <c r="D128" i="1"/>
  <c r="D129" i="1" s="1"/>
  <c r="C84" i="1"/>
  <c r="C85" i="1" s="1"/>
  <c r="I30" i="21"/>
  <c r="I33" i="21" s="1"/>
  <c r="I34" i="19"/>
  <c r="J36" i="19"/>
  <c r="J34" i="19"/>
  <c r="F30" i="21"/>
  <c r="F33" i="21" s="1"/>
  <c r="J35" i="19"/>
  <c r="C30" i="21"/>
  <c r="C33" i="21" s="1"/>
  <c r="C34" i="19"/>
  <c r="B30" i="21"/>
  <c r="B33" i="21" s="1"/>
  <c r="E93" i="1"/>
  <c r="F93" i="1" s="1"/>
  <c r="F94" i="1" s="1"/>
  <c r="F95" i="1" s="1"/>
  <c r="K34" i="19"/>
  <c r="D83" i="1"/>
  <c r="E82" i="1"/>
  <c r="K36" i="19"/>
  <c r="K30" i="21"/>
  <c r="K33" i="21" s="1"/>
  <c r="K33" i="19"/>
  <c r="H39" i="21"/>
  <c r="I39" i="21" s="1"/>
  <c r="J39" i="21" s="1"/>
  <c r="K39" i="21" s="1"/>
  <c r="E94" i="1"/>
  <c r="M12" i="21"/>
  <c r="M32" i="21" s="1"/>
  <c r="N4" i="21"/>
  <c r="E71" i="1"/>
  <c r="D72" i="1"/>
  <c r="E30" i="21"/>
  <c r="E33" i="21" s="1"/>
  <c r="E33" i="19"/>
  <c r="F34" i="19"/>
  <c r="E127" i="1"/>
  <c r="F126" i="1"/>
  <c r="F127" i="1" s="1"/>
  <c r="F128" i="1" s="1"/>
  <c r="G30" i="21"/>
  <c r="G33" i="21" s="1"/>
  <c r="G34" i="19"/>
  <c r="I35" i="19"/>
  <c r="G33" i="19"/>
  <c r="H35" i="19"/>
  <c r="H34" i="19"/>
  <c r="E116" i="1"/>
  <c r="F115" i="1"/>
  <c r="F116" i="1" s="1"/>
  <c r="F117" i="1" s="1"/>
  <c r="E104" i="1"/>
  <c r="D105" i="1"/>
  <c r="E137" i="1"/>
  <c r="D138" i="1"/>
  <c r="B50" i="1"/>
  <c r="B51" i="1" s="1"/>
  <c r="D22" i="1" s="1"/>
  <c r="F44" i="1"/>
  <c r="C22" i="1" s="1"/>
  <c r="D30" i="21"/>
  <c r="D33" i="21" s="1"/>
  <c r="G36" i="19"/>
  <c r="E34" i="19"/>
  <c r="F35" i="19"/>
  <c r="D33" i="19"/>
  <c r="E35" i="19"/>
  <c r="D34" i="19"/>
  <c r="G35" i="19"/>
  <c r="H36" i="19"/>
  <c r="I36" i="19"/>
  <c r="F61" i="1"/>
  <c r="L29" i="21"/>
  <c r="L9" i="21"/>
  <c r="M1" i="21"/>
  <c r="O3" i="21"/>
  <c r="N11" i="21"/>
  <c r="N31" i="21" s="1"/>
  <c r="L17" i="1"/>
  <c r="B44" i="1"/>
  <c r="E63" i="1"/>
  <c r="E61" i="1"/>
  <c r="D139" i="1" l="1"/>
  <c r="D140" i="1" s="1"/>
  <c r="D106" i="1"/>
  <c r="D107" i="1" s="1"/>
  <c r="E117" i="1"/>
  <c r="E118" i="1" s="1"/>
  <c r="E128" i="1"/>
  <c r="E129" i="1" s="1"/>
  <c r="D73" i="1"/>
  <c r="D74" i="1" s="1"/>
  <c r="E95" i="1"/>
  <c r="E96" i="1" s="1"/>
  <c r="D84" i="1"/>
  <c r="D85" i="1" s="1"/>
  <c r="E83" i="1"/>
  <c r="F82" i="1"/>
  <c r="F83" i="1" s="1"/>
  <c r="F84" i="1" s="1"/>
  <c r="K34" i="21"/>
  <c r="K35" i="21"/>
  <c r="O4" i="21"/>
  <c r="N12" i="21"/>
  <c r="N32" i="21" s="1"/>
  <c r="F131" i="1"/>
  <c r="F132" i="1" s="1"/>
  <c r="G132" i="1" s="1"/>
  <c r="F129" i="1"/>
  <c r="G130" i="1" s="1"/>
  <c r="F98" i="1"/>
  <c r="F99" i="1" s="1"/>
  <c r="G99" i="1" s="1"/>
  <c r="F96" i="1"/>
  <c r="G97" i="1" s="1"/>
  <c r="F71" i="1"/>
  <c r="F72" i="1" s="1"/>
  <c r="F73" i="1" s="1"/>
  <c r="E72" i="1"/>
  <c r="B22" i="1"/>
  <c r="F22" i="1" s="1"/>
  <c r="L18" i="1" s="1"/>
  <c r="N1" i="21"/>
  <c r="M29" i="21"/>
  <c r="M9" i="21"/>
  <c r="F137" i="1"/>
  <c r="F138" i="1" s="1"/>
  <c r="F139" i="1" s="1"/>
  <c r="E138" i="1"/>
  <c r="E105" i="1"/>
  <c r="F104" i="1"/>
  <c r="F105" i="1" s="1"/>
  <c r="F106" i="1" s="1"/>
  <c r="F65" i="1"/>
  <c r="F66" i="1" s="1"/>
  <c r="G66" i="1" s="1"/>
  <c r="F63" i="1"/>
  <c r="G64" i="1" s="1"/>
  <c r="F120" i="1"/>
  <c r="F121" i="1" s="1"/>
  <c r="G121" i="1" s="1"/>
  <c r="F118" i="1"/>
  <c r="G119" i="1" s="1"/>
  <c r="O11" i="21"/>
  <c r="O31" i="21" s="1"/>
  <c r="P3" i="21"/>
  <c r="P11" i="21" s="1"/>
  <c r="P31" i="21" s="1"/>
  <c r="E84" i="1" l="1"/>
  <c r="E85" i="1" s="1"/>
  <c r="E73" i="1"/>
  <c r="E74" i="1" s="1"/>
  <c r="E139" i="1"/>
  <c r="E140" i="1" s="1"/>
  <c r="E106" i="1"/>
  <c r="E107" i="1" s="1"/>
  <c r="B23" i="1"/>
  <c r="F87" i="1"/>
  <c r="F88" i="1" s="1"/>
  <c r="G88" i="1" s="1"/>
  <c r="F85" i="1"/>
  <c r="G96" i="1"/>
  <c r="G100" i="1" s="1"/>
  <c r="G101" i="1" s="1"/>
  <c r="K5" i="1" s="1"/>
  <c r="C10" i="17" s="1"/>
  <c r="F76" i="1"/>
  <c r="F77" i="1" s="1"/>
  <c r="G77" i="1" s="1"/>
  <c r="F74" i="1"/>
  <c r="G75" i="1" s="1"/>
  <c r="G129" i="1"/>
  <c r="G133" i="1" s="1"/>
  <c r="G134" i="1" s="1"/>
  <c r="K8" i="1" s="1"/>
  <c r="C8" i="17" s="1"/>
  <c r="P4" i="21"/>
  <c r="P12" i="21" s="1"/>
  <c r="P32" i="21" s="1"/>
  <c r="O12" i="21"/>
  <c r="O32" i="21" s="1"/>
  <c r="D23" i="1"/>
  <c r="I12" i="1"/>
  <c r="E23" i="1"/>
  <c r="C23" i="1"/>
  <c r="F109" i="1"/>
  <c r="F110" i="1" s="1"/>
  <c r="G110" i="1" s="1"/>
  <c r="F107" i="1"/>
  <c r="G108" i="1" s="1"/>
  <c r="G118" i="1"/>
  <c r="G122" i="1" s="1"/>
  <c r="G123" i="1" s="1"/>
  <c r="K7" i="1" s="1"/>
  <c r="C11" i="17" s="1"/>
  <c r="F140" i="1"/>
  <c r="G141" i="1" s="1"/>
  <c r="F142" i="1"/>
  <c r="F143" i="1" s="1"/>
  <c r="G143" i="1" s="1"/>
  <c r="G63" i="1"/>
  <c r="G67" i="1" s="1"/>
  <c r="G68" i="1" s="1"/>
  <c r="K2" i="1" s="1"/>
  <c r="O1" i="21"/>
  <c r="N29" i="21"/>
  <c r="N9" i="21"/>
  <c r="C5" i="17" l="1"/>
  <c r="G86" i="1"/>
  <c r="G85" i="1"/>
  <c r="G74" i="1"/>
  <c r="G78" i="1" s="1"/>
  <c r="G79" i="1" s="1"/>
  <c r="K3" i="1" s="1"/>
  <c r="C9" i="17" s="1"/>
  <c r="G140" i="1"/>
  <c r="G144" i="1" s="1"/>
  <c r="G145" i="1" s="1"/>
  <c r="K9" i="1" s="1"/>
  <c r="O9" i="21"/>
  <c r="P1" i="21"/>
  <c r="O29" i="21"/>
  <c r="G107" i="1"/>
  <c r="G111" i="1" s="1"/>
  <c r="G112" i="1" s="1"/>
  <c r="K6" i="1" s="1"/>
  <c r="C7" i="17" s="1"/>
  <c r="C12" i="17" l="1"/>
  <c r="K151" i="1"/>
  <c r="L151" i="1" s="1"/>
  <c r="G89" i="1"/>
  <c r="G90" i="1" s="1"/>
  <c r="K4" i="1" s="1"/>
  <c r="P29" i="21"/>
  <c r="P9" i="21"/>
  <c r="C6" i="17" l="1"/>
  <c r="B1" i="17" s="1"/>
  <c r="K152" i="1"/>
  <c r="L152" i="1" s="1"/>
  <c r="K150" i="1"/>
  <c r="L150" i="1" s="1"/>
  <c r="B2" i="17"/>
  <c r="K5" i="17"/>
  <c r="N5" i="17" s="1"/>
  <c r="K6" i="17"/>
  <c r="K53" i="17"/>
  <c r="K30" i="17"/>
  <c r="K26" i="17"/>
  <c r="K13" i="17"/>
  <c r="K41" i="17"/>
  <c r="K37" i="17"/>
  <c r="K25" i="17"/>
  <c r="K45" i="17"/>
  <c r="K31" i="17"/>
  <c r="K35" i="17"/>
  <c r="K47" i="17"/>
  <c r="K46" i="17"/>
  <c r="K19" i="17"/>
  <c r="K39" i="17"/>
  <c r="K44" i="17"/>
  <c r="K9" i="17"/>
  <c r="K27" i="17"/>
  <c r="K42" i="17"/>
  <c r="K14" i="17"/>
  <c r="K16" i="17"/>
  <c r="K49" i="17"/>
  <c r="K40" i="17"/>
  <c r="K32" i="17"/>
  <c r="K51" i="17"/>
  <c r="K12" i="17"/>
  <c r="K8" i="17"/>
  <c r="K52" i="17"/>
  <c r="K11" i="17"/>
  <c r="K50" i="17"/>
  <c r="K48" i="17"/>
  <c r="K36" i="17"/>
  <c r="K20" i="17"/>
  <c r="K28" i="17"/>
  <c r="K43" i="17"/>
  <c r="K24" i="17"/>
  <c r="K22" i="17"/>
  <c r="K18" i="17"/>
  <c r="K33" i="17"/>
  <c r="K7" i="17"/>
  <c r="K10" i="17"/>
  <c r="K54" i="17"/>
  <c r="K29" i="17"/>
  <c r="K15" i="17"/>
  <c r="K17" i="17"/>
  <c r="K55" i="17"/>
  <c r="K21" i="17"/>
  <c r="K34" i="17"/>
  <c r="K23" i="17"/>
  <c r="K38" i="17"/>
  <c r="N21" i="17" l="1"/>
  <c r="O21" i="17" s="1"/>
  <c r="N33" i="17"/>
  <c r="O33" i="17" s="1"/>
  <c r="N8" i="17"/>
  <c r="O8" i="17" s="1"/>
  <c r="N14" i="17"/>
  <c r="O14" i="17" s="1"/>
  <c r="N47" i="17"/>
  <c r="O47" i="17" s="1"/>
  <c r="N55" i="17"/>
  <c r="O55" i="17" s="1"/>
  <c r="N54" i="17"/>
  <c r="O54" i="17" s="1"/>
  <c r="N18" i="17"/>
  <c r="O18" i="17" s="1"/>
  <c r="N28" i="17"/>
  <c r="O28" i="17" s="1"/>
  <c r="N50" i="17"/>
  <c r="O50" i="17" s="1"/>
  <c r="N12" i="17"/>
  <c r="O12" i="17" s="1"/>
  <c r="N49" i="17"/>
  <c r="O49" i="17" s="1"/>
  <c r="N42" i="17"/>
  <c r="O42" i="17" s="1"/>
  <c r="N39" i="17"/>
  <c r="O39" i="17" s="1"/>
  <c r="O5" i="17"/>
  <c r="N25" i="17"/>
  <c r="O25" i="17" s="1"/>
  <c r="N26" i="17"/>
  <c r="O26" i="17" s="1"/>
  <c r="N48" i="17"/>
  <c r="O48" i="17" s="1"/>
  <c r="N13" i="17"/>
  <c r="O13" i="17" s="1"/>
  <c r="N23" i="17"/>
  <c r="O23" i="17" s="1"/>
  <c r="N10" i="17"/>
  <c r="O10" i="17" s="1"/>
  <c r="N22" i="17"/>
  <c r="O22" i="17" s="1"/>
  <c r="N20" i="17"/>
  <c r="O20" i="17" s="1"/>
  <c r="N11" i="17"/>
  <c r="O11" i="17" s="1"/>
  <c r="N51" i="17"/>
  <c r="O51" i="17" s="1"/>
  <c r="N16" i="17"/>
  <c r="O16" i="17" s="1"/>
  <c r="N27" i="17"/>
  <c r="O27" i="17" s="1"/>
  <c r="N19" i="17"/>
  <c r="O19" i="17" s="1"/>
  <c r="N35" i="17"/>
  <c r="O35" i="17" s="1"/>
  <c r="N37" i="17"/>
  <c r="O37" i="17" s="1"/>
  <c r="N30" i="17"/>
  <c r="O30" i="17" s="1"/>
  <c r="D6" i="17"/>
  <c r="D8" i="17"/>
  <c r="D10" i="17"/>
  <c r="D5" i="17"/>
  <c r="D9" i="17"/>
  <c r="D12" i="17"/>
  <c r="D11" i="17"/>
  <c r="D7" i="17"/>
  <c r="N29" i="17"/>
  <c r="O29" i="17" s="1"/>
  <c r="N43" i="17"/>
  <c r="O43" i="17" s="1"/>
  <c r="N40" i="17"/>
  <c r="O40" i="17" s="1"/>
  <c r="N44" i="17"/>
  <c r="O44" i="17" s="1"/>
  <c r="N45" i="17"/>
  <c r="O45" i="17" s="1"/>
  <c r="N38" i="17"/>
  <c r="O38" i="17" s="1"/>
  <c r="N17" i="17"/>
  <c r="O17" i="17" s="1"/>
  <c r="N34" i="17"/>
  <c r="O34" i="17" s="1"/>
  <c r="N15" i="17"/>
  <c r="O15" i="17" s="1"/>
  <c r="N7" i="17"/>
  <c r="O7" i="17" s="1"/>
  <c r="N24" i="17"/>
  <c r="O24" i="17" s="1"/>
  <c r="N36" i="17"/>
  <c r="O36" i="17" s="1"/>
  <c r="N52" i="17"/>
  <c r="O52" i="17" s="1"/>
  <c r="N32" i="17"/>
  <c r="O32" i="17" s="1"/>
  <c r="N6" i="17"/>
  <c r="O6" i="17" s="1"/>
  <c r="N9" i="17"/>
  <c r="O9" i="17" s="1"/>
  <c r="N46" i="17"/>
  <c r="O46" i="17" s="1"/>
  <c r="N31" i="17"/>
  <c r="O31" i="17" s="1"/>
  <c r="N41" i="17"/>
  <c r="O41" i="17" s="1"/>
  <c r="N53" i="17"/>
  <c r="O53" i="17" s="1"/>
  <c r="M40" i="17" l="1"/>
  <c r="L44" i="17"/>
  <c r="M53" i="17"/>
  <c r="M6" i="17"/>
  <c r="M41" i="17"/>
  <c r="M9" i="17"/>
  <c r="L43" i="17"/>
  <c r="L36" i="17"/>
  <c r="L17" i="17"/>
  <c r="M24" i="17"/>
  <c r="M34" i="17"/>
  <c r="L33" i="17"/>
  <c r="L30" i="17" s="1"/>
  <c r="M27" i="17"/>
  <c r="M13" i="17"/>
  <c r="L25" i="17"/>
  <c r="M5" i="17"/>
  <c r="L49" i="17"/>
  <c r="L18" i="17"/>
  <c r="L53" i="17"/>
  <c r="M46" i="17"/>
  <c r="L9" i="17"/>
  <c r="L52" i="17"/>
  <c r="M36" i="17"/>
  <c r="L15" i="17"/>
  <c r="L34" i="17"/>
  <c r="L45" i="17"/>
  <c r="M44" i="17"/>
  <c r="M29" i="17"/>
  <c r="L35" i="17"/>
  <c r="L19" i="17"/>
  <c r="M51" i="17"/>
  <c r="L11" i="17"/>
  <c r="M10" i="17"/>
  <c r="M23" i="17"/>
  <c r="M26" i="17"/>
  <c r="M25" i="17"/>
  <c r="M42" i="17"/>
  <c r="M49" i="17"/>
  <c r="L28" i="17"/>
  <c r="M18" i="17"/>
  <c r="M47" i="17"/>
  <c r="M14" i="17"/>
  <c r="M21" i="17"/>
  <c r="L54" i="17"/>
  <c r="L14" i="17"/>
  <c r="M31" i="17"/>
  <c r="L46" i="17"/>
  <c r="L32" i="17"/>
  <c r="M52" i="17"/>
  <c r="L7" i="17"/>
  <c r="M15" i="17"/>
  <c r="M38" i="17"/>
  <c r="M45" i="17"/>
  <c r="M43" i="17"/>
  <c r="L29" i="17"/>
  <c r="M30" i="17"/>
  <c r="L37" i="17"/>
  <c r="M35" i="17"/>
  <c r="L16" i="17"/>
  <c r="L51" i="17"/>
  <c r="L22" i="17"/>
  <c r="L10" i="17"/>
  <c r="M48" i="17"/>
  <c r="L26" i="17"/>
  <c r="M39" i="17"/>
  <c r="L42" i="17"/>
  <c r="M50" i="17"/>
  <c r="M28" i="17"/>
  <c r="M55" i="17"/>
  <c r="L47" i="17"/>
  <c r="M33" i="17"/>
  <c r="L21" i="17"/>
  <c r="M19" i="17"/>
  <c r="M11" i="17"/>
  <c r="M20" i="17"/>
  <c r="L23" i="17"/>
  <c r="M12" i="17"/>
  <c r="M8" i="17"/>
  <c r="L41" i="17"/>
  <c r="L31" i="17"/>
  <c r="L6" i="17"/>
  <c r="M32" i="17"/>
  <c r="L24" i="17"/>
  <c r="M7" i="17"/>
  <c r="M17" i="17"/>
  <c r="L38" i="17"/>
  <c r="L40" i="17"/>
  <c r="M37" i="17"/>
  <c r="L27" i="17"/>
  <c r="M16" i="17"/>
  <c r="L20" i="17"/>
  <c r="M22" i="17"/>
  <c r="L13" i="17"/>
  <c r="L48" i="17"/>
  <c r="L5" i="17"/>
  <c r="L39" i="17"/>
  <c r="L12" i="17"/>
  <c r="L50" i="17"/>
  <c r="M54" i="17"/>
  <c r="L55" i="17"/>
  <c r="L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xr:uid="{124B1E3E-4E3F-4186-AD6B-145FEE938089}">
      <text>
        <r>
          <rPr>
            <b/>
            <sz val="9"/>
            <color indexed="81"/>
            <rFont val="Tahoma"/>
            <family val="2"/>
          </rPr>
          <t>Erik Kobayashi-Solomon:</t>
        </r>
        <r>
          <rPr>
            <sz val="9"/>
            <color indexed="81"/>
            <rFont val="Tahoma"/>
            <family val="2"/>
          </rPr>
          <t xml:space="preserve">
175.973678 million as per 8/31/2018 10-Q</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2" authorId="0" shapeId="0" xr:uid="{82C856D3-FF15-41CB-920B-D8FAAB779B2E}">
      <text>
        <r>
          <rPr>
            <b/>
            <sz val="9"/>
            <color indexed="81"/>
            <rFont val="Tahoma"/>
            <family val="2"/>
          </rPr>
          <t>Erik Kobayashi-Solomon:</t>
        </r>
        <r>
          <rPr>
            <sz val="9"/>
            <color indexed="81"/>
            <rFont val="Tahoma"/>
            <family val="2"/>
          </rPr>
          <t xml:space="preserve">
If you want to estimate ECF as a percentage of OCP, select "1" from the cell B12. If you want to provide a direct estimate of ECF in nominal (i.e., dollar) terms, select "0" from the cell B12.</t>
        </r>
      </text>
    </comment>
    <comment ref="A14"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7"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<sst xmlns="http://schemas.openxmlformats.org/spreadsheetml/2006/main" count="386" uniqueCount="199">
  <si>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</si>
  <si>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</si>
  <si>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</si>
  <si>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</si>
  <si>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</si>
  <si>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</si>
  <si>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</si>
  <si>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</si>
  <si>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</si>
  <si>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</si>
  <si>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</si>
  <si>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</si>
  <si>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</si>
  <si>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</si>
  <si>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</si>
  <si>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</si>
  <si>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</si>
  <si>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</si>
  <si>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</si>
  <si>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</si>
  <si>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</si>
  <si>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</si>
  <si>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</si>
  <si>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</si>
  <si>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</si>
  <si>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</si>
  <si>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</si>
  <si>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</si>
  <si>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</si>
  <si>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</si>
  <si>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</si>
  <si>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</si>
  <si>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</si>
  <si>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</si>
  <si>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</si>
  <si>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</si>
  <si>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</si>
  <si>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</si>
  <si>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</si>
  <si>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</si>
  <si>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</si>
  <si>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</si>
  <si>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</si>
  <si>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</si>
  <si>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</si>
  <si>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</si>
  <si>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</si>
  <si>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</si>
  <si>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</si>
  <si>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</si>
  <si>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</si>
  <si>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</si>
  <si>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</si>
  <si>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</si>
  <si>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</si>
  <si>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</si>
  <si>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</si>
  <si>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</si>
  <si>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</si>
  <si>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</si>
  <si>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</si>
  <si>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</si>
  <si>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</si>
  <si>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</si>
  <si>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</si>
  <si>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</si>
  <si>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</si>
  <si>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</si>
  <si>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</si>
  <si>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</si>
  <si>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</si>
  <si>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</si>
  <si>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</si>
  <si>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</si>
  <si>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</si>
  <si>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</si>
  <si>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</si>
  <si>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</si>
  <si>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</si>
  <si>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</si>
  <si>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</si>
  <si>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</si>
  <si>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</si>
  <si>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</si>
  <si>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</si>
  <si>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</si>
  <si>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</si>
  <si>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</si>
  <si>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</si>
  <si>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</si>
  <si>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</si>
  <si>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</si>
  <si>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</si>
  <si>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</si>
  <si>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</si>
  <si>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</si>
  <si>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</si>
  <si>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</si>
  <si>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</si>
  <si>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</si>
  <si>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</si>
  <si>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</si>
  <si>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</si>
  <si>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</si>
  <si>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</si>
  <si>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</si>
  <si>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</si>
  <si>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</si>
  <si>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</si>
  <si>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</si>
  <si>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</si>
  <si>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</si>
  <si>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</si>
  <si>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</si>
  <si>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</si>
  <si>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</si>
  <si>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</si>
  <si>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</si>
  <si>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</si>
  <si>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</si>
  <si>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</si>
  <si>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</si>
  <si>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</si>
  <si>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</si>
  <si>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</si>
  <si>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</si>
  <si>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</si>
  <si>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</si>
  <si>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</si>
  <si>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</si>
  <si>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</si>
  <si>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</si>
  <si>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</si>
  <si>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</si>
  <si>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</si>
  <si>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</si>
  <si>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</si>
  <si>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</si>
  <si>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</si>
  <si>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</si>
  <si>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</si>
  <si>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</si>
  <si>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</si>
  <si>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</si>
  <si>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</si>
  <si>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</si>
  <si>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</si>
  <si>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</si>
  <si>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</si>
  <si>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</si>
  <si>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</si>
  <si>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</si>
  <si>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</si>
  <si>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</si>
  <si>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</si>
  <si>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</si>
  <si>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</si>
  <si>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</si>
  <si>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</si>
  <si>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</si>
  <si>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</si>
  <si>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</si>
  <si>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</si>
  <si>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</si>
  <si>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</si>
  <si>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</si>
  <si>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</si>
  <si>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</si>
  <si>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</si>
  <si>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</si>
  <si>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</si>
  <si>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</si>
  <si>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</si>
  <si>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</si>
  <si>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</si>
  <si>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</si>
  <si>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</si>
  <si>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</si>
  <si>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</si>
  <si>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</si>
  <si>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</si>
  <si>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</si>
  <si>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</si>
  <si>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</si>
  <si>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</si>
  <si>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</si>
  <si>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</si>
  <si>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</si>
  <si>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</si>
  <si>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</si>
  <si>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</si>
  <si>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Nominal Expansionary Cash Flow (ECF)</t>
  </si>
  <si>
    <t>ECF Controls</t>
  </si>
  <si>
    <t>Red Hat Inc.</t>
  </si>
  <si>
    <t>RHT</t>
  </si>
  <si>
    <t>All Eight Scenarios</t>
  </si>
  <si>
    <t>High Med-Term Growth</t>
  </si>
  <si>
    <t>Low Med-Term Growth</t>
  </si>
  <si>
    <t>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</si>
</sst>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0.0"/>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70">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0" fontId="52" fillId="0" borderId="23" xfId="0" applyFont="1" applyBorder="1" applyAlignment="1">
      <alignment horizontal="left" indent="2"/>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208" fontId="0" fillId="0" borderId="0" xfId="0" applyNumberFormat="1"/>
    <xf numFmtId="0" fontId="3" fillId="3" borderId="4" xfId="0" applyFont="1" applyFill="1" applyBorder="1" applyAlignment="1">
      <alignment horizontal="left"/>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164" fontId="52" fillId="2" borderId="0" xfId="1" applyNumberFormat="1" applyFont="1" applyFill="1" applyBorder="1" applyProtection="1">
      <protection locked="0"/>
    </xf>
    <xf numFmtId="164" fontId="52" fillId="2" borderId="23" xfId="1" applyNumberFormat="1" applyFont="1" applyFill="1" applyBorder="1" applyProtection="1">
      <protection locked="0"/>
    </xf>
    <xf numFmtId="164" fontId="0" fillId="2" borderId="0" xfId="1" applyNumberFormat="1" applyFont="1" applyFill="1" applyProtection="1">
      <protection locked="0"/>
    </xf>
    <xf numFmtId="0" fontId="0" fillId="8" borderId="6" xfId="0" applyFill="1" applyBorder="1" applyAlignment="1">
      <alignment horizontal="left"/>
    </xf>
    <xf numFmtId="165" fontId="0" fillId="2" borderId="6" xfId="1" applyNumberFormat="1" applyFont="1" applyFill="1" applyBorder="1" applyAlignment="1">
      <alignment horizontal="right"/>
    </xf>
    <xf numFmtId="165" fontId="0" fillId="2" borderId="1" xfId="1" applyNumberFormat="1" applyFont="1" applyFill="1" applyBorder="1"/>
    <xf numFmtId="0" fontId="0" fillId="2" borderId="6" xfId="0"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4">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3" tint="0.79998168889431442"/>
        </patternFill>
      </fill>
    </dxf>
    <dxf>
      <fill>
        <patternFill patternType="none">
          <bgColor auto="1"/>
        </patternFill>
      </fill>
    </dxf>
    <dxf>
      <fill>
        <patternFill patternType="none">
          <bgColor auto="1"/>
        </patternFill>
      </fill>
    </dxf>
    <dxf>
      <fill>
        <patternFill>
          <bgColor theme="3" tint="0.79998168889431442"/>
        </patternFill>
      </fill>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6.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chartsheet" Target="chartsheets/sheet4.xml"/><Relationship Id="rId12" Type="http://schemas.openxmlformats.org/officeDocument/2006/relationships/worksheet" Target="worksheets/sheet5.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4.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worksheet" Target="worksheets/sheet8.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externalLink" Target="externalLinks/externalLink3.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7.xml"/><Relationship Id="rId22"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Data'!$B$2:$P$2</c:f>
              <c:numCache>
                <c:formatCode>_(* #,##0_);_(* \(#,##0\);_(* "-"??_);_(@_)</c:formatCode>
                <c:ptCount val="15"/>
                <c:pt idx="0">
                  <c:v>652.572</c:v>
                </c:pt>
                <c:pt idx="1">
                  <c:v>748.23599999999999</c:v>
                </c:pt>
                <c:pt idx="2">
                  <c:v>909.27700000000004</c:v>
                </c:pt>
                <c:pt idx="3">
                  <c:v>1133.1030000000001</c:v>
                </c:pt>
                <c:pt idx="4">
                  <c:v>1328.817</c:v>
                </c:pt>
                <c:pt idx="5">
                  <c:v>1534.615</c:v>
                </c:pt>
                <c:pt idx="6">
                  <c:v>1789.489</c:v>
                </c:pt>
                <c:pt idx="7">
                  <c:v>2052.23</c:v>
                </c:pt>
                <c:pt idx="8">
                  <c:v>2411.8029999999999</c:v>
                </c:pt>
                <c:pt idx="9">
                  <c:v>2920.4609999999998</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Data'!$B$3:$P$3</c:f>
              <c:numCache>
                <c:formatCode>General</c:formatCode>
                <c:ptCount val="15"/>
                <c:pt idx="10" formatCode="_(* #,##0_);_(* \(#,##0\);_(* &quot;-&quot;??_);_(@_)">
                  <c:v>3504.5531999999998</c:v>
                </c:pt>
                <c:pt idx="11" formatCode="_(* #,##0_);_(* \(#,##0\);_(* &quot;-&quot;??_);_(@_)">
                  <c:v>4205.4638399999994</c:v>
                </c:pt>
                <c:pt idx="12" formatCode="_(* #,##0_);_(* \(#,##0\);_(* &quot;-&quot;??_);_(@_)">
                  <c:v>5046.556607999999</c:v>
                </c:pt>
                <c:pt idx="13" formatCode="_(* #,##0_);_(* \(#,##0\);_(* &quot;-&quot;??_);_(@_)">
                  <c:v>6055.8679295999982</c:v>
                </c:pt>
                <c:pt idx="14" formatCode="_(* #,##0_);_(* \(#,##0\);_(* &quot;-&quot;??_);_(@_)">
                  <c:v>7267.041515519998</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Data'!$B$4:$P$4</c:f>
              <c:numCache>
                <c:formatCode>General</c:formatCode>
                <c:ptCount val="15"/>
                <c:pt idx="10" formatCode="_(* #,##0_);_(* \(#,##0\);_(* &quot;-&quot;??_);_(@_)">
                  <c:v>3358.5301499999996</c:v>
                </c:pt>
                <c:pt idx="11" formatCode="_(* #,##0_);_(* \(#,##0\);_(* &quot;-&quot;??_);_(@_)">
                  <c:v>3862.3096724999991</c:v>
                </c:pt>
                <c:pt idx="12" formatCode="_(* #,##0_);_(* \(#,##0\);_(* &quot;-&quot;??_);_(@_)">
                  <c:v>4441.656123374999</c:v>
                </c:pt>
                <c:pt idx="13" formatCode="_(* #,##0_);_(* \(#,##0\);_(* &quot;-&quot;??_);_(@_)">
                  <c:v>5107.9045418812484</c:v>
                </c:pt>
                <c:pt idx="14" formatCode="_(* #,##0_);_(* \(#,##0\);_(* &quot;-&quot;??_);_(@_)">
                  <c:v>5874.0902231634354</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Data'!$B$5:$P$5</c:f>
              <c:numCache>
                <c:formatCode>0%</c:formatCode>
                <c:ptCount val="15"/>
                <c:pt idx="1">
                  <c:v>0.14659531821775995</c:v>
                </c:pt>
                <c:pt idx="2">
                  <c:v>0.21522754852746995</c:v>
                </c:pt>
                <c:pt idx="3">
                  <c:v>0.24615821141412364</c:v>
                </c:pt>
                <c:pt idx="4">
                  <c:v>0.1727239271275427</c:v>
                </c:pt>
                <c:pt idx="5">
                  <c:v>0.15487309388726955</c:v>
                </c:pt>
                <c:pt idx="6">
                  <c:v>0.16608334989557649</c:v>
                </c:pt>
                <c:pt idx="7">
                  <c:v>0.14682459629536693</c:v>
                </c:pt>
                <c:pt idx="8">
                  <c:v>0.17521086817754328</c:v>
                </c:pt>
                <c:pt idx="9">
                  <c:v>0.21090362687168063</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Data'!$B$6:$P$6</c:f>
              <c:numCache>
                <c:formatCode>General</c:formatCode>
                <c:ptCount val="15"/>
                <c:pt idx="9" formatCode="0%">
                  <c:v>0.21090362687168063</c:v>
                </c:pt>
                <c:pt idx="10" formatCode="0%">
                  <c:v>0.2</c:v>
                </c:pt>
                <c:pt idx="11" formatCode="0%">
                  <c:v>0.2</c:v>
                </c:pt>
                <c:pt idx="12" formatCode="0%">
                  <c:v>0.2</c:v>
                </c:pt>
                <c:pt idx="13" formatCode="0%">
                  <c:v>0.2</c:v>
                </c:pt>
                <c:pt idx="14" formatCode="0%">
                  <c:v>0.2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Data'!$B$7:$P$7</c:f>
              <c:numCache>
                <c:formatCode>General</c:formatCode>
                <c:ptCount val="15"/>
                <c:pt idx="9" formatCode="0%">
                  <c:v>0.21090362687168063</c:v>
                </c:pt>
                <c:pt idx="10" formatCode="0%">
                  <c:v>0.15</c:v>
                </c:pt>
                <c:pt idx="11" formatCode="0%">
                  <c:v>0.15</c:v>
                </c:pt>
                <c:pt idx="12" formatCode="0%">
                  <c:v>0.15</c:v>
                </c:pt>
                <c:pt idx="13" formatCode="0%">
                  <c:v>0.15</c:v>
                </c:pt>
                <c:pt idx="14" formatCode="0%">
                  <c:v>0.15</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Data'!$B$10:$P$10</c:f>
              <c:numCache>
                <c:formatCode>_(* #,##0_);_(* \(#,##0\);_(* "-"??_);_(@_)</c:formatCode>
                <c:ptCount val="15"/>
                <c:pt idx="0">
                  <c:v>196.03479999999999</c:v>
                </c:pt>
                <c:pt idx="1">
                  <c:v>208.4051</c:v>
                </c:pt>
                <c:pt idx="2">
                  <c:v>241.73939999999999</c:v>
                </c:pt>
                <c:pt idx="3">
                  <c:v>339.03609999999998</c:v>
                </c:pt>
                <c:pt idx="4">
                  <c:v>401.72300000000001</c:v>
                </c:pt>
                <c:pt idx="5">
                  <c:v>465.33699999999999</c:v>
                </c:pt>
                <c:pt idx="6">
                  <c:v>552.15809999999999</c:v>
                </c:pt>
                <c:pt idx="7">
                  <c:v>659.4606</c:v>
                </c:pt>
                <c:pt idx="8">
                  <c:v>696.07219999999995</c:v>
                </c:pt>
                <c:pt idx="9">
                  <c:v>823.85149999999999</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Data'!$B$11:$P$11</c:f>
              <c:numCache>
                <c:formatCode>General</c:formatCode>
                <c:ptCount val="15"/>
                <c:pt idx="10" formatCode="_(* #,##0_);_(* \(#,##0\);_(* &quot;-&quot;??_);_(@_)">
                  <c:v>1086.411492</c:v>
                </c:pt>
                <c:pt idx="11" formatCode="_(* #,##0_);_(* \(#,##0\);_(* &quot;-&quot;??_);_(@_)">
                  <c:v>1303.6937903999999</c:v>
                </c:pt>
                <c:pt idx="12" formatCode="_(* #,##0_);_(* \(#,##0\);_(* &quot;-&quot;??_);_(@_)">
                  <c:v>1564.4325484799997</c:v>
                </c:pt>
                <c:pt idx="13" formatCode="_(* #,##0_);_(* \(#,##0\);_(* &quot;-&quot;??_);_(@_)">
                  <c:v>1877.3190581759995</c:v>
                </c:pt>
                <c:pt idx="14" formatCode="_(* #,##0_);_(* \(#,##0\);_(* &quot;-&quot;??_);_(@_)">
                  <c:v>2252.7828698111994</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Data'!$B$12:$P$12</c:f>
              <c:numCache>
                <c:formatCode>General</c:formatCode>
                <c:ptCount val="15"/>
                <c:pt idx="10" formatCode="_(* #,##0_);_(* \(#,##0\);_(* &quot;-&quot;??_);_(@_)">
                  <c:v>940.38844199999994</c:v>
                </c:pt>
                <c:pt idx="11" formatCode="_(* #,##0_);_(* \(#,##0\);_(* &quot;-&quot;??_);_(@_)">
                  <c:v>1081.4467083</c:v>
                </c:pt>
                <c:pt idx="12" formatCode="_(* #,##0_);_(* \(#,##0\);_(* &quot;-&quot;??_);_(@_)">
                  <c:v>1243.6637145449997</c:v>
                </c:pt>
                <c:pt idx="13" formatCode="_(* #,##0_);_(* \(#,##0\);_(* &quot;-&quot;??_);_(@_)">
                  <c:v>1430.2132717267498</c:v>
                </c:pt>
                <c:pt idx="14" formatCode="_(* #,##0_);_(* \(#,##0\);_(* &quot;-&quot;??_);_(@_)">
                  <c:v>1644.7452624857622</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Data'!$B$13:$P$13</c:f>
              <c:numCache>
                <c:formatCode>0%</c:formatCode>
                <c:ptCount val="15"/>
                <c:pt idx="0">
                  <c:v>0.30040332714244555</c:v>
                </c:pt>
                <c:pt idx="1">
                  <c:v>0.27852856585355423</c:v>
                </c:pt>
                <c:pt idx="2">
                  <c:v>0.2658589186793463</c:v>
                </c:pt>
                <c:pt idx="3">
                  <c:v>0.29921031009537524</c:v>
                </c:pt>
                <c:pt idx="4">
                  <c:v>0.30231627078822743</c:v>
                </c:pt>
                <c:pt idx="5">
                  <c:v>0.30322719379127661</c:v>
                </c:pt>
                <c:pt idx="6">
                  <c:v>0.30855629735639617</c:v>
                </c:pt>
                <c:pt idx="7">
                  <c:v>0.32133854392538846</c:v>
                </c:pt>
                <c:pt idx="8">
                  <c:v>0.28861071986393583</c:v>
                </c:pt>
                <c:pt idx="9">
                  <c:v>0.28209638820720428</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Data'!$B$14:$P$14</c:f>
              <c:numCache>
                <c:formatCode>General</c:formatCode>
                <c:ptCount val="15"/>
                <c:pt idx="9" formatCode="0%">
                  <c:v>0.28209638820720428</c:v>
                </c:pt>
                <c:pt idx="10" formatCode="0%">
                  <c:v>0.31</c:v>
                </c:pt>
                <c:pt idx="11" formatCode="0%">
                  <c:v>0.31</c:v>
                </c:pt>
                <c:pt idx="12" formatCode="0%">
                  <c:v>0.31</c:v>
                </c:pt>
                <c:pt idx="13" formatCode="0%">
                  <c:v>0.31</c:v>
                </c:pt>
                <c:pt idx="14" formatCode="0%">
                  <c:v>0.31</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Data'!$B$15:$P$15</c:f>
              <c:numCache>
                <c:formatCode>General</c:formatCode>
                <c:ptCount val="15"/>
                <c:pt idx="9" formatCode="0%">
                  <c:v>0.28209638820720428</c:v>
                </c:pt>
                <c:pt idx="10" formatCode="0%">
                  <c:v>0.28000000000000003</c:v>
                </c:pt>
                <c:pt idx="11" formatCode="0%">
                  <c:v>0.28000000000000003</c:v>
                </c:pt>
                <c:pt idx="12" formatCode="0%">
                  <c:v>0.28000000000000003</c:v>
                </c:pt>
                <c:pt idx="13" formatCode="0%">
                  <c:v>0.28000000000000003</c:v>
                </c:pt>
                <c:pt idx="14" formatCode="0%">
                  <c:v>0.28000000000000003</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Data'!$B$18:$K$18</c:f>
              <c:numCache>
                <c:formatCode>_(* #,##0_);_(* \(#,##0\);_(* "-"??_);_(@_)</c:formatCode>
                <c:ptCount val="10"/>
                <c:pt idx="0">
                  <c:v>196.03479999999999</c:v>
                </c:pt>
                <c:pt idx="1">
                  <c:v>208.4051</c:v>
                </c:pt>
                <c:pt idx="2">
                  <c:v>241.73939999999999</c:v>
                </c:pt>
                <c:pt idx="3">
                  <c:v>339.03609999999998</c:v>
                </c:pt>
                <c:pt idx="4">
                  <c:v>401.72300000000001</c:v>
                </c:pt>
                <c:pt idx="5">
                  <c:v>465.33699999999999</c:v>
                </c:pt>
                <c:pt idx="6">
                  <c:v>552.15809999999999</c:v>
                </c:pt>
                <c:pt idx="7">
                  <c:v>659.4606</c:v>
                </c:pt>
                <c:pt idx="8">
                  <c:v>696.07219999999995</c:v>
                </c:pt>
                <c:pt idx="9">
                  <c:v>823.85149999999999</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Data'!$B$19:$K$19</c:f>
              <c:numCache>
                <c:formatCode>_(* #,##0_);_(* \(#,##0\);_(* "-"??_);_(@_)</c:formatCode>
                <c:ptCount val="10"/>
                <c:pt idx="0">
                  <c:v>105.29347715268227</c:v>
                </c:pt>
                <c:pt idx="1">
                  <c:v>19.467605874856662</c:v>
                </c:pt>
                <c:pt idx="2">
                  <c:v>241.5643684506401</c:v>
                </c:pt>
                <c:pt idx="3">
                  <c:v>250.61541948168565</c:v>
                </c:pt>
                <c:pt idx="4">
                  <c:v>340.46832954573273</c:v>
                </c:pt>
                <c:pt idx="5">
                  <c:v>130.51163895556823</c:v>
                </c:pt>
                <c:pt idx="6">
                  <c:v>432.47960300109685</c:v>
                </c:pt>
                <c:pt idx="7">
                  <c:v>305.79293098152652</c:v>
                </c:pt>
                <c:pt idx="8">
                  <c:v>209.83184403907387</c:v>
                </c:pt>
                <c:pt idx="9">
                  <c:v>540.21674802277789</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Data'!$B$22:$K$22</c:f>
              <c:numCache>
                <c:formatCode>_(* #,##0_);_(* \(#,##0\);_(* "-"??_);_(@_)</c:formatCode>
                <c:ptCount val="10"/>
                <c:pt idx="0">
                  <c:v>-11.987200000000001</c:v>
                </c:pt>
                <c:pt idx="1">
                  <c:v>-13.731899999999989</c:v>
                </c:pt>
                <c:pt idx="2">
                  <c:v>-2.1566000000000045</c:v>
                </c:pt>
                <c:pt idx="3">
                  <c:v>-1.228900000000003</c:v>
                </c:pt>
                <c:pt idx="4">
                  <c:v>56.463999999999984</c:v>
                </c:pt>
                <c:pt idx="5">
                  <c:v>22.315999999999946</c:v>
                </c:pt>
                <c:pt idx="6">
                  <c:v>-24.472900000000053</c:v>
                </c:pt>
                <c:pt idx="7">
                  <c:v>-21.345399999999977</c:v>
                </c:pt>
                <c:pt idx="8">
                  <c:v>-6.7478000000000264</c:v>
                </c:pt>
                <c:pt idx="9">
                  <c:v>2.4004999999999512</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Data'!$B$24:$K$24</c:f>
              <c:numCache>
                <c:formatCode>_(* #,##0_);_(* \(#,##0\);_(* "-"??_);_(@_)</c:formatCode>
                <c:ptCount val="10"/>
                <c:pt idx="0">
                  <c:v>148.13999999999999</c:v>
                </c:pt>
                <c:pt idx="1">
                  <c:v>0</c:v>
                </c:pt>
                <c:pt idx="2">
                  <c:v>31.381</c:v>
                </c:pt>
                <c:pt idx="3">
                  <c:v>135.21</c:v>
                </c:pt>
                <c:pt idx="4">
                  <c:v>135.501</c:v>
                </c:pt>
                <c:pt idx="5">
                  <c:v>0</c:v>
                </c:pt>
                <c:pt idx="6">
                  <c:v>296.12099999999998</c:v>
                </c:pt>
                <c:pt idx="7">
                  <c:v>126.459</c:v>
                </c:pt>
                <c:pt idx="8">
                  <c:v>28.667000000000002</c:v>
                </c:pt>
                <c:pt idx="9">
                  <c:v>315.08100000000002</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Data'!$B$27:$K$27</c:f>
              <c:numCache>
                <c:formatCode>_(* #,##0_);_(* \(#,##0\);_(* "-"??_);_(@_)</c:formatCode>
                <c:ptCount val="10"/>
                <c:pt idx="0">
                  <c:v>-30.859322847317721</c:v>
                </c:pt>
                <c:pt idx="1">
                  <c:v>46.252505874856652</c:v>
                </c:pt>
                <c:pt idx="2">
                  <c:v>216.27796845064012</c:v>
                </c:pt>
                <c:pt idx="3">
                  <c:v>118.61331948168564</c:v>
                </c:pt>
                <c:pt idx="4">
                  <c:v>148.50332954573275</c:v>
                </c:pt>
                <c:pt idx="5">
                  <c:v>108.19563895556828</c:v>
                </c:pt>
                <c:pt idx="6">
                  <c:v>160.83150300109691</c:v>
                </c:pt>
                <c:pt idx="7">
                  <c:v>201.4293309815265</c:v>
                </c:pt>
                <c:pt idx="8">
                  <c:v>187.91264403907388</c:v>
                </c:pt>
                <c:pt idx="9">
                  <c:v>236.93924802277797</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Data'!$B$23:$K$23</c:f>
              <c:numCache>
                <c:formatCode>_(* #,##0_);_(* \(#,##0\);_(* "-"??_);_(@_)</c:formatCode>
                <c:ptCount val="10"/>
                <c:pt idx="0">
                  <c:v>0</c:v>
                </c:pt>
                <c:pt idx="1">
                  <c:v>-13.053000000000001</c:v>
                </c:pt>
                <c:pt idx="2">
                  <c:v>-3.9380000000000002</c:v>
                </c:pt>
                <c:pt idx="3">
                  <c:v>-1.9790000000000001</c:v>
                </c:pt>
                <c:pt idx="4">
                  <c:v>0</c:v>
                </c:pt>
                <c:pt idx="5">
                  <c:v>0</c:v>
                </c:pt>
                <c:pt idx="6">
                  <c:v>0</c:v>
                </c:pt>
                <c:pt idx="7">
                  <c:v>-0.75</c:v>
                </c:pt>
                <c:pt idx="8">
                  <c:v>0</c:v>
                </c:pt>
                <c:pt idx="9">
                  <c:v>-14.204000000000001</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90.741322847317718</c:v>
                </c:pt>
                <c:pt idx="1">
                  <c:v>188.93749412514333</c:v>
                </c:pt>
                <c:pt idx="2">
                  <c:v>0.17503154935988618</c:v>
                </c:pt>
                <c:pt idx="3">
                  <c:v>88.420680518314327</c:v>
                </c:pt>
                <c:pt idx="4">
                  <c:v>61.254670454267284</c:v>
                </c:pt>
                <c:pt idx="5">
                  <c:v>334.82536104443176</c:v>
                </c:pt>
                <c:pt idx="6">
                  <c:v>119.67849699890314</c:v>
                </c:pt>
                <c:pt idx="7">
                  <c:v>353.66766901847348</c:v>
                </c:pt>
                <c:pt idx="8">
                  <c:v>486.24035596092608</c:v>
                </c:pt>
                <c:pt idx="9">
                  <c:v>283.63475197722209</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470.19422099999997</c:v>
                </c:pt>
                <c:pt idx="11" formatCode="_(* #,##0_);_(* \(#,##0\);_(* &quot;-&quot;??_);_(@_)">
                  <c:v>540.72335414999998</c:v>
                </c:pt>
                <c:pt idx="12" formatCode="_(* #,##0_);_(* \(#,##0\);_(* &quot;-&quot;??_);_(@_)">
                  <c:v>621.83185727249986</c:v>
                </c:pt>
                <c:pt idx="13" formatCode="_(* #,##0_);_(* \(#,##0\);_(* &quot;-&quot;??_);_(@_)">
                  <c:v>715.10663586337489</c:v>
                </c:pt>
                <c:pt idx="14" formatCode="_(* #,##0_);_(* \(#,##0\);_(* &quot;-&quot;??_);_(@_)">
                  <c:v>822.37263124288108</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543.20574599999998</c:v>
                </c:pt>
                <c:pt idx="11" formatCode="_(* #,##0_);_(* \(#,##0\);_(* &quot;-&quot;??_);_(@_)">
                  <c:v>651.84689519999995</c:v>
                </c:pt>
                <c:pt idx="12" formatCode="_(* #,##0_);_(* \(#,##0\);_(* &quot;-&quot;??_);_(@_)">
                  <c:v>782.21627423999985</c:v>
                </c:pt>
                <c:pt idx="13" formatCode="_(* #,##0_);_(* \(#,##0\);_(* &quot;-&quot;??_);_(@_)">
                  <c:v>938.65952908799977</c:v>
                </c:pt>
                <c:pt idx="14" formatCode="_(* #,##0_);_(* \(#,##0\);_(* &quot;-&quot;??_);_(@_)">
                  <c:v>1126.3914349055997</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Data'!$B$33:$P$33</c:f>
              <c:numCache>
                <c:formatCode>0%</c:formatCode>
                <c:ptCount val="15"/>
                <c:pt idx="0">
                  <c:v>0.13905181780296691</c:v>
                </c:pt>
                <c:pt idx="1">
                  <c:v>0.25251056367929814</c:v>
                </c:pt>
                <c:pt idx="2">
                  <c:v>1.9249530050786083E-4</c:v>
                </c:pt>
                <c:pt idx="3">
                  <c:v>7.8034106800806566E-2</c:v>
                </c:pt>
                <c:pt idx="4">
                  <c:v>4.6097145396444571E-2</c:v>
                </c:pt>
                <c:pt idx="5">
                  <c:v>0.21818199420990395</c:v>
                </c:pt>
                <c:pt idx="6">
                  <c:v>6.6878587685592447E-2</c:v>
                </c:pt>
                <c:pt idx="7">
                  <c:v>0.1723333490975541</c:v>
                </c:pt>
                <c:pt idx="8">
                  <c:v>0.20160865375858894</c:v>
                </c:pt>
                <c:pt idx="9">
                  <c:v>9.7119856069717111E-2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Data'!$B$35:$P$35</c:f>
              <c:numCache>
                <c:formatCode>General</c:formatCode>
                <c:ptCount val="15"/>
                <c:pt idx="9" formatCode="0%">
                  <c:v>9.7119856069717111E-2</c:v>
                </c:pt>
                <c:pt idx="10" formatCode="0.0%">
                  <c:v>0.14000000000000001</c:v>
                </c:pt>
                <c:pt idx="11" formatCode="0.0%">
                  <c:v>0.14000000000000001</c:v>
                </c:pt>
                <c:pt idx="12" formatCode="0.0%">
                  <c:v>0.14000000000000001</c:v>
                </c:pt>
                <c:pt idx="13" formatCode="0.0%">
                  <c:v>0.14000000000000001</c:v>
                </c:pt>
                <c:pt idx="14" formatCode="0.0%">
                  <c:v>0.14000000000000001</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39872</c:v>
                </c:pt>
                <c:pt idx="1">
                  <c:v>40237</c:v>
                </c:pt>
                <c:pt idx="2">
                  <c:v>40602</c:v>
                </c:pt>
                <c:pt idx="3">
                  <c:v>40967</c:v>
                </c:pt>
                <c:pt idx="4">
                  <c:v>41333</c:v>
                </c:pt>
                <c:pt idx="5">
                  <c:v>41698</c:v>
                </c:pt>
                <c:pt idx="6">
                  <c:v>42063</c:v>
                </c:pt>
                <c:pt idx="7">
                  <c:v>42428</c:v>
                </c:pt>
                <c:pt idx="8">
                  <c:v>42794</c:v>
                </c:pt>
                <c:pt idx="9">
                  <c:v>43159</c:v>
                </c:pt>
                <c:pt idx="10">
                  <c:v>43524</c:v>
                </c:pt>
                <c:pt idx="11">
                  <c:v>43889</c:v>
                </c:pt>
                <c:pt idx="12">
                  <c:v>44254</c:v>
                </c:pt>
                <c:pt idx="13">
                  <c:v>44619</c:v>
                </c:pt>
                <c:pt idx="14">
                  <c:v>44984</c:v>
                </c:pt>
              </c:numCache>
            </c:numRef>
          </c:cat>
          <c:val>
            <c:numRef>
              <c:f>'Graphing Data'!$B$34:$P$34</c:f>
              <c:numCache>
                <c:formatCode>General</c:formatCode>
                <c:ptCount val="15"/>
                <c:pt idx="9" formatCode="0%">
                  <c:v>9.7119856069717111E-2</c:v>
                </c:pt>
                <c:pt idx="10" formatCode="0.0%">
                  <c:v>0.155</c:v>
                </c:pt>
                <c:pt idx="11" formatCode="0.0%">
                  <c:v>0.155</c:v>
                </c:pt>
                <c:pt idx="12" formatCode="0.0%">
                  <c:v>0.155</c:v>
                </c:pt>
                <c:pt idx="13" formatCode="0.0%">
                  <c:v>0.155</c:v>
                </c:pt>
                <c:pt idx="14" formatCode="0.0%">
                  <c:v>0.155</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RHT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196.03479999999999</c:v>
                </c:pt>
                <c:pt idx="1">
                  <c:v>208.4051</c:v>
                </c:pt>
                <c:pt idx="2">
                  <c:v>241.73939999999999</c:v>
                </c:pt>
                <c:pt idx="3">
                  <c:v>339.03609999999998</c:v>
                </c:pt>
                <c:pt idx="4">
                  <c:v>401.72300000000001</c:v>
                </c:pt>
                <c:pt idx="5">
                  <c:v>465.33699999999999</c:v>
                </c:pt>
                <c:pt idx="6">
                  <c:v>552.15809999999999</c:v>
                </c:pt>
                <c:pt idx="7">
                  <c:v>659.4606</c:v>
                </c:pt>
                <c:pt idx="8">
                  <c:v>696.07219999999995</c:v>
                </c:pt>
                <c:pt idx="9">
                  <c:v>823.85149999999999</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RHT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196.03479999999999</c:v>
                </c:pt>
                <c:pt idx="1">
                  <c:v>196.2584563605248</c:v>
                </c:pt>
                <c:pt idx="2">
                  <c:v>205.20066879909828</c:v>
                </c:pt>
                <c:pt idx="3">
                  <c:v>212.67968360194914</c:v>
                </c:pt>
                <c:pt idx="4">
                  <c:v>220.05225953442979</c:v>
                </c:pt>
                <c:pt idx="5">
                  <c:v>230.10062782836997</c:v>
                </c:pt>
                <c:pt idx="6">
                  <c:v>238.5268138447687</c:v>
                </c:pt>
                <c:pt idx="7">
                  <c:v>244.73934082296097</c:v>
                </c:pt>
                <c:pt idx="8">
                  <c:v>254.71960171313887</c:v>
                </c:pt>
                <c:pt idx="9">
                  <c:v>266.15244329855182</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RHT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Data'!$B$40:$K$40</c:f>
              <c:numCache>
                <c:formatCode>0%</c:formatCode>
                <c:ptCount val="10"/>
                <c:pt idx="1">
                  <c:v>6.1961670272192571E-2</c:v>
                </c:pt>
                <c:pt idx="2">
                  <c:v>0.11438609019953261</c:v>
                </c:pt>
                <c:pt idx="3">
                  <c:v>0.36603857833705966</c:v>
                </c:pt>
                <c:pt idx="4">
                  <c:v>0.15023225632021053</c:v>
                </c:pt>
                <c:pt idx="5">
                  <c:v>0.11268934064222313</c:v>
                </c:pt>
                <c:pt idx="6">
                  <c:v>0.14995725510420055</c:v>
                </c:pt>
                <c:pt idx="7">
                  <c:v>0.16828752453294782</c:v>
                </c:pt>
                <c:pt idx="8">
                  <c:v>1.4738349866928013E-2</c:v>
                </c:pt>
                <c:pt idx="9">
                  <c:v>0.13868787791720605</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RHT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39872</c:v>
                </c:pt>
                <c:pt idx="1">
                  <c:v>40237</c:v>
                </c:pt>
                <c:pt idx="2">
                  <c:v>40602</c:v>
                </c:pt>
                <c:pt idx="3">
                  <c:v>40967</c:v>
                </c:pt>
                <c:pt idx="4">
                  <c:v>41333</c:v>
                </c:pt>
                <c:pt idx="5">
                  <c:v>41698</c:v>
                </c:pt>
                <c:pt idx="6">
                  <c:v>42063</c:v>
                </c:pt>
                <c:pt idx="7">
                  <c:v>42428</c:v>
                </c:pt>
                <c:pt idx="8">
                  <c:v>42794</c:v>
                </c:pt>
                <c:pt idx="9">
                  <c:v>43159</c:v>
                </c:pt>
              </c:numCache>
            </c:numRef>
          </c:cat>
          <c:val>
            <c:numRef>
              <c:f>'Graphing Data'!$B$41:$K$41</c:f>
              <c:numCache>
                <c:formatCode>0%</c:formatCode>
                <c:ptCount val="10"/>
                <c:pt idx="3">
                  <c:v>0.19344498895342555</c:v>
                </c:pt>
                <c:pt idx="4">
                  <c:v>0.20621691544555398</c:v>
                </c:pt>
                <c:pt idx="5">
                  <c:v>0.18854833021376471</c:v>
                </c:pt>
                <c:pt idx="6">
                  <c:v>0.13770903466078543</c:v>
                </c:pt>
                <c:pt idx="7">
                  <c:v>0.14575837914119272</c:v>
                </c:pt>
                <c:pt idx="8">
                  <c:v>0.1030807466476209</c:v>
                </c:pt>
                <c:pt idx="9">
                  <c:v>0.10498620778672518</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Red Hat Inc. (RHT)</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756.16</c:v>
                </c:pt>
                <c:pt idx="2">
                  <c:v>1512.32</c:v>
                </c:pt>
                <c:pt idx="3">
                  <c:v>2268.48</c:v>
                </c:pt>
                <c:pt idx="4">
                  <c:v>3024.64</c:v>
                </c:pt>
                <c:pt idx="5">
                  <c:v>3780.8</c:v>
                </c:pt>
                <c:pt idx="6">
                  <c:v>4536.96</c:v>
                </c:pt>
                <c:pt idx="7">
                  <c:v>5293.1200000000008</c:v>
                </c:pt>
                <c:pt idx="8">
                  <c:v>6049.28</c:v>
                </c:pt>
                <c:pt idx="9">
                  <c:v>6805.44</c:v>
                </c:pt>
                <c:pt idx="10">
                  <c:v>7561.5999999999995</c:v>
                </c:pt>
                <c:pt idx="11">
                  <c:v>8317.7599999999984</c:v>
                </c:pt>
                <c:pt idx="12">
                  <c:v>9073.9199999999983</c:v>
                </c:pt>
                <c:pt idx="13">
                  <c:v>9830.0799999999981</c:v>
                </c:pt>
                <c:pt idx="14">
                  <c:v>10586.24</c:v>
                </c:pt>
                <c:pt idx="15">
                  <c:v>11342.4</c:v>
                </c:pt>
                <c:pt idx="16">
                  <c:v>12098.56</c:v>
                </c:pt>
                <c:pt idx="17">
                  <c:v>12854.720000000001</c:v>
                </c:pt>
                <c:pt idx="18">
                  <c:v>13610.880000000001</c:v>
                </c:pt>
                <c:pt idx="19">
                  <c:v>14367.040000000003</c:v>
                </c:pt>
                <c:pt idx="20">
                  <c:v>15123.200000000003</c:v>
                </c:pt>
                <c:pt idx="21">
                  <c:v>15879.360000000004</c:v>
                </c:pt>
                <c:pt idx="22">
                  <c:v>16635.520000000004</c:v>
                </c:pt>
                <c:pt idx="23">
                  <c:v>17391.680000000004</c:v>
                </c:pt>
                <c:pt idx="24">
                  <c:v>18147.840000000007</c:v>
                </c:pt>
                <c:pt idx="25">
                  <c:v>18904.000000000004</c:v>
                </c:pt>
                <c:pt idx="26">
                  <c:v>19660.160000000003</c:v>
                </c:pt>
                <c:pt idx="27">
                  <c:v>20416.320000000007</c:v>
                </c:pt>
                <c:pt idx="28">
                  <c:v>21172.480000000007</c:v>
                </c:pt>
                <c:pt idx="29">
                  <c:v>21928.640000000007</c:v>
                </c:pt>
                <c:pt idx="30">
                  <c:v>22684.800000000007</c:v>
                </c:pt>
                <c:pt idx="31">
                  <c:v>23440.96000000001</c:v>
                </c:pt>
                <c:pt idx="32">
                  <c:v>24197.12000000001</c:v>
                </c:pt>
                <c:pt idx="33">
                  <c:v>24953.28000000001</c:v>
                </c:pt>
                <c:pt idx="34">
                  <c:v>25709.44000000001</c:v>
                </c:pt>
                <c:pt idx="35">
                  <c:v>26465.600000000009</c:v>
                </c:pt>
                <c:pt idx="36">
                  <c:v>27221.760000000013</c:v>
                </c:pt>
                <c:pt idx="37">
                  <c:v>27977.920000000013</c:v>
                </c:pt>
                <c:pt idx="38">
                  <c:v>28734.080000000013</c:v>
                </c:pt>
                <c:pt idx="39">
                  <c:v>29490.240000000013</c:v>
                </c:pt>
                <c:pt idx="40">
                  <c:v>30246.400000000016</c:v>
                </c:pt>
                <c:pt idx="41">
                  <c:v>31002.560000000016</c:v>
                </c:pt>
                <c:pt idx="42">
                  <c:v>31758.720000000016</c:v>
                </c:pt>
                <c:pt idx="43">
                  <c:v>32514.880000000016</c:v>
                </c:pt>
                <c:pt idx="44">
                  <c:v>33271.040000000015</c:v>
                </c:pt>
                <c:pt idx="45">
                  <c:v>34027.200000000019</c:v>
                </c:pt>
                <c:pt idx="46">
                  <c:v>34783.360000000015</c:v>
                </c:pt>
                <c:pt idx="47">
                  <c:v>35539.520000000019</c:v>
                </c:pt>
                <c:pt idx="48">
                  <c:v>36295.680000000022</c:v>
                </c:pt>
                <c:pt idx="49">
                  <c:v>37051.840000000018</c:v>
                </c:pt>
                <c:pt idx="50">
                  <c:v>37808.000000000015</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6.25E-2</c:v>
                </c:pt>
                <c:pt idx="23">
                  <c:v>0</c:v>
                </c:pt>
                <c:pt idx="24">
                  <c:v>6.25E-2</c:v>
                </c:pt>
                <c:pt idx="25">
                  <c:v>0</c:v>
                </c:pt>
                <c:pt idx="26">
                  <c:v>0</c:v>
                </c:pt>
                <c:pt idx="27">
                  <c:v>6.25E-2</c:v>
                </c:pt>
                <c:pt idx="28">
                  <c:v>0</c:v>
                </c:pt>
                <c:pt idx="29">
                  <c:v>6.25E-2</c:v>
                </c:pt>
                <c:pt idx="30">
                  <c:v>0</c:v>
                </c:pt>
                <c:pt idx="31">
                  <c:v>0</c:v>
                </c:pt>
                <c:pt idx="32">
                  <c:v>0</c:v>
                </c:pt>
                <c:pt idx="33">
                  <c:v>0</c:v>
                </c:pt>
                <c:pt idx="34">
                  <c:v>0</c:v>
                </c:pt>
                <c:pt idx="35">
                  <c:v>0</c:v>
                </c:pt>
                <c:pt idx="36">
                  <c:v>0</c:v>
                </c:pt>
                <c:pt idx="37">
                  <c:v>6.25E-2</c:v>
                </c:pt>
                <c:pt idx="38">
                  <c:v>0</c:v>
                </c:pt>
                <c:pt idx="39">
                  <c:v>0</c:v>
                </c:pt>
                <c:pt idx="40">
                  <c:v>0</c:v>
                </c:pt>
                <c:pt idx="41">
                  <c:v>6.25E-2</c:v>
                </c:pt>
                <c:pt idx="42">
                  <c:v>0</c:v>
                </c:pt>
                <c:pt idx="43">
                  <c:v>0</c:v>
                </c:pt>
                <c:pt idx="44">
                  <c:v>0</c:v>
                </c:pt>
                <c:pt idx="45">
                  <c:v>6.25E-2</c:v>
                </c:pt>
                <c:pt idx="46">
                  <c:v>0</c:v>
                </c:pt>
                <c:pt idx="47">
                  <c:v>0</c:v>
                </c:pt>
                <c:pt idx="48">
                  <c:v>0</c:v>
                </c:pt>
                <c:pt idx="49">
                  <c:v>0</c:v>
                </c:pt>
                <c:pt idx="50">
                  <c:v>6.25E-2</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756.16</c:v>
                </c:pt>
                <c:pt idx="2">
                  <c:v>1512.32</c:v>
                </c:pt>
                <c:pt idx="3">
                  <c:v>2268.48</c:v>
                </c:pt>
                <c:pt idx="4">
                  <c:v>3024.64</c:v>
                </c:pt>
                <c:pt idx="5">
                  <c:v>3780.8</c:v>
                </c:pt>
                <c:pt idx="6">
                  <c:v>4536.96</c:v>
                </c:pt>
                <c:pt idx="7">
                  <c:v>5293.1200000000008</c:v>
                </c:pt>
                <c:pt idx="8">
                  <c:v>6049.28</c:v>
                </c:pt>
                <c:pt idx="9">
                  <c:v>6805.44</c:v>
                </c:pt>
                <c:pt idx="10">
                  <c:v>7561.5999999999995</c:v>
                </c:pt>
                <c:pt idx="11">
                  <c:v>8317.7599999999984</c:v>
                </c:pt>
                <c:pt idx="12">
                  <c:v>9073.9199999999983</c:v>
                </c:pt>
                <c:pt idx="13">
                  <c:v>9830.0799999999981</c:v>
                </c:pt>
                <c:pt idx="14">
                  <c:v>10586.24</c:v>
                </c:pt>
                <c:pt idx="15">
                  <c:v>11342.4</c:v>
                </c:pt>
                <c:pt idx="16">
                  <c:v>12098.56</c:v>
                </c:pt>
                <c:pt idx="17">
                  <c:v>12854.720000000001</c:v>
                </c:pt>
                <c:pt idx="18">
                  <c:v>13610.880000000001</c:v>
                </c:pt>
                <c:pt idx="19">
                  <c:v>14367.040000000003</c:v>
                </c:pt>
                <c:pt idx="20">
                  <c:v>15123.200000000003</c:v>
                </c:pt>
                <c:pt idx="21">
                  <c:v>15879.360000000004</c:v>
                </c:pt>
                <c:pt idx="22">
                  <c:v>16635.520000000004</c:v>
                </c:pt>
                <c:pt idx="23">
                  <c:v>17391.680000000004</c:v>
                </c:pt>
                <c:pt idx="24">
                  <c:v>18147.840000000007</c:v>
                </c:pt>
                <c:pt idx="25">
                  <c:v>18904.000000000004</c:v>
                </c:pt>
                <c:pt idx="26">
                  <c:v>19660.160000000003</c:v>
                </c:pt>
                <c:pt idx="27">
                  <c:v>20416.320000000007</c:v>
                </c:pt>
                <c:pt idx="28">
                  <c:v>21172.480000000007</c:v>
                </c:pt>
                <c:pt idx="29">
                  <c:v>21928.640000000007</c:v>
                </c:pt>
                <c:pt idx="30">
                  <c:v>22684.800000000007</c:v>
                </c:pt>
                <c:pt idx="31">
                  <c:v>23440.96000000001</c:v>
                </c:pt>
                <c:pt idx="32">
                  <c:v>24197.12000000001</c:v>
                </c:pt>
                <c:pt idx="33">
                  <c:v>24953.28000000001</c:v>
                </c:pt>
                <c:pt idx="34">
                  <c:v>25709.44000000001</c:v>
                </c:pt>
                <c:pt idx="35">
                  <c:v>26465.600000000009</c:v>
                </c:pt>
                <c:pt idx="36">
                  <c:v>27221.760000000013</c:v>
                </c:pt>
                <c:pt idx="37">
                  <c:v>27977.920000000013</c:v>
                </c:pt>
                <c:pt idx="38">
                  <c:v>28734.080000000013</c:v>
                </c:pt>
                <c:pt idx="39">
                  <c:v>29490.240000000013</c:v>
                </c:pt>
                <c:pt idx="40">
                  <c:v>30246.400000000016</c:v>
                </c:pt>
                <c:pt idx="41">
                  <c:v>31002.560000000016</c:v>
                </c:pt>
                <c:pt idx="42">
                  <c:v>31758.720000000016</c:v>
                </c:pt>
                <c:pt idx="43">
                  <c:v>32514.880000000016</c:v>
                </c:pt>
                <c:pt idx="44">
                  <c:v>33271.040000000015</c:v>
                </c:pt>
                <c:pt idx="45">
                  <c:v>34027.200000000019</c:v>
                </c:pt>
                <c:pt idx="46">
                  <c:v>34783.360000000015</c:v>
                </c:pt>
                <c:pt idx="47">
                  <c:v>35539.520000000019</c:v>
                </c:pt>
                <c:pt idx="48">
                  <c:v>36295.680000000022</c:v>
                </c:pt>
                <c:pt idx="49">
                  <c:v>37051.840000000018</c:v>
                </c:pt>
                <c:pt idx="50">
                  <c:v>37808.000000000015</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6.1943222628819976E-50</c:v>
                </c:pt>
                <c:pt idx="2">
                  <c:v>9.5921140006307133E-34</c:v>
                </c:pt>
                <c:pt idx="3">
                  <c:v>8.7358925039468767E-26</c:v>
                </c:pt>
                <c:pt idx="4">
                  <c:v>8.1682058597252201E-21</c:v>
                </c:pt>
                <c:pt idx="5">
                  <c:v>2.404933240588761E-17</c:v>
                </c:pt>
                <c:pt idx="6">
                  <c:v>9.2188989310814212E-15</c:v>
                </c:pt>
                <c:pt idx="7">
                  <c:v>9.3995154648572896E-13</c:v>
                </c:pt>
                <c:pt idx="8">
                  <c:v>3.8244149212315614E-11</c:v>
                </c:pt>
                <c:pt idx="9">
                  <c:v>7.9761096409065994E-10</c:v>
                </c:pt>
                <c:pt idx="10">
                  <c:v>1.0048963746581496E-8</c:v>
                </c:pt>
                <c:pt idx="11">
                  <c:v>8.5626354223218052E-8</c:v>
                </c:pt>
                <c:pt idx="12">
                  <c:v>5.348808177343074E-7</c:v>
                </c:pt>
                <c:pt idx="13">
                  <c:v>2.5990931669485568E-6</c:v>
                </c:pt>
                <c:pt idx="14">
                  <c:v>1.0273704781666392E-5</c:v>
                </c:pt>
                <c:pt idx="15">
                  <c:v>3.4193158991770266E-5</c:v>
                </c:pt>
                <c:pt idx="16">
                  <c:v>9.8446503552904858E-5</c:v>
                </c:pt>
                <c:pt idx="17">
                  <c:v>2.505347838886511E-4</c:v>
                </c:pt>
                <c:pt idx="18">
                  <c:v>5.7345962358230028E-4</c:v>
                </c:pt>
                <c:pt idx="19">
                  <c:v>1.1975322114027259E-3</c:v>
                </c:pt>
                <c:pt idx="20">
                  <c:v>2.3085072649542807E-3</c:v>
                </c:pt>
                <c:pt idx="21">
                  <c:v>4.1485797726973101E-3</c:v>
                </c:pt>
                <c:pt idx="22">
                  <c:v>7.0077947092882439E-3</c:v>
                </c:pt>
                <c:pt idx="23">
                  <c:v>1.1205265163993176E-2</c:v>
                </c:pt>
                <c:pt idx="24">
                  <c:v>1.7061741452878035E-2</c:v>
                </c:pt>
                <c:pt idx="25">
                  <c:v>2.4866928042269566E-2</c:v>
                </c:pt>
                <c:pt idx="26">
                  <c:v>3.4846053059227097E-2</c:v>
                </c:pt>
                <c:pt idx="27">
                  <c:v>4.713035916917218E-2</c:v>
                </c:pt>
                <c:pt idx="28">
                  <c:v>6.1735470146093631E-2</c:v>
                </c:pt>
                <c:pt idx="29">
                  <c:v>7.8550251256404066E-2</c:v>
                </c:pt>
                <c:pt idx="30">
                  <c:v>9.7337166043083595E-2</c:v>
                </c:pt>
                <c:pt idx="31">
                  <c:v>0.11774356683436178</c:v>
                </c:pt>
                <c:pt idx="32">
                  <c:v>0.13932209075957819</c:v>
                </c:pt>
                <c:pt idx="33">
                  <c:v>0.16155750714659706</c:v>
                </c:pt>
                <c:pt idx="34">
                  <c:v>0.18389700913520104</c:v>
                </c:pt>
                <c:pt idx="35">
                  <c:v>0.20578101221335116</c:v>
                </c:pt>
                <c:pt idx="36">
                  <c:v>0.22667191402370043</c:v>
                </c:pt>
                <c:pt idx="37">
                  <c:v>0.24607886195122536</c:v>
                </c:pt>
                <c:pt idx="38">
                  <c:v>0.26357725087383255</c:v>
                </c:pt>
                <c:pt idx="39">
                  <c:v>0.27882233646429605</c:v>
                </c:pt>
                <c:pt idx="40">
                  <c:v>0.29155693069580402</c:v>
                </c:pt>
                <c:pt idx="41">
                  <c:v>0.30161360538040005</c:v>
                </c:pt>
                <c:pt idx="42">
                  <c:v>0.30891215132155414</c:v>
                </c:pt>
                <c:pt idx="43">
                  <c:v>0.31345322887137239</c:v>
                </c:pt>
                <c:pt idx="44">
                  <c:v>0.31530921707191717</c:v>
                </c:pt>
                <c:pt idx="45">
                  <c:v>0.31461324682500902</c:v>
                </c:pt>
                <c:pt idx="46">
                  <c:v>0.31154731460330176</c:v>
                </c:pt>
                <c:pt idx="47">
                  <c:v>0.30633024183622959</c:v>
                </c:pt>
                <c:pt idx="48">
                  <c:v>0.29920609271863963</c:v>
                </c:pt>
                <c:pt idx="49">
                  <c:v>0.29043350687709563</c:v>
                </c:pt>
                <c:pt idx="50">
                  <c:v>0.28027625556595276</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4"/>
  <sheetViews>
    <sheetView zoomScale="137"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5"/>
  <sheetViews>
    <sheetView zoomScale="137"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6"/>
  <sheetViews>
    <sheetView zoomScale="137"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7"/>
  <sheetViews>
    <sheetView zoomScale="137"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8"/>
  <sheetViews>
    <sheetView zoomScale="137"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9"/>
  <sheetViews>
    <sheetView zoomScale="137"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10"/>
  <sheetViews>
    <sheetView zoomScale="137" workbookViewId="0" zoomToFit="1"/>
  </sheetViews>
  <pageMargins left="0.7" right="0.7" top="0.75" bottom="0.75" header="0.3" footer="0.3"/>
  <pageSetup paperSize="5"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409142" cy="6292062"/>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409142" cy="62920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9142" cy="62920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409142" cy="62920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09142" cy="62920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9142" cy="6292062"/>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9142" cy="629206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52"/>
  <sheetViews>
    <sheetView showGridLines="0" tabSelected="1" zoomScaleNormal="100" workbookViewId="0">
      <selection activeCell="G3" sqref="G3"/>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59" t="s">
        <v>61</v>
      </c>
      <c r="B1" s="159"/>
      <c r="C1" s="159"/>
      <c r="D1" s="159"/>
      <c r="E1" s="159"/>
      <c r="F1" s="159"/>
      <c r="G1" s="159"/>
      <c r="I1" s="168" t="s">
        <v>51</v>
      </c>
      <c r="J1" s="169"/>
      <c r="K1" s="90" t="s">
        <v>58</v>
      </c>
      <c r="L1" s="62" t="s">
        <v>108</v>
      </c>
    </row>
    <row r="2" spans="1:13">
      <c r="A2" s="50" t="s">
        <v>193</v>
      </c>
      <c r="B2" s="43" t="s">
        <v>194</v>
      </c>
      <c r="C2" s="97" t="str">
        <f>A2&amp;" ("&amp;ticker&amp;")"</f>
        <v>Red Hat Inc. (RHT)</v>
      </c>
      <c r="E2" s="3" t="s">
        <v>57</v>
      </c>
      <c r="F2" s="3"/>
      <c r="G2" s="49">
        <f>175.973678*190</f>
        <v>33434.998820000001</v>
      </c>
      <c r="I2" s="164" t="str">
        <f>(ROUND(AVERAGE(C9:G9)*100,0)&amp;"% | "&amp;ROUND(AVERAGE(C11:G11)*100,0)&amp;"% | "&amp;ROUND(C19*100,0)&amp;"%")</f>
        <v>15% | 28% | 8%</v>
      </c>
      <c r="J2" s="165"/>
      <c r="K2" s="91">
        <f ca="1">TRUNC(Scenario1)+B14/G4</f>
        <v>16457</v>
      </c>
      <c r="L2" s="93" t="s">
        <v>53</v>
      </c>
      <c r="M2" s="44"/>
    </row>
    <row r="3" spans="1:13">
      <c r="A3" t="s">
        <v>0</v>
      </c>
      <c r="B3" s="13">
        <v>43159</v>
      </c>
      <c r="E3" t="s">
        <v>60</v>
      </c>
      <c r="G3" s="30">
        <f>'Company Analysis'!K3</f>
        <v>2920.4609999999998</v>
      </c>
      <c r="I3" s="164" t="str">
        <f>(ROUND(AVERAGE(C9:G9)*100,0)&amp;"% | "&amp;ROUND(AVERAGE(C11:G11)*100,0)&amp;"% | "&amp;ROUND(C18*100,0)&amp;"%")</f>
        <v>15% | 28% | 15%</v>
      </c>
      <c r="J3" s="165"/>
      <c r="K3" s="91">
        <f ca="1">TRUNC(Scenario2)+B14/G4</f>
        <v>27786</v>
      </c>
      <c r="L3" s="93" t="s">
        <v>53</v>
      </c>
      <c r="M3" s="45"/>
    </row>
    <row r="4" spans="1:13" ht="15.75" thickBot="1">
      <c r="A4" s="67" t="s">
        <v>1</v>
      </c>
      <c r="B4" s="51">
        <v>0.1</v>
      </c>
      <c r="C4" s="12"/>
      <c r="D4" s="12"/>
      <c r="E4" s="12" t="s">
        <v>6</v>
      </c>
      <c r="F4" s="12"/>
      <c r="G4" s="52">
        <v>1</v>
      </c>
      <c r="I4" s="164" t="str">
        <f>(ROUND(AVERAGE(C9:G9)*100,0)&amp;"% | "&amp;ROUND(AVERAGE(C10:G10)*100,0)&amp;"% | "&amp;ROUND(C19*100,0)&amp;"%")</f>
        <v>15% | 31% | 8%</v>
      </c>
      <c r="J4" s="165"/>
      <c r="K4" s="91">
        <f ca="1">TRUNC(Scenario3)+B14/G4</f>
        <v>18220</v>
      </c>
      <c r="L4" s="94" t="s">
        <v>53</v>
      </c>
      <c r="M4" s="46"/>
    </row>
    <row r="5" spans="1:13">
      <c r="B5" s="2"/>
      <c r="I5" s="164" t="str">
        <f>(ROUND(AVERAGE(C9:G9)*100,0)&amp;"% | "&amp;ROUND(AVERAGE(C10:G10)*100,0)&amp;"% | "&amp;ROUND(C18*100,0)&amp;"%")</f>
        <v>15% | 31% | 15%</v>
      </c>
      <c r="J5" s="165"/>
      <c r="K5" s="91">
        <f ca="1">TRUNC(Scenario4)+B14/G4</f>
        <v>30763</v>
      </c>
      <c r="L5" s="94" t="s">
        <v>53</v>
      </c>
      <c r="M5" s="46"/>
    </row>
    <row r="6" spans="1:13" s="9" customFormat="1" ht="15.75" thickBot="1">
      <c r="A6" s="159" t="s">
        <v>96</v>
      </c>
      <c r="B6" s="159"/>
      <c r="C6" s="159"/>
      <c r="D6" s="159"/>
      <c r="E6" s="159"/>
      <c r="F6" s="159"/>
      <c r="G6" s="159"/>
      <c r="H6" s="8"/>
      <c r="I6" s="164" t="str">
        <f>(ROUND(AVERAGE(C8:G8)*100,0)&amp;"% | "&amp;ROUND(AVERAGE(C11:G11)*100,0)&amp;"% | "&amp;ROUND(C19*100,0)&amp;"%")</f>
        <v>20% | 28% | 8%</v>
      </c>
      <c r="J6" s="165"/>
      <c r="K6" s="91">
        <f ca="1">TRUNC(Scenario5)+B14/G4</f>
        <v>20125</v>
      </c>
      <c r="L6" s="93" t="s">
        <v>53</v>
      </c>
      <c r="M6" s="47"/>
    </row>
    <row r="7" spans="1:13">
      <c r="A7" s="7"/>
      <c r="B7" s="7" t="s">
        <v>2</v>
      </c>
      <c r="C7" s="39">
        <v>1</v>
      </c>
      <c r="D7" s="39">
        <v>2</v>
      </c>
      <c r="E7" s="39">
        <v>3</v>
      </c>
      <c r="F7" s="39">
        <v>4</v>
      </c>
      <c r="G7" s="39">
        <v>5</v>
      </c>
      <c r="I7" s="164" t="str">
        <f>(ROUND(AVERAGE(C8:G8)*100,0)&amp;"% | "&amp;ROUND(AVERAGE(C11:G11)*100,0)&amp;"% | "&amp;ROUND(C18*100,0)&amp;"%")</f>
        <v>20% | 28% | 15%</v>
      </c>
      <c r="J7" s="165"/>
      <c r="K7" s="91">
        <f ca="1">TRUNC(Scenario6)+B14/G4</f>
        <v>34140</v>
      </c>
      <c r="L7" s="95" t="s">
        <v>53</v>
      </c>
    </row>
    <row r="8" spans="1:13">
      <c r="A8" s="162" t="s">
        <v>5</v>
      </c>
      <c r="B8" s="22" t="s">
        <v>3</v>
      </c>
      <c r="C8" s="23">
        <v>0.2</v>
      </c>
      <c r="D8" s="23">
        <v>0.2</v>
      </c>
      <c r="E8" s="23">
        <v>0.2</v>
      </c>
      <c r="F8" s="23">
        <v>0.2</v>
      </c>
      <c r="G8" s="23">
        <v>0.2</v>
      </c>
      <c r="I8" s="164" t="str">
        <f>(ROUND(AVERAGE(C8:G8)*100,0)&amp;"% | "&amp;ROUND(AVERAGE(C10:G10)*100,0)&amp;"% | "&amp;ROUND(C19*100,0)&amp;"%")</f>
        <v>20% | 31% | 8%</v>
      </c>
      <c r="J8" s="165"/>
      <c r="K8" s="91">
        <f ca="1">TRUNC(Scenario7)+B14/G4</f>
        <v>22281</v>
      </c>
      <c r="L8" s="95" t="s">
        <v>53</v>
      </c>
    </row>
    <row r="9" spans="1:13">
      <c r="A9" s="163"/>
      <c r="B9" s="14" t="s">
        <v>4</v>
      </c>
      <c r="C9" s="24">
        <v>0.15</v>
      </c>
      <c r="D9" s="24">
        <v>0.15</v>
      </c>
      <c r="E9" s="24">
        <v>0.15</v>
      </c>
      <c r="F9" s="24">
        <v>0.15</v>
      </c>
      <c r="G9" s="24">
        <v>0.15</v>
      </c>
      <c r="I9" s="166" t="str">
        <f>(ROUND(AVERAGE(C8:G8)*100,0)&amp;"% | "&amp;ROUND(AVERAGE(C10:G10)*100,0)&amp;"% | "&amp;ROUND(C18*100,0)&amp;"%")</f>
        <v>20% | 31% | 15%</v>
      </c>
      <c r="J9" s="167"/>
      <c r="K9" s="92">
        <f ca="1">TRUNC(Scenario8)+B14/G4</f>
        <v>37798</v>
      </c>
      <c r="L9" s="96" t="s">
        <v>53</v>
      </c>
    </row>
    <row r="10" spans="1:13">
      <c r="A10" s="160" t="s">
        <v>124</v>
      </c>
      <c r="B10" s="22" t="s">
        <v>3</v>
      </c>
      <c r="C10" s="135">
        <v>0.31</v>
      </c>
      <c r="D10" s="135">
        <v>0.31</v>
      </c>
      <c r="E10" s="135">
        <v>0.31</v>
      </c>
      <c r="F10" s="135">
        <v>0.31</v>
      </c>
      <c r="G10" s="135">
        <v>0.31</v>
      </c>
    </row>
    <row r="11" spans="1:13">
      <c r="A11" s="161"/>
      <c r="B11" s="14" t="s">
        <v>4</v>
      </c>
      <c r="C11" s="136">
        <v>0.28000000000000003</v>
      </c>
      <c r="D11" s="136">
        <v>0.28000000000000003</v>
      </c>
      <c r="E11" s="136">
        <v>0.28000000000000003</v>
      </c>
      <c r="F11" s="136">
        <v>0.28000000000000003</v>
      </c>
      <c r="G11" s="136">
        <v>0.28000000000000003</v>
      </c>
      <c r="I11" s="149" t="str">
        <f>A2&amp;" ("&amp;B2&amp;")"</f>
        <v>Red Hat Inc. (RHT)</v>
      </c>
      <c r="J11" s="150"/>
      <c r="K11" s="150"/>
      <c r="L11" s="151"/>
    </row>
    <row r="12" spans="1:13">
      <c r="A12" s="145" t="s">
        <v>62</v>
      </c>
      <c r="B12" s="148">
        <v>1</v>
      </c>
      <c r="C12" s="25">
        <v>0.5</v>
      </c>
      <c r="D12" s="25">
        <v>0.5</v>
      </c>
      <c r="E12" s="25">
        <v>0.5</v>
      </c>
      <c r="F12" s="25">
        <v>0.5</v>
      </c>
      <c r="G12" s="25">
        <v>0.5</v>
      </c>
      <c r="I12" s="152" t="str">
        <f ca="1">"$"&amp;ROUND(F22/G4,0)&amp;" Scenario"</f>
        <v>$18221 Scenario</v>
      </c>
      <c r="J12" s="153"/>
      <c r="K12" s="153"/>
      <c r="L12" s="154"/>
    </row>
    <row r="13" spans="1:13">
      <c r="A13" s="1" t="s">
        <v>191</v>
      </c>
      <c r="B13" s="1"/>
      <c r="C13" s="147"/>
      <c r="D13" s="147"/>
      <c r="E13" s="147"/>
      <c r="F13" s="147"/>
      <c r="G13" s="147"/>
      <c r="I13" s="72" t="s">
        <v>16</v>
      </c>
      <c r="K13" s="73"/>
      <c r="L13" s="64" t="s">
        <v>4</v>
      </c>
    </row>
    <row r="14" spans="1:13">
      <c r="A14" s="145" t="s">
        <v>10</v>
      </c>
      <c r="B14" s="146">
        <v>0</v>
      </c>
      <c r="I14" s="70" t="s">
        <v>17</v>
      </c>
      <c r="K14" s="71"/>
      <c r="L14" s="64" t="s">
        <v>3</v>
      </c>
    </row>
    <row r="15" spans="1:13">
      <c r="B15" s="2"/>
      <c r="I15" s="74" t="s">
        <v>118</v>
      </c>
      <c r="J15" s="75"/>
      <c r="K15" s="75"/>
      <c r="L15" s="65" t="s">
        <v>4</v>
      </c>
    </row>
    <row r="16" spans="1:13" ht="15.75" thickBot="1">
      <c r="A16" s="138" t="s">
        <v>97</v>
      </c>
      <c r="B16" s="138"/>
      <c r="C16" s="138"/>
      <c r="D16" s="3"/>
      <c r="E16" s="138" t="s">
        <v>98</v>
      </c>
      <c r="F16" s="138"/>
      <c r="G16" s="138"/>
      <c r="I16" s="48" t="s">
        <v>117</v>
      </c>
      <c r="K16" s="3"/>
      <c r="L16" s="56">
        <f>(F27/G3)^0.2-1</f>
        <v>0.14999999999999991</v>
      </c>
    </row>
    <row r="17" spans="1:12">
      <c r="A17" s="66" t="s">
        <v>11</v>
      </c>
      <c r="B17" s="26">
        <v>10</v>
      </c>
      <c r="C17" t="s">
        <v>12</v>
      </c>
      <c r="E17" s="71" t="s">
        <v>14</v>
      </c>
      <c r="G17" s="31">
        <v>2.5000000000000001E-2</v>
      </c>
      <c r="I17" s="70" t="s">
        <v>116</v>
      </c>
      <c r="K17" s="71"/>
      <c r="L17" s="53">
        <f>SUM(B30:F30)/SUM(B27:F27)</f>
        <v>0.155</v>
      </c>
    </row>
    <row r="18" spans="1:12">
      <c r="A18" s="140" t="s">
        <v>59</v>
      </c>
      <c r="B18" s="21" t="s">
        <v>3</v>
      </c>
      <c r="C18" s="23">
        <v>0.15</v>
      </c>
      <c r="D18" s="36">
        <f>IF(C18=B$4,C18-0.0001,C18)</f>
        <v>0.15</v>
      </c>
      <c r="E18" s="71" t="s">
        <v>15</v>
      </c>
      <c r="G18" s="31">
        <v>2.5000000000000001E-2</v>
      </c>
      <c r="I18" s="74" t="s">
        <v>119</v>
      </c>
      <c r="K18" s="27"/>
      <c r="L18" s="55">
        <f ca="1">(F22/G4)/G2-1</f>
        <v>-0.45504164452178231</v>
      </c>
    </row>
    <row r="19" spans="1:12">
      <c r="A19" s="141"/>
      <c r="B19" s="15" t="s">
        <v>4</v>
      </c>
      <c r="C19" s="24">
        <v>0.08</v>
      </c>
      <c r="D19" s="36">
        <f>IF(C19=B$4,C19-0.0001,C19)</f>
        <v>0.08</v>
      </c>
      <c r="G19" s="11"/>
      <c r="J19" s="54"/>
      <c r="K19" s="54"/>
      <c r="L19" s="54"/>
    </row>
    <row r="20" spans="1:12">
      <c r="C20" s="3"/>
      <c r="D20" s="3"/>
      <c r="E20" s="3"/>
      <c r="F20" s="3"/>
      <c r="I20" s="155" t="s">
        <v>123</v>
      </c>
      <c r="J20" s="156"/>
      <c r="K20" s="156"/>
      <c r="L20" s="157"/>
    </row>
    <row r="21" spans="1:12" ht="15.75" thickBot="1">
      <c r="A21" s="58" t="s">
        <v>7</v>
      </c>
      <c r="B21" s="63" t="s">
        <v>92</v>
      </c>
      <c r="C21" s="63" t="s">
        <v>93</v>
      </c>
      <c r="D21" s="63" t="s">
        <v>94</v>
      </c>
      <c r="E21" s="63" t="s">
        <v>95</v>
      </c>
      <c r="F21" s="63" t="s">
        <v>8</v>
      </c>
      <c r="I21" s="100"/>
      <c r="J21" s="101"/>
      <c r="K21" s="68" t="s">
        <v>120</v>
      </c>
      <c r="L21" s="69" t="s">
        <v>121</v>
      </c>
    </row>
    <row r="22" spans="1:12">
      <c r="A22" s="16" t="s">
        <v>13</v>
      </c>
      <c r="B22" s="17">
        <f ca="1">SUM(B44:F44)</f>
        <v>2729.955555940156</v>
      </c>
      <c r="C22" s="17">
        <f ca="1">B55*F44</f>
        <v>5343.4554815306401</v>
      </c>
      <c r="D22" s="17">
        <f ca="1">B52*B51</f>
        <v>10147.270934892553</v>
      </c>
      <c r="E22" s="17">
        <f>B14</f>
        <v>0</v>
      </c>
      <c r="F22" s="17">
        <f ca="1">B22+C22+D22+E22</f>
        <v>18220.681972363349</v>
      </c>
      <c r="I22" s="99" t="s">
        <v>122</v>
      </c>
      <c r="J22" s="15"/>
      <c r="K22" s="102">
        <v>0.25</v>
      </c>
      <c r="L22" s="103">
        <v>0.25600000000000001</v>
      </c>
    </row>
    <row r="23" spans="1:12">
      <c r="A23" s="16" t="s">
        <v>9</v>
      </c>
      <c r="B23" s="59">
        <f ca="1">IFERROR(B22/$F22,"")</f>
        <v>0.14982729845572634</v>
      </c>
      <c r="C23" s="59">
        <f ca="1">IFERROR(C22/$F22,"")</f>
        <v>0.29326319890964853</v>
      </c>
      <c r="D23" s="59">
        <f ca="1">IFERROR(D22/$F22,"")</f>
        <v>0.55690950263462513</v>
      </c>
      <c r="E23" s="59">
        <f ca="1">IFERROR(E22/$F22,"")</f>
        <v>0</v>
      </c>
      <c r="F23" s="59">
        <v>1</v>
      </c>
    </row>
    <row r="24" spans="1:12">
      <c r="A24" s="16"/>
      <c r="B24" s="20"/>
      <c r="C24" s="20"/>
      <c r="D24" s="20"/>
      <c r="E24" s="20"/>
      <c r="F24" s="20"/>
    </row>
    <row r="25" spans="1:12" ht="15.75" hidden="1" customHeight="1" thickBot="1">
      <c r="A25" s="58" t="s">
        <v>74</v>
      </c>
      <c r="B25" s="60">
        <v>1</v>
      </c>
      <c r="C25" s="60">
        <v>2</v>
      </c>
      <c r="D25" s="60">
        <v>3</v>
      </c>
      <c r="E25" s="60">
        <v>4</v>
      </c>
      <c r="F25" s="60">
        <v>5</v>
      </c>
      <c r="I25" t="s">
        <v>115</v>
      </c>
      <c r="K25" s="98">
        <v>0.25</v>
      </c>
      <c r="L25" s="98">
        <v>0.25</v>
      </c>
    </row>
    <row r="26" spans="1:12" s="9" customFormat="1" ht="12" hidden="1" customHeight="1">
      <c r="B26" s="32">
        <f>DATE(YEAR($B$3)+B25,MONTH($B$3),DAY($B$3))</f>
        <v>43524</v>
      </c>
      <c r="C26" s="32">
        <f t="shared" ref="C26:F26" si="0">DATE(YEAR($B$3)+C25,MONTH($B$3),DAY($B$3))</f>
        <v>43889</v>
      </c>
      <c r="D26" s="32">
        <f t="shared" si="0"/>
        <v>44255</v>
      </c>
      <c r="E26" s="32">
        <f t="shared" si="0"/>
        <v>44620</v>
      </c>
      <c r="F26" s="32">
        <f t="shared" si="0"/>
        <v>44985</v>
      </c>
      <c r="I26" s="9" t="s">
        <v>57</v>
      </c>
      <c r="L26" s="9">
        <v>26.29</v>
      </c>
    </row>
    <row r="27" spans="1:12" hidden="1">
      <c r="A27" t="s">
        <v>37</v>
      </c>
      <c r="B27" s="29">
        <f>(CHOOSE($B37,C8,C9)+1)*G3</f>
        <v>3358.5301499999996</v>
      </c>
      <c r="C27" s="29">
        <f>(CHOOSE($B37,D8,D9)+1)*B27</f>
        <v>3862.3096724999991</v>
      </c>
      <c r="D27" s="29">
        <f>(CHOOSE($B37,E8,E9)+1)*C27</f>
        <v>4441.656123374999</v>
      </c>
      <c r="E27" s="29">
        <f>(CHOOSE($B37,F8,F9)+1)*D27</f>
        <v>5107.9045418812484</v>
      </c>
      <c r="F27" s="29">
        <f>(CHOOSE($B37,G8,G9)+1)*E27</f>
        <v>5874.0902231634354</v>
      </c>
    </row>
    <row r="28" spans="1:12" hidden="1">
      <c r="A28" t="s">
        <v>71</v>
      </c>
      <c r="B28" s="57">
        <f>CHOOSE($B38,C10,C11)*B27</f>
        <v>1041.1443464999998</v>
      </c>
      <c r="C28" s="5">
        <f>CHOOSE($B38,D10,D11)*C27</f>
        <v>1197.3159984749998</v>
      </c>
      <c r="D28" s="5">
        <f>CHOOSE($B38,E10,E11)*D27</f>
        <v>1376.9133982462497</v>
      </c>
      <c r="E28" s="5">
        <f>CHOOSE($B38,F10,F11)*E27</f>
        <v>1583.450407983187</v>
      </c>
      <c r="F28" s="5">
        <f>CHOOSE($B38,G10,G11)*F27</f>
        <v>1820.967969180665</v>
      </c>
    </row>
    <row r="29" spans="1:12" hidden="1">
      <c r="A29" t="s">
        <v>72</v>
      </c>
      <c r="B29" s="57">
        <f>-C12*B28</f>
        <v>-520.57217324999988</v>
      </c>
      <c r="C29" s="57">
        <f t="shared" ref="C29:E29" si="1">-D12*C28</f>
        <v>-598.65799923749989</v>
      </c>
      <c r="D29" s="57">
        <f t="shared" si="1"/>
        <v>-688.45669912312485</v>
      </c>
      <c r="E29" s="57">
        <f t="shared" si="1"/>
        <v>-791.7252039915935</v>
      </c>
      <c r="F29" s="57">
        <f>-G12*F28</f>
        <v>-910.48398459033251</v>
      </c>
    </row>
    <row r="30" spans="1:12" ht="15.75" hidden="1" thickBot="1">
      <c r="A30" t="s">
        <v>73</v>
      </c>
      <c r="B30" s="4">
        <f>B28+B29</f>
        <v>520.57217324999988</v>
      </c>
      <c r="C30" s="4">
        <f>C28+C29</f>
        <v>598.65799923749989</v>
      </c>
      <c r="D30" s="4">
        <f>D28+D29</f>
        <v>688.45669912312485</v>
      </c>
      <c r="E30" s="4">
        <f>E28+E29</f>
        <v>791.7252039915935</v>
      </c>
      <c r="F30" s="4">
        <f>F28+F29</f>
        <v>910.48398459033251</v>
      </c>
    </row>
    <row r="31" spans="1:12" ht="15.75" hidden="1" thickTop="1">
      <c r="B31" s="61"/>
      <c r="C31" s="61"/>
      <c r="D31" s="61"/>
      <c r="E31" s="61"/>
      <c r="F31" s="61"/>
    </row>
    <row r="32" spans="1:12" hidden="1">
      <c r="B32" s="34" t="s">
        <v>20</v>
      </c>
      <c r="E32" s="34" t="s">
        <v>52</v>
      </c>
      <c r="G32" s="139" t="s">
        <v>192</v>
      </c>
    </row>
    <row r="33" spans="1:16" hidden="1">
      <c r="B33" s="28" t="s">
        <v>3</v>
      </c>
      <c r="E33" s="28" t="s">
        <v>55</v>
      </c>
      <c r="G33" s="28">
        <v>1</v>
      </c>
    </row>
    <row r="34" spans="1:16" hidden="1">
      <c r="B34" s="28" t="s">
        <v>4</v>
      </c>
      <c r="E34" s="28" t="s">
        <v>53</v>
      </c>
      <c r="G34" s="28">
        <v>0</v>
      </c>
    </row>
    <row r="35" spans="1:16" hidden="1">
      <c r="E35" s="28" t="s">
        <v>54</v>
      </c>
    </row>
    <row r="36" spans="1:16" hidden="1">
      <c r="A36" s="10" t="s">
        <v>34</v>
      </c>
    </row>
    <row r="37" spans="1:16" hidden="1">
      <c r="A37" t="s">
        <v>16</v>
      </c>
      <c r="B37">
        <f>IF(L13="Best",1,2)</f>
        <v>2</v>
      </c>
    </row>
    <row r="38" spans="1:16" hidden="1">
      <c r="A38" t="s">
        <v>19</v>
      </c>
      <c r="B38">
        <f>IF(L14="Best",1,2)</f>
        <v>1</v>
      </c>
    </row>
    <row r="39" spans="1:16" hidden="1">
      <c r="A39" t="s">
        <v>18</v>
      </c>
      <c r="B39">
        <f>IF(L15="Best",1,2)</f>
        <v>2</v>
      </c>
    </row>
    <row r="40" spans="1:16" hidden="1"/>
    <row r="41" spans="1:16" hidden="1"/>
    <row r="42" spans="1:16" hidden="1">
      <c r="A42" s="158" t="s">
        <v>35</v>
      </c>
      <c r="B42" s="158"/>
      <c r="C42" s="158"/>
      <c r="D42" s="158"/>
      <c r="E42" s="158"/>
      <c r="F42" s="158"/>
    </row>
    <row r="43" spans="1:16" hidden="1">
      <c r="A43" t="s">
        <v>21</v>
      </c>
      <c r="B43" s="19">
        <f ca="1">B26-TODAY()</f>
        <v>122</v>
      </c>
      <c r="C43" s="19">
        <f ca="1">C26-TODAY()</f>
        <v>487</v>
      </c>
      <c r="D43" s="19">
        <f ca="1">D26-TODAY()</f>
        <v>853</v>
      </c>
      <c r="E43" s="19">
        <f ca="1">E26-TODAY()</f>
        <v>1218</v>
      </c>
      <c r="F43" s="19">
        <f ca="1">F26-TODAY()</f>
        <v>1583</v>
      </c>
      <c r="P43" s="37"/>
    </row>
    <row r="44" spans="1:16" hidden="1">
      <c r="A44" t="s">
        <v>22</v>
      </c>
      <c r="B44" s="17">
        <f ca="1">B30*EXP(-$B$4*B43/365.25)</f>
        <v>503.47132551680522</v>
      </c>
      <c r="C44" s="17">
        <f ca="1">C30*EXP(-$B$4*C43/365.25)</f>
        <v>523.92950816429311</v>
      </c>
      <c r="D44" s="17">
        <f ca="1">D30*EXP(-$B$4*D43/365.25)</f>
        <v>545.06974144675974</v>
      </c>
      <c r="E44" s="17">
        <f ca="1">E30*EXP(-$B$4*E43/365.25)</f>
        <v>567.21824476954646</v>
      </c>
      <c r="F44" s="17">
        <f ca="1">F30*EXP(-$B$4*F43/365.25)</f>
        <v>590.26673604275106</v>
      </c>
      <c r="O44" s="38"/>
    </row>
    <row r="45" spans="1:16" hidden="1"/>
    <row r="46" spans="1:16" hidden="1">
      <c r="A46" s="6" t="s">
        <v>26</v>
      </c>
      <c r="B46">
        <f>MONTH(B3)</f>
        <v>2</v>
      </c>
    </row>
    <row r="47" spans="1:16" hidden="1">
      <c r="A47" s="6" t="s">
        <v>27</v>
      </c>
      <c r="B47">
        <f>DAY(B3)</f>
        <v>28</v>
      </c>
    </row>
    <row r="48" spans="1:16" hidden="1">
      <c r="A48" s="6" t="s">
        <v>23</v>
      </c>
      <c r="B48">
        <f>YEAR(F26)+B17</f>
        <v>2033</v>
      </c>
    </row>
    <row r="49" spans="1:7" hidden="1">
      <c r="A49" s="6" t="s">
        <v>28</v>
      </c>
      <c r="B49">
        <f ca="1">DATE(B48,B46,B47)-TODAY()</f>
        <v>5236</v>
      </c>
      <c r="C49" s="33"/>
    </row>
    <row r="50" spans="1:7" hidden="1">
      <c r="A50" s="6" t="s">
        <v>24</v>
      </c>
      <c r="B50" s="17">
        <f>F30*EXP(CHOOSE(B39,C18,C19)*B17)</f>
        <v>2026.3193724426903</v>
      </c>
    </row>
    <row r="51" spans="1:7" hidden="1">
      <c r="A51" s="6" t="s">
        <v>29</v>
      </c>
      <c r="B51" s="17">
        <f ca="1">B50*EXP(-B4*B49/365.25)</f>
        <v>483.20337785202628</v>
      </c>
    </row>
    <row r="52" spans="1:7" hidden="1">
      <c r="A52" s="6" t="s">
        <v>31</v>
      </c>
      <c r="B52" s="17">
        <f>(1+SUM(G17,G18))/(B4-SUM(G17,G18))</f>
        <v>21</v>
      </c>
    </row>
    <row r="53" spans="1:7" hidden="1">
      <c r="A53" s="6" t="s">
        <v>32</v>
      </c>
      <c r="B53" s="18">
        <f>(1+CHOOSE(B39,D18,D19))/(B4-(CHOOSE(B39,D18,D19)))</f>
        <v>53.999999999999993</v>
      </c>
      <c r="F53" s="37"/>
    </row>
    <row r="54" spans="1:7" hidden="1">
      <c r="A54" s="6" t="s">
        <v>33</v>
      </c>
      <c r="B54" s="37">
        <f>1-(((1+CHOOSE(B39,D18,D19))/(1+B4))^B17)</f>
        <v>0.16764095491980702</v>
      </c>
      <c r="F54" s="38"/>
    </row>
    <row r="55" spans="1:7" hidden="1">
      <c r="A55" s="6" t="s">
        <v>30</v>
      </c>
      <c r="B55" s="35">
        <f>B53*B54</f>
        <v>9.0526115656695776</v>
      </c>
    </row>
    <row r="56" spans="1:7" hidden="1"/>
    <row r="57" spans="1:7" hidden="1"/>
    <row r="58" spans="1:7" hidden="1">
      <c r="A58" s="40" t="s">
        <v>36</v>
      </c>
    </row>
    <row r="59" spans="1:7" hidden="1">
      <c r="A59" t="s">
        <v>37</v>
      </c>
      <c r="B59" s="18">
        <f>$G$3*(1+C$9)</f>
        <v>3358.5301499999996</v>
      </c>
      <c r="C59" s="18">
        <f>B59*(1+D$9)</f>
        <v>3862.3096724999991</v>
      </c>
      <c r="D59" s="18">
        <f>C59*(1+E$9)</f>
        <v>4441.656123374999</v>
      </c>
      <c r="E59" s="18">
        <f>D59*(1+F$9)</f>
        <v>5107.9045418812484</v>
      </c>
      <c r="F59" s="18">
        <f>E59*(1+G$9)</f>
        <v>5874.0902231634354</v>
      </c>
    </row>
    <row r="60" spans="1:7" hidden="1">
      <c r="A60" t="s">
        <v>38</v>
      </c>
      <c r="B60" s="18">
        <f>B59*C$11</f>
        <v>940.38844199999994</v>
      </c>
      <c r="C60" s="18">
        <f>C59*D$11</f>
        <v>1081.4467083</v>
      </c>
      <c r="D60" s="18">
        <f>D59*E$11</f>
        <v>1243.6637145449997</v>
      </c>
      <c r="E60" s="18">
        <f>E59*F$11</f>
        <v>1430.2132717267498</v>
      </c>
      <c r="F60" s="18">
        <f>F59*G$11</f>
        <v>1644.7452624857622</v>
      </c>
    </row>
    <row r="61" spans="1:7" hidden="1">
      <c r="B61" s="20">
        <f>B60/B59</f>
        <v>0.28000000000000003</v>
      </c>
      <c r="C61" s="20">
        <f>C60/C59</f>
        <v>0.28000000000000003</v>
      </c>
      <c r="D61" s="20">
        <f>D60/D59</f>
        <v>0.28000000000000003</v>
      </c>
      <c r="E61" s="20">
        <f>E60/E59</f>
        <v>0.28000000000000003</v>
      </c>
      <c r="F61" s="20">
        <f>F60/F59</f>
        <v>0.28000000000000003</v>
      </c>
    </row>
    <row r="62" spans="1:7" hidden="1">
      <c r="A62" t="s">
        <v>39</v>
      </c>
      <c r="B62" s="37">
        <f>B60-IF($B$12=1,(C$12*B60),-C$13)</f>
        <v>470.19422099999997</v>
      </c>
      <c r="C62" s="37">
        <f t="shared" ref="C62:F62" si="2">C60-IF($B$12=1,(D$12*C60),-D$13)</f>
        <v>540.72335414999998</v>
      </c>
      <c r="D62" s="37">
        <f t="shared" si="2"/>
        <v>621.83185727249986</v>
      </c>
      <c r="E62" s="37">
        <f t="shared" si="2"/>
        <v>715.10663586337489</v>
      </c>
      <c r="F62" s="37">
        <f t="shared" si="2"/>
        <v>822.37263124288108</v>
      </c>
    </row>
    <row r="63" spans="1:7" hidden="1">
      <c r="A63" t="s">
        <v>42</v>
      </c>
      <c r="B63" s="18">
        <f ca="1">B62*EXP(-$B$4*B$43/365.25)</f>
        <v>454.748294015179</v>
      </c>
      <c r="C63" s="18">
        <f ca="1">C62*EXP(-$B$4*C$43/365.25)</f>
        <v>473.22665253549059</v>
      </c>
      <c r="D63" s="18">
        <f ca="1">D62*EXP(-$B$4*D$43/365.25)</f>
        <v>492.3210567906217</v>
      </c>
      <c r="E63" s="18">
        <f ca="1">E62*EXP(-$B$4*E$43/365.25)</f>
        <v>512.32615656604207</v>
      </c>
      <c r="F63" s="18">
        <f ca="1">F62*EXP(-$B$4*F$43/365.25)</f>
        <v>533.14414868377514</v>
      </c>
      <c r="G63" s="18">
        <f ca="1">SUM(B63:F63)</f>
        <v>2465.7663085911086</v>
      </c>
    </row>
    <row r="64" spans="1:7" hidden="1">
      <c r="A64" t="s">
        <v>41</v>
      </c>
      <c r="F64" s="37">
        <f>((1+$D$19)/($B$4-$D$19)*(1-(((1+$D$19)/(1+$B$4))^$B$17)))</f>
        <v>9.0526115656695776</v>
      </c>
      <c r="G64" s="18">
        <f ca="1">F64*F63</f>
        <v>4826.3468865438035</v>
      </c>
    </row>
    <row r="65" spans="1:7" hidden="1">
      <c r="A65" t="s">
        <v>40</v>
      </c>
      <c r="B65" s="37"/>
      <c r="F65" s="18">
        <f>F62*EXP($C$19*$B$17)</f>
        <v>1830.2239493030754</v>
      </c>
    </row>
    <row r="66" spans="1:7" hidden="1">
      <c r="A66" t="s">
        <v>43</v>
      </c>
      <c r="F66" s="18">
        <f ca="1">F65*EXP(-$B$4*B$49/365.25)</f>
        <v>436.44176064053994</v>
      </c>
      <c r="G66" s="41">
        <f ca="1">F66*B$52</f>
        <v>9165.2769734513386</v>
      </c>
    </row>
    <row r="67" spans="1:7" hidden="1">
      <c r="A67" t="s">
        <v>44</v>
      </c>
      <c r="G67" s="18">
        <f ca="1">SUM(G63:G64,G66)</f>
        <v>16457.390168586251</v>
      </c>
    </row>
    <row r="68" spans="1:7" hidden="1">
      <c r="A68" t="s">
        <v>25</v>
      </c>
      <c r="G68" s="42">
        <f ca="1">G67/$G$4</f>
        <v>16457.390168586251</v>
      </c>
    </row>
    <row r="69" spans="1:7" hidden="1">
      <c r="G69" s="37"/>
    </row>
    <row r="70" spans="1:7" hidden="1">
      <c r="A70" s="40" t="s">
        <v>45</v>
      </c>
    </row>
    <row r="71" spans="1:7" hidden="1">
      <c r="A71" t="s">
        <v>37</v>
      </c>
      <c r="B71" s="18">
        <f>$G$3*(1+C$9)</f>
        <v>3358.5301499999996</v>
      </c>
      <c r="C71" s="18">
        <f>B71*(1+D$9)</f>
        <v>3862.3096724999991</v>
      </c>
      <c r="D71" s="18">
        <f>C71*(1+E$9)</f>
        <v>4441.656123374999</v>
      </c>
      <c r="E71" s="18">
        <f>D71*(1+F$9)</f>
        <v>5107.9045418812484</v>
      </c>
      <c r="F71" s="18">
        <f>E71*(1+G$9)</f>
        <v>5874.0902231634354</v>
      </c>
    </row>
    <row r="72" spans="1:7" hidden="1">
      <c r="A72" t="s">
        <v>38</v>
      </c>
      <c r="B72" s="18">
        <f>B71*C$11</f>
        <v>940.38844199999994</v>
      </c>
      <c r="C72" s="18">
        <f>C71*D$11</f>
        <v>1081.4467083</v>
      </c>
      <c r="D72" s="18">
        <f>D71*E$11</f>
        <v>1243.6637145449997</v>
      </c>
      <c r="E72" s="18">
        <f>E71*F$11</f>
        <v>1430.2132717267498</v>
      </c>
      <c r="F72" s="18">
        <f>F71*G$11</f>
        <v>1644.7452624857622</v>
      </c>
    </row>
    <row r="73" spans="1:7" hidden="1">
      <c r="A73" t="s">
        <v>39</v>
      </c>
      <c r="B73" s="37">
        <f>B72-IF($B$12=1,(C$12*B72),-C$13)</f>
        <v>470.19422099999997</v>
      </c>
      <c r="C73" s="37">
        <f t="shared" ref="C73:F73" si="3">C72-IF($B$12=1,(D$12*C72),-D$13)</f>
        <v>540.72335414999998</v>
      </c>
      <c r="D73" s="37">
        <f t="shared" si="3"/>
        <v>621.83185727249986</v>
      </c>
      <c r="E73" s="37">
        <f t="shared" si="3"/>
        <v>715.10663586337489</v>
      </c>
      <c r="F73" s="37">
        <f t="shared" si="3"/>
        <v>822.37263124288108</v>
      </c>
    </row>
    <row r="74" spans="1:7" hidden="1">
      <c r="A74" t="s">
        <v>42</v>
      </c>
      <c r="B74" s="18">
        <f ca="1">B73*EXP(-$B$4*B$43/365.25)</f>
        <v>454.748294015179</v>
      </c>
      <c r="C74" s="18">
        <f ca="1">C73*EXP(-$B$4*C$43/365.25)</f>
        <v>473.22665253549059</v>
      </c>
      <c r="D74" s="18">
        <f ca="1">D73*EXP(-$B$4*D$43/365.25)</f>
        <v>492.3210567906217</v>
      </c>
      <c r="E74" s="18">
        <f ca="1">E73*EXP(-$B$4*E$43/365.25)</f>
        <v>512.32615656604207</v>
      </c>
      <c r="F74" s="18">
        <f ca="1">F73*EXP(-$B$4*F$43/365.25)</f>
        <v>533.14414868377514</v>
      </c>
      <c r="G74" s="18">
        <f ca="1">SUM(B74:F74)</f>
        <v>2465.7663085911086</v>
      </c>
    </row>
    <row r="75" spans="1:7" hidden="1">
      <c r="A75" t="s">
        <v>41</v>
      </c>
      <c r="F75" s="37">
        <f>((1+$D$18)/($B$4-$D$18)*(1-(((1+$D$18)/(1+$B$4))^$B$17)))</f>
        <v>12.873965651043969</v>
      </c>
      <c r="G75" s="18">
        <f ca="1">F75*F74</f>
        <v>6863.6794572099998</v>
      </c>
    </row>
    <row r="76" spans="1:7" hidden="1">
      <c r="A76" t="s">
        <v>40</v>
      </c>
      <c r="B76" s="37"/>
      <c r="F76" s="18">
        <f>F73*EXP($C$18*$B$17)</f>
        <v>3685.6184331863756</v>
      </c>
    </row>
    <row r="77" spans="1:7" hidden="1">
      <c r="A77" t="s">
        <v>43</v>
      </c>
      <c r="F77" s="18">
        <f ca="1">F76*EXP(-$B$4*B$49/365.25)</f>
        <v>878.88577714306882</v>
      </c>
      <c r="G77" s="41">
        <f ca="1">F77*B$52</f>
        <v>18456.601320004444</v>
      </c>
    </row>
    <row r="78" spans="1:7" hidden="1">
      <c r="A78" t="s">
        <v>44</v>
      </c>
      <c r="G78" s="18">
        <f ca="1">SUM(G74:G75,G77)</f>
        <v>27786.047085805552</v>
      </c>
    </row>
    <row r="79" spans="1:7" hidden="1">
      <c r="A79" t="s">
        <v>25</v>
      </c>
      <c r="G79" s="42">
        <f ca="1">G78/$G$4</f>
        <v>27786.047085805552</v>
      </c>
    </row>
    <row r="80" spans="1:7" hidden="1"/>
    <row r="81" spans="1:7" hidden="1">
      <c r="A81" s="40" t="s">
        <v>46</v>
      </c>
    </row>
    <row r="82" spans="1:7" hidden="1">
      <c r="A82" t="s">
        <v>37</v>
      </c>
      <c r="B82" s="18">
        <f>$G$3*(1+C$9)</f>
        <v>3358.5301499999996</v>
      </c>
      <c r="C82" s="18">
        <f>B82*(1+D$9)</f>
        <v>3862.3096724999991</v>
      </c>
      <c r="D82" s="18">
        <f>C82*(1+E$9)</f>
        <v>4441.656123374999</v>
      </c>
      <c r="E82" s="18">
        <f>D82*(1+F$9)</f>
        <v>5107.9045418812484</v>
      </c>
      <c r="F82" s="18">
        <f>E82*(1+G$9)</f>
        <v>5874.0902231634354</v>
      </c>
    </row>
    <row r="83" spans="1:7" hidden="1">
      <c r="A83" t="s">
        <v>38</v>
      </c>
      <c r="B83" s="18">
        <f>B82*C$10</f>
        <v>1041.1443464999998</v>
      </c>
      <c r="C83" s="18">
        <f>C82*D$10</f>
        <v>1197.3159984749998</v>
      </c>
      <c r="D83" s="18">
        <f>D82*E$10</f>
        <v>1376.9133982462497</v>
      </c>
      <c r="E83" s="18">
        <f>E82*F$10</f>
        <v>1583.450407983187</v>
      </c>
      <c r="F83" s="18">
        <f>F82*G$10</f>
        <v>1820.967969180665</v>
      </c>
    </row>
    <row r="84" spans="1:7" hidden="1">
      <c r="A84" t="s">
        <v>39</v>
      </c>
      <c r="B84" s="37">
        <f>B83-IF($B$12=1,(C$12*B83),-C$13)</f>
        <v>520.57217324999988</v>
      </c>
      <c r="C84" s="37">
        <f t="shared" ref="C84" si="4">C83-IF($B$12=1,(D$12*C83),-D$13)</f>
        <v>598.65799923749989</v>
      </c>
      <c r="D84" s="37">
        <f t="shared" ref="D84" si="5">D83-IF($B$12=1,(E$12*D83),-E$13)</f>
        <v>688.45669912312485</v>
      </c>
      <c r="E84" s="37">
        <f t="shared" ref="E84" si="6">E83-IF($B$12=1,(F$12*E83),-F$13)</f>
        <v>791.7252039915935</v>
      </c>
      <c r="F84" s="37">
        <f t="shared" ref="F84" si="7">F83-IF($B$12=1,(G$12*F83),-G$13)</f>
        <v>910.48398459033251</v>
      </c>
    </row>
    <row r="85" spans="1:7" hidden="1">
      <c r="A85" t="s">
        <v>42</v>
      </c>
      <c r="B85" s="18">
        <f ca="1">B84*EXP(-$B$4*B$43/365.25)</f>
        <v>503.47132551680522</v>
      </c>
      <c r="C85" s="18">
        <f ca="1">C84*EXP(-$B$4*C$43/365.25)</f>
        <v>523.92950816429311</v>
      </c>
      <c r="D85" s="18">
        <f ca="1">D84*EXP(-$B$4*D$43/365.25)</f>
        <v>545.06974144675974</v>
      </c>
      <c r="E85" s="18">
        <f ca="1">E84*EXP(-$B$4*E$43/365.25)</f>
        <v>567.21824476954646</v>
      </c>
      <c r="F85" s="18">
        <f ca="1">F84*EXP(-$B$4*F$43/365.25)</f>
        <v>590.26673604275106</v>
      </c>
      <c r="G85" s="18">
        <f ca="1">SUM(B85:F85)</f>
        <v>2729.955555940156</v>
      </c>
    </row>
    <row r="86" spans="1:7" hidden="1">
      <c r="A86" t="s">
        <v>41</v>
      </c>
      <c r="F86" s="37">
        <f>((1+$D$19)/($B$4-$D$19)*(1-(((1+$D$19)/(1+$B$4))^$B$17)))</f>
        <v>9.0526115656695776</v>
      </c>
      <c r="G86" s="18">
        <f ca="1">F86*F85</f>
        <v>5343.4554815306401</v>
      </c>
    </row>
    <row r="87" spans="1:7" hidden="1">
      <c r="A87" t="s">
        <v>40</v>
      </c>
      <c r="B87" s="37"/>
      <c r="F87" s="18">
        <f>F84*EXP($C$19*$B$17)</f>
        <v>2026.3193724426903</v>
      </c>
    </row>
    <row r="88" spans="1:7" hidden="1">
      <c r="A88" t="s">
        <v>43</v>
      </c>
      <c r="F88" s="18">
        <f ca="1">F87*EXP(-$B$4*B$49/365.25)</f>
        <v>483.20337785202628</v>
      </c>
      <c r="G88" s="41">
        <f ca="1">F88*B$52</f>
        <v>10147.270934892553</v>
      </c>
    </row>
    <row r="89" spans="1:7" hidden="1">
      <c r="A89" t="s">
        <v>44</v>
      </c>
      <c r="G89" s="18">
        <f ca="1">SUM(G85:G86,G88)</f>
        <v>18220.681972363349</v>
      </c>
    </row>
    <row r="90" spans="1:7" hidden="1">
      <c r="A90" t="s">
        <v>25</v>
      </c>
      <c r="G90" s="42">
        <f ca="1">G89/$G$4</f>
        <v>18220.681972363349</v>
      </c>
    </row>
    <row r="91" spans="1:7" hidden="1"/>
    <row r="92" spans="1:7" hidden="1">
      <c r="A92" s="40" t="s">
        <v>47</v>
      </c>
    </row>
    <row r="93" spans="1:7" hidden="1">
      <c r="A93" t="s">
        <v>37</v>
      </c>
      <c r="B93" s="18">
        <f>$G$3*(1+C$9)</f>
        <v>3358.5301499999996</v>
      </c>
      <c r="C93" s="18">
        <f>B93*(1+D$9)</f>
        <v>3862.3096724999991</v>
      </c>
      <c r="D93" s="18">
        <f>C93*(1+E$9)</f>
        <v>4441.656123374999</v>
      </c>
      <c r="E93" s="18">
        <f>D93*(1+F$9)</f>
        <v>5107.9045418812484</v>
      </c>
      <c r="F93" s="18">
        <f>E93*(1+G$9)</f>
        <v>5874.0902231634354</v>
      </c>
    </row>
    <row r="94" spans="1:7" hidden="1">
      <c r="A94" t="s">
        <v>38</v>
      </c>
      <c r="B94" s="18">
        <f>B93*C$10</f>
        <v>1041.1443464999998</v>
      </c>
      <c r="C94" s="18">
        <f>C93*D$10</f>
        <v>1197.3159984749998</v>
      </c>
      <c r="D94" s="18">
        <f>D93*E$10</f>
        <v>1376.9133982462497</v>
      </c>
      <c r="E94" s="18">
        <f>E93*F$10</f>
        <v>1583.450407983187</v>
      </c>
      <c r="F94" s="18">
        <f>F93*G$10</f>
        <v>1820.967969180665</v>
      </c>
    </row>
    <row r="95" spans="1:7" hidden="1">
      <c r="A95" t="s">
        <v>39</v>
      </c>
      <c r="B95" s="37">
        <f>B94-IF($B$12=1,(C$12*B94),-C$13)</f>
        <v>520.57217324999988</v>
      </c>
      <c r="C95" s="37">
        <f t="shared" ref="C95" si="8">C94-IF($B$12=1,(D$12*C94),-D$13)</f>
        <v>598.65799923749989</v>
      </c>
      <c r="D95" s="37">
        <f t="shared" ref="D95" si="9">D94-IF($B$12=1,(E$12*D94),-E$13)</f>
        <v>688.45669912312485</v>
      </c>
      <c r="E95" s="37">
        <f t="shared" ref="E95" si="10">E94-IF($B$12=1,(F$12*E94),-F$13)</f>
        <v>791.7252039915935</v>
      </c>
      <c r="F95" s="37">
        <f t="shared" ref="F95" si="11">F94-IF($B$12=1,(G$12*F94),-G$13)</f>
        <v>910.48398459033251</v>
      </c>
    </row>
    <row r="96" spans="1:7" hidden="1">
      <c r="A96" t="s">
        <v>42</v>
      </c>
      <c r="B96" s="18">
        <f ca="1">B95*EXP(-$B$4*B$43/365.25)</f>
        <v>503.47132551680522</v>
      </c>
      <c r="C96" s="18">
        <f ca="1">C95*EXP(-$B$4*C$43/365.25)</f>
        <v>523.92950816429311</v>
      </c>
      <c r="D96" s="18">
        <f ca="1">D95*EXP(-$B$4*D$43/365.25)</f>
        <v>545.06974144675974</v>
      </c>
      <c r="E96" s="18">
        <f ca="1">E95*EXP(-$B$4*E$43/365.25)</f>
        <v>567.21824476954646</v>
      </c>
      <c r="F96" s="18">
        <f ca="1">F95*EXP(-$B$4*F$43/365.25)</f>
        <v>590.26673604275106</v>
      </c>
      <c r="G96" s="18">
        <f ca="1">SUM(B96:F96)</f>
        <v>2729.955555940156</v>
      </c>
    </row>
    <row r="97" spans="1:7" hidden="1">
      <c r="A97" t="s">
        <v>41</v>
      </c>
      <c r="F97" s="37">
        <f>((1+$D$18)/($B$4-$D$18)*(1-(((1+$D$18)/(1+$B$4))^$B$17)))</f>
        <v>12.873965651043969</v>
      </c>
      <c r="G97" s="18">
        <f ca="1">F97*F96</f>
        <v>7599.0736847682147</v>
      </c>
    </row>
    <row r="98" spans="1:7" hidden="1">
      <c r="A98" t="s">
        <v>40</v>
      </c>
      <c r="B98" s="37"/>
      <c r="F98" s="18">
        <f>F95*EXP($C$18*$B$17)</f>
        <v>4080.5061224563437</v>
      </c>
    </row>
    <row r="99" spans="1:7" hidden="1">
      <c r="A99" t="s">
        <v>43</v>
      </c>
      <c r="F99" s="18">
        <f ca="1">F98*EXP(-$B$4*B$49/365.25)</f>
        <v>973.05211040839743</v>
      </c>
      <c r="G99" s="41">
        <f ca="1">F99*B$52</f>
        <v>20434.094318576346</v>
      </c>
    </row>
    <row r="100" spans="1:7" hidden="1">
      <c r="A100" t="s">
        <v>44</v>
      </c>
      <c r="G100" s="18">
        <f ca="1">SUM(G96:G97,G99)</f>
        <v>30763.123559284715</v>
      </c>
    </row>
    <row r="101" spans="1:7" hidden="1">
      <c r="A101" t="s">
        <v>25</v>
      </c>
      <c r="G101" s="42">
        <f ca="1">G100/$G$4</f>
        <v>30763.123559284715</v>
      </c>
    </row>
    <row r="102" spans="1:7" hidden="1"/>
    <row r="103" spans="1:7" hidden="1">
      <c r="A103" s="40" t="s">
        <v>48</v>
      </c>
    </row>
    <row r="104" spans="1:7" hidden="1">
      <c r="A104" t="s">
        <v>37</v>
      </c>
      <c r="B104" s="18">
        <f>$G$3*(1+C$8)</f>
        <v>3504.5531999999998</v>
      </c>
      <c r="C104" s="18">
        <f>B104*(1+D$8)</f>
        <v>4205.4638399999994</v>
      </c>
      <c r="D104" s="18">
        <f>C104*(1+E$8)</f>
        <v>5046.556607999999</v>
      </c>
      <c r="E104" s="18">
        <f>D104*(1+F$8)</f>
        <v>6055.8679295999982</v>
      </c>
      <c r="F104" s="18">
        <f>E104*(1+G$8)</f>
        <v>7267.041515519998</v>
      </c>
    </row>
    <row r="105" spans="1:7" hidden="1">
      <c r="A105" t="s">
        <v>38</v>
      </c>
      <c r="B105" s="18">
        <f>B104*C$11</f>
        <v>981.27489600000001</v>
      </c>
      <c r="C105" s="18">
        <f>C104*D$11</f>
        <v>1177.5298751999999</v>
      </c>
      <c r="D105" s="18">
        <f>D104*E$11</f>
        <v>1413.0358502399999</v>
      </c>
      <c r="E105" s="18">
        <f>E104*F$11</f>
        <v>1695.6430202879997</v>
      </c>
      <c r="F105" s="18">
        <f>F104*G$11</f>
        <v>2034.7716243455995</v>
      </c>
    </row>
    <row r="106" spans="1:7" hidden="1">
      <c r="A106" t="s">
        <v>39</v>
      </c>
      <c r="B106" s="37">
        <f>B105-IF($B$12=1,(C$12*B105),-C$13)</f>
        <v>490.63744800000001</v>
      </c>
      <c r="C106" s="37">
        <f t="shared" ref="C106" si="12">C105-IF($B$12=1,(D$12*C105),-D$13)</f>
        <v>588.76493759999994</v>
      </c>
      <c r="D106" s="37">
        <f t="shared" ref="D106" si="13">D105-IF($B$12=1,(E$12*D105),-E$13)</f>
        <v>706.51792511999997</v>
      </c>
      <c r="E106" s="37">
        <f t="shared" ref="E106" si="14">E105-IF($B$12=1,(F$12*E105),-F$13)</f>
        <v>847.82151014399983</v>
      </c>
      <c r="F106" s="37">
        <f t="shared" ref="F106" si="15">F105-IF($B$12=1,(G$12*F105),-G$13)</f>
        <v>1017.3858121727998</v>
      </c>
    </row>
    <row r="107" spans="1:7" hidden="1">
      <c r="A107" t="s">
        <v>42</v>
      </c>
      <c r="B107" s="18">
        <f ca="1">B106*EXP(-$B$4*B$43/365.25)</f>
        <v>474.51995897236071</v>
      </c>
      <c r="C107" s="18">
        <f ca="1">C106*EXP(-$B$4*C$43/365.25)</f>
        <v>515.2713645755058</v>
      </c>
      <c r="D107" s="18">
        <f ca="1">D106*EXP(-$B$4*D$43/365.25)</f>
        <v>559.36930131285908</v>
      </c>
      <c r="E107" s="18">
        <f ca="1">E106*EXP(-$B$4*E$43/365.25)</f>
        <v>607.40750254914451</v>
      </c>
      <c r="F107" s="18">
        <f ca="1">F106*EXP(-$B$4*F$43/365.25)</f>
        <v>659.57118720506298</v>
      </c>
      <c r="G107" s="18">
        <f ca="1">SUM(B107:F107)</f>
        <v>2816.139314614933</v>
      </c>
    </row>
    <row r="108" spans="1:7" hidden="1">
      <c r="A108" t="s">
        <v>41</v>
      </c>
      <c r="F108" s="37">
        <f>((1+$D$19)/($B$4-$D$19)*(1-(((1+$D$19)/(1+$B$4))^$B$17)))</f>
        <v>9.0526115656695776</v>
      </c>
      <c r="G108" s="18">
        <f ca="1">F108*F107</f>
        <v>5970.8417576749671</v>
      </c>
    </row>
    <row r="109" spans="1:7" hidden="1">
      <c r="A109" t="s">
        <v>40</v>
      </c>
      <c r="B109" s="37"/>
      <c r="F109" s="18">
        <f>F106*EXP($C$19*$B$17)</f>
        <v>2264.2337650581162</v>
      </c>
    </row>
    <row r="110" spans="1:7" hidden="1">
      <c r="A110" t="s">
        <v>43</v>
      </c>
      <c r="F110" s="18">
        <f ca="1">F109*EXP(-$B$4*B$49/365.25)</f>
        <v>539.9372963620209</v>
      </c>
      <c r="G110" s="41">
        <f ca="1">F110*B$52</f>
        <v>11338.683223602438</v>
      </c>
    </row>
    <row r="111" spans="1:7" hidden="1">
      <c r="A111" t="s">
        <v>44</v>
      </c>
      <c r="G111" s="18">
        <f ca="1">SUM(G107:G108,G110)</f>
        <v>20125.66429589234</v>
      </c>
    </row>
    <row r="112" spans="1:7" hidden="1">
      <c r="A112" t="s">
        <v>25</v>
      </c>
      <c r="G112" s="42">
        <f ca="1">G111/$G$4</f>
        <v>20125.66429589234</v>
      </c>
    </row>
    <row r="113" spans="1:7" hidden="1"/>
    <row r="114" spans="1:7" hidden="1">
      <c r="A114" s="40" t="s">
        <v>49</v>
      </c>
    </row>
    <row r="115" spans="1:7" hidden="1">
      <c r="A115" t="s">
        <v>37</v>
      </c>
      <c r="B115" s="18">
        <f>$G$3*(1+C$8)</f>
        <v>3504.5531999999998</v>
      </c>
      <c r="C115" s="18">
        <f>B115*(1+D$8)</f>
        <v>4205.4638399999994</v>
      </c>
      <c r="D115" s="18">
        <f>C115*(1+E$8)</f>
        <v>5046.556607999999</v>
      </c>
      <c r="E115" s="18">
        <f>D115*(1+F$8)</f>
        <v>6055.8679295999982</v>
      </c>
      <c r="F115" s="18">
        <f>E115*(1+G$8)</f>
        <v>7267.041515519998</v>
      </c>
    </row>
    <row r="116" spans="1:7" hidden="1">
      <c r="A116" t="s">
        <v>38</v>
      </c>
      <c r="B116" s="18">
        <f>B115*C$11</f>
        <v>981.27489600000001</v>
      </c>
      <c r="C116" s="18">
        <f>C115*D$11</f>
        <v>1177.5298751999999</v>
      </c>
      <c r="D116" s="18">
        <f>D115*E$11</f>
        <v>1413.0358502399999</v>
      </c>
      <c r="E116" s="18">
        <f>E115*F$11</f>
        <v>1695.6430202879997</v>
      </c>
      <c r="F116" s="18">
        <f>F115*G$11</f>
        <v>2034.7716243455995</v>
      </c>
    </row>
    <row r="117" spans="1:7" hidden="1">
      <c r="A117" t="s">
        <v>39</v>
      </c>
      <c r="B117" s="37">
        <f>B116-IF($B$12=1,(C$12*B116),-C$13)</f>
        <v>490.63744800000001</v>
      </c>
      <c r="C117" s="37">
        <f t="shared" ref="C117" si="16">C116-IF($B$12=1,(D$12*C116),-D$13)</f>
        <v>588.76493759999994</v>
      </c>
      <c r="D117" s="37">
        <f t="shared" ref="D117" si="17">D116-IF($B$12=1,(E$12*D116),-E$13)</f>
        <v>706.51792511999997</v>
      </c>
      <c r="E117" s="37">
        <f t="shared" ref="E117" si="18">E116-IF($B$12=1,(F$12*E116),-F$13)</f>
        <v>847.82151014399983</v>
      </c>
      <c r="F117" s="37">
        <f t="shared" ref="F117" si="19">F116-IF($B$12=1,(G$12*F116),-G$13)</f>
        <v>1017.3858121727998</v>
      </c>
    </row>
    <row r="118" spans="1:7" hidden="1">
      <c r="A118" t="s">
        <v>42</v>
      </c>
      <c r="B118" s="18">
        <f ca="1">B117*EXP(-$B$4*B$43/365.25)</f>
        <v>474.51995897236071</v>
      </c>
      <c r="C118" s="18">
        <f ca="1">C117*EXP(-$B$4*C$43/365.25)</f>
        <v>515.2713645755058</v>
      </c>
      <c r="D118" s="18">
        <f ca="1">D117*EXP(-$B$4*D$43/365.25)</f>
        <v>559.36930131285908</v>
      </c>
      <c r="E118" s="18">
        <f ca="1">E117*EXP(-$B$4*E$43/365.25)</f>
        <v>607.40750254914451</v>
      </c>
      <c r="F118" s="18">
        <f ca="1">F117*EXP(-$B$4*F$43/365.25)</f>
        <v>659.57118720506298</v>
      </c>
      <c r="G118" s="18">
        <f ca="1">SUM(B118:F118)</f>
        <v>2816.139314614933</v>
      </c>
    </row>
    <row r="119" spans="1:7" hidden="1">
      <c r="A119" t="s">
        <v>41</v>
      </c>
      <c r="F119" s="37">
        <f>((1+$D$18)/($B$4-$D$18)*(1-(((1+$D$18)/(1+$B$4))^$B$17)))</f>
        <v>12.873965651043969</v>
      </c>
      <c r="G119" s="18">
        <f ca="1">F119*F118</f>
        <v>8491.2968084962722</v>
      </c>
    </row>
    <row r="120" spans="1:7" hidden="1">
      <c r="A120" t="s">
        <v>40</v>
      </c>
      <c r="B120" s="37"/>
      <c r="F120" s="18">
        <f>F117*EXP($C$18*$B$17)</f>
        <v>4559.6068747318513</v>
      </c>
    </row>
    <row r="121" spans="1:7" hidden="1">
      <c r="A121" t="s">
        <v>43</v>
      </c>
      <c r="F121" s="18">
        <f ca="1">F120*EXP(-$B$4*B$49/365.25)</f>
        <v>1087.3001924133084</v>
      </c>
      <c r="G121" s="41">
        <f ca="1">F121*B$52</f>
        <v>22833.304040679475</v>
      </c>
    </row>
    <row r="122" spans="1:7" hidden="1">
      <c r="A122" t="s">
        <v>44</v>
      </c>
      <c r="G122" s="18">
        <f ca="1">SUM(G118:G119,G121)</f>
        <v>34140.740163790681</v>
      </c>
    </row>
    <row r="123" spans="1:7" hidden="1">
      <c r="A123" t="s">
        <v>25</v>
      </c>
      <c r="G123" s="42">
        <f ca="1">G122/$G$4</f>
        <v>34140.740163790681</v>
      </c>
    </row>
    <row r="124" spans="1:7" hidden="1"/>
    <row r="125" spans="1:7" hidden="1">
      <c r="A125" s="40" t="s">
        <v>50</v>
      </c>
    </row>
    <row r="126" spans="1:7" hidden="1">
      <c r="A126" t="s">
        <v>37</v>
      </c>
      <c r="B126" s="18">
        <f>$G$3*(1+C$8)</f>
        <v>3504.5531999999998</v>
      </c>
      <c r="C126" s="18">
        <f>B126*(1+D$8)</f>
        <v>4205.4638399999994</v>
      </c>
      <c r="D126" s="18">
        <f>C126*(1+E$8)</f>
        <v>5046.556607999999</v>
      </c>
      <c r="E126" s="18">
        <f>D126*(1+F$8)</f>
        <v>6055.8679295999982</v>
      </c>
      <c r="F126" s="18">
        <f>E126*(1+G$8)</f>
        <v>7267.041515519998</v>
      </c>
    </row>
    <row r="127" spans="1:7" hidden="1">
      <c r="A127" t="s">
        <v>38</v>
      </c>
      <c r="B127" s="18">
        <f>B126*C$10</f>
        <v>1086.411492</v>
      </c>
      <c r="C127" s="18">
        <f>C126*D$10</f>
        <v>1303.6937903999999</v>
      </c>
      <c r="D127" s="18">
        <f>D126*E$10</f>
        <v>1564.4325484799997</v>
      </c>
      <c r="E127" s="18">
        <f>E126*F$10</f>
        <v>1877.3190581759995</v>
      </c>
      <c r="F127" s="18">
        <f>F126*G$10</f>
        <v>2252.7828698111994</v>
      </c>
    </row>
    <row r="128" spans="1:7" hidden="1">
      <c r="A128" t="s">
        <v>39</v>
      </c>
      <c r="B128" s="37">
        <f>B127-IF($B$12=1,(C$12*B127),-C$13)</f>
        <v>543.20574599999998</v>
      </c>
      <c r="C128" s="37">
        <f t="shared" ref="C128" si="20">C127-IF($B$12=1,(D$12*C127),-D$13)</f>
        <v>651.84689519999995</v>
      </c>
      <c r="D128" s="37">
        <f t="shared" ref="D128" si="21">D127-IF($B$12=1,(E$12*D127),-E$13)</f>
        <v>782.21627423999985</v>
      </c>
      <c r="E128" s="37">
        <f t="shared" ref="E128" si="22">E127-IF($B$12=1,(F$12*E127),-F$13)</f>
        <v>938.65952908799977</v>
      </c>
      <c r="F128" s="37">
        <f t="shared" ref="F128" si="23">F127-IF($B$12=1,(G$12*F127),-G$13)</f>
        <v>1126.3914349055997</v>
      </c>
    </row>
    <row r="129" spans="1:11" hidden="1">
      <c r="A129" t="s">
        <v>42</v>
      </c>
      <c r="B129" s="18">
        <f ca="1">B128*EXP(-$B$4*B$43/365.25)</f>
        <v>525.36138314797074</v>
      </c>
      <c r="C129" s="18">
        <f ca="1">C128*EXP(-$B$4*C$43/365.25)</f>
        <v>570.47901078002428</v>
      </c>
      <c r="D129" s="18">
        <f ca="1">D128*EXP(-$B$4*D$43/365.25)</f>
        <v>619.30172645352241</v>
      </c>
      <c r="E129" s="18">
        <f ca="1">E128*EXP(-$B$4*E$43/365.25)</f>
        <v>672.48687782226716</v>
      </c>
      <c r="F129" s="18">
        <f ca="1">F128*EXP(-$B$4*F$43/365.25)</f>
        <v>730.23952869131972</v>
      </c>
      <c r="G129" s="18">
        <f ca="1">SUM(B129:F129)</f>
        <v>3117.8685268951044</v>
      </c>
    </row>
    <row r="130" spans="1:11" hidden="1">
      <c r="A130" t="s">
        <v>41</v>
      </c>
      <c r="F130" s="37">
        <f>((1+$D$19)/($B$4-$D$19)*(1-(((1+$D$19)/(1+$B$4))^$B$17)))</f>
        <v>9.0526115656695776</v>
      </c>
      <c r="G130" s="18">
        <f ca="1">F130*F129</f>
        <v>6610.5748031401426</v>
      </c>
    </row>
    <row r="131" spans="1:11" hidden="1">
      <c r="A131" t="s">
        <v>40</v>
      </c>
      <c r="B131" s="37"/>
      <c r="F131" s="18">
        <f>F128*EXP($C$19*$B$17)</f>
        <v>2506.8302398857713</v>
      </c>
    </row>
    <row r="132" spans="1:11" hidden="1">
      <c r="A132" t="s">
        <v>43</v>
      </c>
      <c r="F132" s="18">
        <f ca="1">F131*EXP(-$B$4*B$49/365.25)</f>
        <v>597.78772097223737</v>
      </c>
      <c r="G132" s="41">
        <f ca="1">F132*B$52</f>
        <v>12553.542140416985</v>
      </c>
    </row>
    <row r="133" spans="1:11" hidden="1">
      <c r="A133" t="s">
        <v>44</v>
      </c>
      <c r="G133" s="18">
        <f ca="1">SUM(G129:G130,G132)</f>
        <v>22281.985470452229</v>
      </c>
    </row>
    <row r="134" spans="1:11" hidden="1">
      <c r="A134" t="s">
        <v>25</v>
      </c>
      <c r="G134" s="42">
        <f ca="1">G133/$G$4</f>
        <v>22281.985470452229</v>
      </c>
    </row>
    <row r="135" spans="1:11" hidden="1"/>
    <row r="136" spans="1:11" hidden="1">
      <c r="A136" s="40" t="s">
        <v>49</v>
      </c>
    </row>
    <row r="137" spans="1:11" hidden="1">
      <c r="A137" t="s">
        <v>37</v>
      </c>
      <c r="B137" s="18">
        <f>$G$3*(1+C$8)</f>
        <v>3504.5531999999998</v>
      </c>
      <c r="C137" s="18">
        <f>B137*(1+D$8)</f>
        <v>4205.4638399999994</v>
      </c>
      <c r="D137" s="18">
        <f>C137*(1+E$8)</f>
        <v>5046.556607999999</v>
      </c>
      <c r="E137" s="18">
        <f>D137*(1+F$8)</f>
        <v>6055.8679295999982</v>
      </c>
      <c r="F137" s="18">
        <f>E137*(1+G$8)</f>
        <v>7267.041515519998</v>
      </c>
    </row>
    <row r="138" spans="1:11" hidden="1">
      <c r="A138" t="s">
        <v>38</v>
      </c>
      <c r="B138" s="18">
        <f>B137*C$10</f>
        <v>1086.411492</v>
      </c>
      <c r="C138" s="18">
        <f>C137*D$10</f>
        <v>1303.6937903999999</v>
      </c>
      <c r="D138" s="18">
        <f>D137*E$10</f>
        <v>1564.4325484799997</v>
      </c>
      <c r="E138" s="18">
        <f>E137*F$10</f>
        <v>1877.3190581759995</v>
      </c>
      <c r="F138" s="18">
        <f>F137*G$10</f>
        <v>2252.7828698111994</v>
      </c>
    </row>
    <row r="139" spans="1:11" hidden="1">
      <c r="A139" t="s">
        <v>39</v>
      </c>
      <c r="B139" s="37">
        <f>B138-IF($B$12=1,(C$12*B138),-C$13)</f>
        <v>543.20574599999998</v>
      </c>
      <c r="C139" s="37">
        <f t="shared" ref="C139" si="24">C138-IF($B$12=1,(D$12*C138),-D$13)</f>
        <v>651.84689519999995</v>
      </c>
      <c r="D139" s="37">
        <f t="shared" ref="D139" si="25">D138-IF($B$12=1,(E$12*D138),-E$13)</f>
        <v>782.21627423999985</v>
      </c>
      <c r="E139" s="37">
        <f t="shared" ref="E139" si="26">E138-IF($B$12=1,(F$12*E138),-F$13)</f>
        <v>938.65952908799977</v>
      </c>
      <c r="F139" s="37">
        <f t="shared" ref="F139" si="27">F138-IF($B$12=1,(G$12*F138),-G$13)</f>
        <v>1126.3914349055997</v>
      </c>
    </row>
    <row r="140" spans="1:11" hidden="1">
      <c r="A140" t="s">
        <v>42</v>
      </c>
      <c r="B140" s="18">
        <f ca="1">B139*EXP(-$B$4*B$43/365.25)</f>
        <v>525.36138314797074</v>
      </c>
      <c r="C140" s="18">
        <f ca="1">C139*EXP(-$B$4*C$43/365.25)</f>
        <v>570.47901078002428</v>
      </c>
      <c r="D140" s="18">
        <f ca="1">D139*EXP(-$B$4*D$43/365.25)</f>
        <v>619.30172645352241</v>
      </c>
      <c r="E140" s="18">
        <f ca="1">E139*EXP(-$B$4*E$43/365.25)</f>
        <v>672.48687782226716</v>
      </c>
      <c r="F140" s="18">
        <f ca="1">F139*EXP(-$B$4*F$43/365.25)</f>
        <v>730.23952869131972</v>
      </c>
      <c r="G140" s="18">
        <f ca="1">SUM(B140:F140)</f>
        <v>3117.8685268951044</v>
      </c>
      <c r="H140" s="18"/>
      <c r="I140" s="18"/>
      <c r="J140" s="18"/>
      <c r="K140" s="18"/>
    </row>
    <row r="141" spans="1:11" hidden="1">
      <c r="A141" t="s">
        <v>41</v>
      </c>
      <c r="F141" s="37">
        <f>((1+$D$18)/($B$4-$D$18)*(1-(((1+$D$18)/(1+$B$4))^$B$17)))</f>
        <v>12.873965651043969</v>
      </c>
      <c r="G141" s="18">
        <f ca="1">F141*F140</f>
        <v>9401.0786094065861</v>
      </c>
    </row>
    <row r="142" spans="1:11" hidden="1">
      <c r="A142" t="s">
        <v>40</v>
      </c>
      <c r="B142" s="37"/>
      <c r="F142" s="18">
        <f>F139*EXP($C$18*$B$17)</f>
        <v>5048.1361827388355</v>
      </c>
    </row>
    <row r="143" spans="1:11" hidden="1">
      <c r="A143" t="s">
        <v>43</v>
      </c>
      <c r="F143" s="18">
        <f ca="1">F142*EXP(-$B$4*B$49/365.25)</f>
        <v>1203.7966416004485</v>
      </c>
      <c r="G143" s="41">
        <f ca="1">F143*B$52</f>
        <v>25279.729473609419</v>
      </c>
    </row>
    <row r="144" spans="1:11" hidden="1">
      <c r="A144" t="s">
        <v>44</v>
      </c>
      <c r="G144" s="18">
        <f ca="1">SUM(G140:G141,G143)</f>
        <v>37798.676609911112</v>
      </c>
    </row>
    <row r="145" spans="1:13" hidden="1">
      <c r="A145" t="s">
        <v>25</v>
      </c>
      <c r="G145" s="42">
        <f ca="1">G144/$G$4</f>
        <v>37798.676609911112</v>
      </c>
    </row>
    <row r="146" spans="1:13">
      <c r="K146" s="104"/>
    </row>
    <row r="150" spans="1:13">
      <c r="I150" s="10" t="s">
        <v>195</v>
      </c>
      <c r="K150" s="104">
        <f ca="1">AVERAGE(K2:K9)</f>
        <v>25946.25</v>
      </c>
      <c r="L150" s="20">
        <f ca="1">price/K150-1</f>
        <v>0.28862547844100783</v>
      </c>
      <c r="M150" t="s">
        <v>198</v>
      </c>
    </row>
    <row r="151" spans="1:13">
      <c r="I151" s="10" t="s">
        <v>196</v>
      </c>
      <c r="K151" s="104">
        <f ca="1">AVERAGE(K9,K7,K5,K3)</f>
        <v>32621.75</v>
      </c>
      <c r="L151" s="20">
        <f ca="1">price/K151-1</f>
        <v>2.4929650309992502E-2</v>
      </c>
      <c r="M151" t="s">
        <v>198</v>
      </c>
    </row>
    <row r="152" spans="1:13">
      <c r="I152" s="10" t="s">
        <v>197</v>
      </c>
      <c r="K152" s="104">
        <f ca="1">AVERAGE(K2,K4,K6,K8)</f>
        <v>19270.75</v>
      </c>
      <c r="L152" s="20">
        <f ca="1">price/K152-1</f>
        <v>0.73501284693123003</v>
      </c>
      <c r="M152" t="s">
        <v>198</v>
      </c>
    </row>
  </sheetData>
  <mergeCells count="17">
    <mergeCell ref="A6:G6"/>
    <mergeCell ref="I11:L11"/>
    <mergeCell ref="I12:L12"/>
    <mergeCell ref="I20:L20"/>
    <mergeCell ref="A42:F42"/>
    <mergeCell ref="A1:G1"/>
    <mergeCell ref="A10:A11"/>
    <mergeCell ref="A8:A9"/>
    <mergeCell ref="I6:J6"/>
    <mergeCell ref="I7:J7"/>
    <mergeCell ref="I8:J8"/>
    <mergeCell ref="I9:J9"/>
    <mergeCell ref="I1:J1"/>
    <mergeCell ref="I2:J2"/>
    <mergeCell ref="I3:J3"/>
    <mergeCell ref="I4:J4"/>
    <mergeCell ref="I5:J5"/>
  </mergeCells>
  <conditionalFormatting sqref="C12:G12">
    <cfRule type="expression" dxfId="13" priority="4">
      <formula>$B$12=1</formula>
    </cfRule>
    <cfRule type="expression" dxfId="12" priority="3">
      <formula>$B$12=0</formula>
    </cfRule>
  </conditionalFormatting>
  <conditionalFormatting sqref="C13:G13">
    <cfRule type="expression" dxfId="11" priority="2">
      <formula>$B$12=1</formula>
    </cfRule>
    <cfRule type="expression" dxfId="10" priority="1">
      <formula>$B$12=0</formula>
    </cfRule>
  </conditionalFormatting>
  <dataValidations count="5">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 type="list" allowBlank="1" showInputMessage="1" showErrorMessage="1" sqref="B12" xr:uid="{EB98D554-094B-4435-9177-079D33FC87EE}">
      <formula1>$G$33:$G$34</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45"/>
  <sheetViews>
    <sheetView showGridLines="0" zoomScaleNormal="100" workbookViewId="0">
      <selection activeCell="C39" sqref="C39"/>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8" t="s">
        <v>129</v>
      </c>
      <c r="B1" s="60">
        <v>-9</v>
      </c>
      <c r="C1" s="60">
        <v>-8</v>
      </c>
      <c r="D1" s="60">
        <v>-7</v>
      </c>
      <c r="E1" s="60">
        <v>-6</v>
      </c>
      <c r="F1" s="60">
        <v>-5</v>
      </c>
      <c r="G1" s="60">
        <v>-4</v>
      </c>
      <c r="H1" s="60">
        <v>-3</v>
      </c>
      <c r="I1" s="60">
        <v>-2</v>
      </c>
      <c r="J1" s="60">
        <v>-1</v>
      </c>
      <c r="K1" s="60">
        <v>0</v>
      </c>
    </row>
    <row r="2" spans="1:11">
      <c r="A2" s="7" t="s">
        <v>130</v>
      </c>
      <c r="B2" s="105">
        <f>DATE(YEAR('Valuation Model'!$B3)+B1,MONTH('Valuation Model'!$B3),DAY('Valuation Model'!$B3))</f>
        <v>39872</v>
      </c>
      <c r="C2" s="105">
        <f>DATE(YEAR('Valuation Model'!$B3)+C1,MONTH('Valuation Model'!$B3),DAY('Valuation Model'!$B3))</f>
        <v>40237</v>
      </c>
      <c r="D2" s="105">
        <f>DATE(YEAR('Valuation Model'!$B3)+D1,MONTH('Valuation Model'!$B3),DAY('Valuation Model'!$B3))</f>
        <v>40602</v>
      </c>
      <c r="E2" s="105">
        <f>DATE(YEAR('Valuation Model'!$B3)+E1,MONTH('Valuation Model'!$B3),DAY('Valuation Model'!$B3))</f>
        <v>40967</v>
      </c>
      <c r="F2" s="105">
        <f>DATE(YEAR('Valuation Model'!$B3)+F1,MONTH('Valuation Model'!$B3),DAY('Valuation Model'!$B3))</f>
        <v>41333</v>
      </c>
      <c r="G2" s="105">
        <f>DATE(YEAR('Valuation Model'!$B3)+G1,MONTH('Valuation Model'!$B3),DAY('Valuation Model'!$B3))</f>
        <v>41698</v>
      </c>
      <c r="H2" s="105">
        <f>DATE(YEAR('Valuation Model'!$B3)+H1,MONTH('Valuation Model'!$B3),DAY('Valuation Model'!$B3))</f>
        <v>42063</v>
      </c>
      <c r="I2" s="105">
        <f>DATE(YEAR('Valuation Model'!$B3)+I1,MONTH('Valuation Model'!$B3),DAY('Valuation Model'!$B3))</f>
        <v>42428</v>
      </c>
      <c r="J2" s="105">
        <f>DATE(YEAR('Valuation Model'!$B3)+J1,MONTH('Valuation Model'!$B3),DAY('Valuation Model'!$B3))</f>
        <v>42794</v>
      </c>
      <c r="K2" s="105">
        <f>DATE(YEAR('Valuation Model'!$B3)+K1,MONTH('Valuation Model'!$B3),DAY('Valuation Model'!$B3))</f>
        <v>43159</v>
      </c>
    </row>
    <row r="3" spans="1:11">
      <c r="A3" s="1" t="s">
        <v>37</v>
      </c>
      <c r="B3" s="106">
        <v>652.572</v>
      </c>
      <c r="C3" s="106">
        <v>748.23599999999999</v>
      </c>
      <c r="D3" s="106">
        <v>909.27700000000004</v>
      </c>
      <c r="E3" s="106">
        <v>1133.1030000000001</v>
      </c>
      <c r="F3" s="106">
        <v>1328.817</v>
      </c>
      <c r="G3" s="106">
        <v>1534.615</v>
      </c>
      <c r="H3" s="106">
        <v>1789.489</v>
      </c>
      <c r="I3" s="106">
        <v>2052.23</v>
      </c>
      <c r="J3" s="106">
        <v>2411.8029999999999</v>
      </c>
      <c r="K3" s="106">
        <v>2920.4609999999998</v>
      </c>
    </row>
    <row r="4" spans="1:11">
      <c r="A4" s="107" t="s">
        <v>131</v>
      </c>
      <c r="B4" s="107"/>
      <c r="C4" s="108">
        <f t="shared" ref="C4:F4" si="0">IFERROR(C3/B3-1,"")</f>
        <v>0.14659531821775995</v>
      </c>
      <c r="D4" s="108">
        <f t="shared" si="0"/>
        <v>0.21522754852746995</v>
      </c>
      <c r="E4" s="108">
        <f t="shared" si="0"/>
        <v>0.24615821141412364</v>
      </c>
      <c r="F4" s="108">
        <f t="shared" si="0"/>
        <v>0.1727239271275427</v>
      </c>
      <c r="G4" s="108">
        <f>IFERROR(G3/F3-1,"")</f>
        <v>0.15487309388726955</v>
      </c>
      <c r="H4" s="108">
        <f t="shared" ref="H4:K4" si="1">IFERROR(H3/G3-1,"")</f>
        <v>0.16608334989557649</v>
      </c>
      <c r="I4" s="108">
        <f t="shared" si="1"/>
        <v>0.14682459629536693</v>
      </c>
      <c r="J4" s="108">
        <f t="shared" si="1"/>
        <v>0.17521086817754328</v>
      </c>
      <c r="K4" s="108">
        <f t="shared" si="1"/>
        <v>0.21090362687168063</v>
      </c>
    </row>
    <row r="5" spans="1:11">
      <c r="A5" s="107" t="s">
        <v>132</v>
      </c>
      <c r="B5" s="107"/>
      <c r="C5" s="107"/>
      <c r="D5" s="107"/>
      <c r="E5" s="108">
        <f>IFERROR(SUM(C3:E3)/SUM(B3:D3)-1,"")</f>
        <v>0.20801442371168166</v>
      </c>
      <c r="F5" s="108">
        <f t="shared" ref="F5:K5" si="2">IFERROR(SUM(D3:F3)/SUM(C3:E3)-1,"")</f>
        <v>0.20804761386016568</v>
      </c>
      <c r="G5" s="108">
        <f t="shared" si="2"/>
        <v>0.18549435111623547</v>
      </c>
      <c r="H5" s="108">
        <f t="shared" si="2"/>
        <v>0.16423877183610314</v>
      </c>
      <c r="I5" s="108">
        <f t="shared" si="2"/>
        <v>0.15547502310913952</v>
      </c>
      <c r="J5" s="108">
        <f t="shared" si="2"/>
        <v>0.16315727408304603</v>
      </c>
      <c r="K5" s="108">
        <f t="shared" si="2"/>
        <v>0.18085360537629813</v>
      </c>
    </row>
    <row r="6" spans="1:11">
      <c r="A6" s="107" t="s">
        <v>133</v>
      </c>
      <c r="B6" s="107"/>
      <c r="C6" s="107"/>
      <c r="D6" s="107"/>
      <c r="E6" s="107"/>
      <c r="F6" s="109"/>
      <c r="G6" s="108">
        <f>IFERROR(SUM(C3:G3)/SUM(B3:F3)-1,"")</f>
        <v>0.18483698152034611</v>
      </c>
      <c r="H6" s="108">
        <f t="shared" ref="H6:K6" si="3">IFERROR(SUM(D3:H3)/SUM(C3:G3)-1,"")</f>
        <v>0.18416062261940458</v>
      </c>
      <c r="I6" s="108">
        <f t="shared" si="3"/>
        <v>0.17070972611985624</v>
      </c>
      <c r="J6" s="108">
        <f t="shared" si="3"/>
        <v>0.16313582080907318</v>
      </c>
      <c r="K6" s="108">
        <f t="shared" si="3"/>
        <v>0.17458067683570633</v>
      </c>
    </row>
    <row r="8" spans="1:11" s="9" customFormat="1" ht="15.75" thickBot="1">
      <c r="A8" s="58" t="s">
        <v>134</v>
      </c>
      <c r="B8" s="110">
        <f t="shared" ref="B8:J8" si="4">B2</f>
        <v>39872</v>
      </c>
      <c r="C8" s="110">
        <f t="shared" si="4"/>
        <v>40237</v>
      </c>
      <c r="D8" s="110">
        <f t="shared" si="4"/>
        <v>40602</v>
      </c>
      <c r="E8" s="110">
        <f t="shared" si="4"/>
        <v>40967</v>
      </c>
      <c r="F8" s="110">
        <f t="shared" si="4"/>
        <v>41333</v>
      </c>
      <c r="G8" s="110">
        <f t="shared" si="4"/>
        <v>41698</v>
      </c>
      <c r="H8" s="110">
        <f t="shared" si="4"/>
        <v>42063</v>
      </c>
      <c r="I8" s="110">
        <f t="shared" si="4"/>
        <v>42428</v>
      </c>
      <c r="J8" s="110">
        <f t="shared" si="4"/>
        <v>42794</v>
      </c>
      <c r="K8" s="110">
        <f>K2</f>
        <v>43159</v>
      </c>
    </row>
    <row r="9" spans="1:11">
      <c r="A9" s="111" t="s">
        <v>135</v>
      </c>
      <c r="B9" s="112">
        <v>236.43899999999999</v>
      </c>
      <c r="C9" s="112">
        <v>255.249</v>
      </c>
      <c r="D9" s="112">
        <v>290.74799999999999</v>
      </c>
      <c r="E9" s="112">
        <v>391.88299999999998</v>
      </c>
      <c r="F9" s="112">
        <v>465.29700000000003</v>
      </c>
      <c r="G9" s="112">
        <v>540.58000000000004</v>
      </c>
      <c r="H9" s="112">
        <v>628.40200000000004</v>
      </c>
      <c r="I9" s="112">
        <v>736.32299999999998</v>
      </c>
      <c r="J9" s="112">
        <v>783.71699999999998</v>
      </c>
      <c r="K9" s="112">
        <v>923.13800000000003</v>
      </c>
    </row>
    <row r="10" spans="1:11">
      <c r="A10" s="113" t="s">
        <v>136</v>
      </c>
      <c r="B10" s="112">
        <v>-40.404200000000003</v>
      </c>
      <c r="C10" s="112">
        <v>-46.843899999999991</v>
      </c>
      <c r="D10" s="112">
        <v>-49.008600000000001</v>
      </c>
      <c r="E10" s="112">
        <v>-52.846900000000005</v>
      </c>
      <c r="F10" s="112">
        <v>-63.574000000000012</v>
      </c>
      <c r="G10" s="112">
        <v>-75.243000000000052</v>
      </c>
      <c r="H10" s="112">
        <v>-76.243900000000053</v>
      </c>
      <c r="I10" s="112">
        <v>-76.86239999999998</v>
      </c>
      <c r="J10" s="112">
        <v>-87.644800000000032</v>
      </c>
      <c r="K10" s="112">
        <v>-99.286500000000046</v>
      </c>
    </row>
    <row r="11" spans="1:11">
      <c r="A11" s="114" t="s">
        <v>137</v>
      </c>
      <c r="B11" s="5">
        <f t="shared" ref="B11:K11" si="5">B9+B10</f>
        <v>196.03479999999999</v>
      </c>
      <c r="C11" s="5">
        <f t="shared" si="5"/>
        <v>208.4051</v>
      </c>
      <c r="D11" s="5">
        <f t="shared" si="5"/>
        <v>241.73939999999999</v>
      </c>
      <c r="E11" s="5">
        <f t="shared" si="5"/>
        <v>339.03609999999998</v>
      </c>
      <c r="F11" s="5">
        <f t="shared" si="5"/>
        <v>401.72300000000001</v>
      </c>
      <c r="G11" s="5">
        <f t="shared" si="5"/>
        <v>465.33699999999999</v>
      </c>
      <c r="H11" s="5">
        <f t="shared" si="5"/>
        <v>552.15809999999999</v>
      </c>
      <c r="I11" s="5">
        <f t="shared" si="5"/>
        <v>659.4606</v>
      </c>
      <c r="J11" s="5">
        <f t="shared" si="5"/>
        <v>696.07219999999995</v>
      </c>
      <c r="K11" s="5">
        <f t="shared" si="5"/>
        <v>823.85149999999999</v>
      </c>
    </row>
    <row r="12" spans="1:11">
      <c r="A12" s="107" t="s">
        <v>127</v>
      </c>
      <c r="B12" s="108">
        <f t="shared" ref="B12:K12" si="6">IFERROR(B11/B$3,"")</f>
        <v>0.30040332714244555</v>
      </c>
      <c r="C12" s="108">
        <f t="shared" si="6"/>
        <v>0.27852856585355423</v>
      </c>
      <c r="D12" s="108">
        <f t="shared" si="6"/>
        <v>0.2658589186793463</v>
      </c>
      <c r="E12" s="108">
        <f t="shared" si="6"/>
        <v>0.29921031009537524</v>
      </c>
      <c r="F12" s="108">
        <f t="shared" si="6"/>
        <v>0.30231627078822743</v>
      </c>
      <c r="G12" s="108">
        <f t="shared" si="6"/>
        <v>0.30322719379127661</v>
      </c>
      <c r="H12" s="108">
        <f t="shared" si="6"/>
        <v>0.30855629735639617</v>
      </c>
      <c r="I12" s="108">
        <f t="shared" si="6"/>
        <v>0.32133854392538846</v>
      </c>
      <c r="J12" s="108">
        <f t="shared" si="6"/>
        <v>0.28861071986393583</v>
      </c>
      <c r="K12" s="108">
        <f t="shared" si="6"/>
        <v>0.28209638820720428</v>
      </c>
    </row>
    <row r="13" spans="1:11">
      <c r="A13" s="107" t="s">
        <v>138</v>
      </c>
      <c r="B13" s="107"/>
      <c r="C13" s="108">
        <f t="shared" ref="C13:F13" si="7">IFERROR(C11/B11-1,"")</f>
        <v>6.310257158422905E-2</v>
      </c>
      <c r="D13" s="108">
        <f t="shared" si="7"/>
        <v>0.15994954058226019</v>
      </c>
      <c r="E13" s="108">
        <f t="shared" si="7"/>
        <v>0.40248590010565088</v>
      </c>
      <c r="F13" s="108">
        <f t="shared" si="7"/>
        <v>0.18489741947833882</v>
      </c>
      <c r="G13" s="108">
        <f>IFERROR(G11/F11-1,"")</f>
        <v>0.15835289490519577</v>
      </c>
      <c r="H13" s="108">
        <f t="shared" ref="H13:K13" si="8">IFERROR(H11/G11-1,"")</f>
        <v>0.18657682496771155</v>
      </c>
      <c r="I13" s="108">
        <f t="shared" si="8"/>
        <v>0.19433292747131659</v>
      </c>
      <c r="J13" s="108">
        <f t="shared" si="8"/>
        <v>5.5517494145973068E-2</v>
      </c>
      <c r="K13" s="108">
        <f t="shared" si="8"/>
        <v>0.18357190532821166</v>
      </c>
    </row>
    <row r="14" spans="1:11">
      <c r="A14" s="107" t="s">
        <v>139</v>
      </c>
      <c r="B14" s="107"/>
      <c r="C14" s="107"/>
      <c r="D14" s="107"/>
      <c r="E14" s="108">
        <f>IFERROR(SUM(C11:E11)/SUM(B11:D11)-1,"")</f>
        <v>0.2213028179639922</v>
      </c>
      <c r="F14" s="108">
        <f t="shared" ref="F14:K14" si="9">IFERROR(SUM(D11:F11)/SUM(C11:E11)-1,"")</f>
        <v>0.24496027905399598</v>
      </c>
      <c r="G14" s="108">
        <f t="shared" si="9"/>
        <v>0.2275806019042268</v>
      </c>
      <c r="H14" s="108">
        <f t="shared" si="9"/>
        <v>0.17670399564346506</v>
      </c>
      <c r="I14" s="108">
        <f t="shared" si="9"/>
        <v>0.18160535015724499</v>
      </c>
      <c r="J14" s="108">
        <f t="shared" si="9"/>
        <v>0.13759170859432968</v>
      </c>
      <c r="K14" s="108">
        <f t="shared" si="9"/>
        <v>0.1424200325115561</v>
      </c>
    </row>
    <row r="15" spans="1:11">
      <c r="A15" s="107" t="s">
        <v>133</v>
      </c>
      <c r="B15" s="107"/>
      <c r="C15" s="107"/>
      <c r="D15" s="107"/>
      <c r="E15" s="107"/>
      <c r="F15" s="108"/>
      <c r="G15" s="108">
        <f>IFERROR(SUM(C11:G11)/SUM(B11:F11)-1,"")</f>
        <v>0.19417026740336829</v>
      </c>
      <c r="H15" s="108">
        <f t="shared" ref="H15:K15" si="10">IFERROR(SUM(D11:H11)/SUM(C11:G11)-1,"")</f>
        <v>0.20755015907712915</v>
      </c>
      <c r="I15" s="108">
        <f t="shared" si="10"/>
        <v>0.20886126835605867</v>
      </c>
      <c r="J15" s="108">
        <f t="shared" si="10"/>
        <v>0.14767502767489371</v>
      </c>
      <c r="K15" s="108">
        <f t="shared" si="10"/>
        <v>0.15213203462696412</v>
      </c>
    </row>
    <row r="16" spans="1:11" s="9" customFormat="1">
      <c r="A16"/>
      <c r="B16"/>
      <c r="C16"/>
      <c r="D16"/>
      <c r="E16"/>
      <c r="F16" s="98">
        <f>AVERAGE(B12:F12)</f>
        <v>0.28926347851178974</v>
      </c>
      <c r="G16" s="98">
        <f t="shared" ref="G16:K16" si="11">AVERAGE(C12:G12)</f>
        <v>0.28982825184155592</v>
      </c>
      <c r="H16" s="98">
        <f t="shared" si="11"/>
        <v>0.29583379814212435</v>
      </c>
      <c r="I16" s="98">
        <f t="shared" si="11"/>
        <v>0.30692972319133277</v>
      </c>
      <c r="J16" s="98">
        <f t="shared" si="11"/>
        <v>0.30480980514504485</v>
      </c>
      <c r="K16" s="98">
        <f t="shared" si="11"/>
        <v>0.30076582862884027</v>
      </c>
    </row>
    <row r="17" spans="1:16" s="9" customFormat="1" ht="15.75" thickBot="1">
      <c r="A17" s="58" t="s">
        <v>140</v>
      </c>
      <c r="B17" s="110">
        <f t="shared" ref="B17:J17" si="12">B2</f>
        <v>39872</v>
      </c>
      <c r="C17" s="110">
        <f t="shared" si="12"/>
        <v>40237</v>
      </c>
      <c r="D17" s="110">
        <f t="shared" si="12"/>
        <v>40602</v>
      </c>
      <c r="E17" s="110">
        <f t="shared" si="12"/>
        <v>40967</v>
      </c>
      <c r="F17" s="110">
        <f t="shared" si="12"/>
        <v>41333</v>
      </c>
      <c r="G17" s="110">
        <f t="shared" si="12"/>
        <v>41698</v>
      </c>
      <c r="H17" s="110">
        <f t="shared" si="12"/>
        <v>42063</v>
      </c>
      <c r="I17" s="110">
        <f t="shared" si="12"/>
        <v>42428</v>
      </c>
      <c r="J17" s="110">
        <f t="shared" si="12"/>
        <v>42794</v>
      </c>
      <c r="K17" s="110">
        <f>K2</f>
        <v>43159</v>
      </c>
    </row>
    <row r="18" spans="1:16">
      <c r="A18" s="111" t="s">
        <v>141</v>
      </c>
      <c r="B18" s="112">
        <v>-28.417000000000002</v>
      </c>
      <c r="C18" s="112">
        <v>-33.112000000000002</v>
      </c>
      <c r="D18" s="112">
        <v>-46.851999999999997</v>
      </c>
      <c r="E18" s="112">
        <v>-51.618000000000002</v>
      </c>
      <c r="F18" s="112">
        <v>-120.038</v>
      </c>
      <c r="G18" s="112">
        <v>-97.558999999999997</v>
      </c>
      <c r="H18" s="112">
        <v>-51.771000000000001</v>
      </c>
      <c r="I18" s="112">
        <v>-55.517000000000003</v>
      </c>
      <c r="J18" s="112">
        <v>-80.897000000000006</v>
      </c>
      <c r="K18" s="112">
        <v>-101.687</v>
      </c>
    </row>
    <row r="19" spans="1:16" s="116" customFormat="1">
      <c r="A19" s="113" t="s">
        <v>178</v>
      </c>
      <c r="B19" s="115">
        <f t="shared" ref="B19:K19" si="13">B18-B10</f>
        <v>11.987200000000001</v>
      </c>
      <c r="C19" s="115">
        <f t="shared" si="13"/>
        <v>13.731899999999989</v>
      </c>
      <c r="D19" s="115">
        <f t="shared" si="13"/>
        <v>2.1566000000000045</v>
      </c>
      <c r="E19" s="115">
        <f t="shared" si="13"/>
        <v>1.228900000000003</v>
      </c>
      <c r="F19" s="115">
        <f t="shared" si="13"/>
        <v>-56.463999999999984</v>
      </c>
      <c r="G19" s="115">
        <f t="shared" si="13"/>
        <v>-22.315999999999946</v>
      </c>
      <c r="H19" s="115">
        <f t="shared" si="13"/>
        <v>24.472900000000053</v>
      </c>
      <c r="I19" s="115">
        <f t="shared" si="13"/>
        <v>21.345399999999977</v>
      </c>
      <c r="J19" s="115">
        <f t="shared" si="13"/>
        <v>6.7478000000000264</v>
      </c>
      <c r="K19" s="115">
        <f t="shared" si="13"/>
        <v>-2.4004999999999512</v>
      </c>
    </row>
    <row r="20" spans="1:16" s="116" customFormat="1">
      <c r="A20" s="113" t="s">
        <v>142</v>
      </c>
      <c r="B20" s="112">
        <v>0</v>
      </c>
      <c r="C20" s="112">
        <v>13.053000000000001</v>
      </c>
      <c r="D20" s="112">
        <v>3.9380000000000002</v>
      </c>
      <c r="E20" s="112">
        <v>1.9790000000000001</v>
      </c>
      <c r="F20" s="112">
        <v>0</v>
      </c>
      <c r="G20" s="112">
        <v>0</v>
      </c>
      <c r="H20" s="112">
        <v>0</v>
      </c>
      <c r="I20" s="112">
        <v>0.75</v>
      </c>
      <c r="J20" s="112">
        <v>0</v>
      </c>
      <c r="K20" s="112">
        <v>14.204000000000001</v>
      </c>
    </row>
    <row r="21" spans="1:16" s="116" customFormat="1">
      <c r="A21" s="113" t="s">
        <v>143</v>
      </c>
      <c r="B21" s="112">
        <v>-148.13999999999999</v>
      </c>
      <c r="C21" s="112">
        <v>0</v>
      </c>
      <c r="D21" s="112">
        <v>-31.381</v>
      </c>
      <c r="E21" s="112">
        <v>-135.21</v>
      </c>
      <c r="F21" s="112">
        <v>-135.501</v>
      </c>
      <c r="G21" s="112">
        <v>0</v>
      </c>
      <c r="H21" s="112">
        <v>-296.12099999999998</v>
      </c>
      <c r="I21" s="112">
        <v>-126.459</v>
      </c>
      <c r="J21" s="112">
        <v>-28.667000000000002</v>
      </c>
      <c r="K21" s="112">
        <v>-315.08100000000002</v>
      </c>
    </row>
    <row r="22" spans="1:16">
      <c r="A22" s="111" t="s">
        <v>144</v>
      </c>
      <c r="B22" s="144">
        <v>0</v>
      </c>
      <c r="C22" s="144">
        <v>0</v>
      </c>
      <c r="D22" s="144">
        <v>0</v>
      </c>
      <c r="E22" s="144">
        <v>0</v>
      </c>
      <c r="F22" s="144">
        <v>0</v>
      </c>
      <c r="G22" s="144">
        <v>0</v>
      </c>
      <c r="H22" s="144">
        <v>0</v>
      </c>
      <c r="I22" s="112">
        <v>0</v>
      </c>
      <c r="J22" s="112">
        <v>0</v>
      </c>
      <c r="K22" s="112">
        <v>0</v>
      </c>
    </row>
    <row r="23" spans="1:16">
      <c r="A23" s="111" t="s">
        <v>189</v>
      </c>
      <c r="B23" s="144">
        <v>0</v>
      </c>
      <c r="C23" s="144">
        <v>0</v>
      </c>
      <c r="D23" s="144">
        <v>0</v>
      </c>
      <c r="E23" s="144">
        <v>0</v>
      </c>
      <c r="F23" s="144">
        <v>0</v>
      </c>
      <c r="G23" s="144">
        <v>0</v>
      </c>
      <c r="H23" s="144">
        <v>0</v>
      </c>
      <c r="I23" s="112">
        <v>0</v>
      </c>
      <c r="J23" s="112">
        <v>0</v>
      </c>
      <c r="K23" s="112">
        <v>0</v>
      </c>
    </row>
    <row r="24" spans="1:16">
      <c r="A24" s="117" t="s">
        <v>145</v>
      </c>
      <c r="B24" s="118">
        <v>17.418651067708332</v>
      </c>
      <c r="C24" s="118">
        <v>23.526813178775001</v>
      </c>
      <c r="D24" s="118">
        <v>36.76012167235001</v>
      </c>
      <c r="E24" s="118">
        <v>44.333088101508338</v>
      </c>
      <c r="F24" s="118">
        <v>54.257460325708337</v>
      </c>
      <c r="G24" s="118">
        <v>50.294802906491661</v>
      </c>
      <c r="H24" s="118">
        <v>58.439190587649996</v>
      </c>
      <c r="I24" s="118">
        <v>75.309886031366673</v>
      </c>
      <c r="J24" s="118">
        <v>75.466026212191665</v>
      </c>
      <c r="K24" s="118">
        <v>107.44439916283334</v>
      </c>
    </row>
    <row r="25" spans="1:16">
      <c r="A25" s="119" t="s">
        <v>146</v>
      </c>
      <c r="B25" s="142">
        <v>2.0630000000000002</v>
      </c>
      <c r="C25" s="142">
        <v>7.3659999999999997</v>
      </c>
      <c r="D25" s="142">
        <v>8.6170000000000009</v>
      </c>
      <c r="E25" s="142">
        <v>2.7749999999999999</v>
      </c>
      <c r="F25" s="142">
        <v>2.6579999999999999</v>
      </c>
      <c r="G25" s="142">
        <v>1.7050000000000001</v>
      </c>
      <c r="H25" s="142">
        <v>2.1459999999999999</v>
      </c>
      <c r="I25" s="142">
        <v>1.8340000000000001</v>
      </c>
      <c r="J25" s="142">
        <v>1.909</v>
      </c>
      <c r="K25" s="142">
        <v>1.8839999999999999</v>
      </c>
      <c r="M25" s="17"/>
      <c r="N25" s="18"/>
      <c r="O25" s="18"/>
      <c r="P25" s="18"/>
    </row>
    <row r="26" spans="1:16">
      <c r="A26" s="120" t="s">
        <v>147</v>
      </c>
      <c r="B26" s="143">
        <f>51.137+18.355-2.698</f>
        <v>66.794000000000011</v>
      </c>
      <c r="C26" s="142">
        <f>35.569+103.332-11.855</f>
        <v>127.04600000000001</v>
      </c>
      <c r="D26" s="142">
        <f>42.291+84.443-26.25</f>
        <v>100.48399999999999</v>
      </c>
      <c r="E26" s="143">
        <f>23.931+16.812-36.332</f>
        <v>4.4110000000000014</v>
      </c>
      <c r="F26" s="143">
        <f>34.219+11.478-49.984</f>
        <v>-4.286999999999999</v>
      </c>
      <c r="G26" s="143">
        <f>12.837+2.122-37.402</f>
        <v>-22.443000000000001</v>
      </c>
      <c r="H26" s="143">
        <f>5.607+2.434-43.462</f>
        <v>-35.421000000000006</v>
      </c>
      <c r="I26" s="143">
        <f>-66.907+3.596</f>
        <v>-63.310999999999993</v>
      </c>
      <c r="J26" s="143">
        <f>3.829+18.852-66.529</f>
        <v>-43.847999999999999</v>
      </c>
      <c r="K26" s="143">
        <f>4.895+50.097-89.506</f>
        <v>-34.513999999999996</v>
      </c>
    </row>
    <row r="27" spans="1:16">
      <c r="A27" s="111" t="s">
        <v>148</v>
      </c>
      <c r="B27" s="121">
        <f t="shared" ref="B27:E27" si="14">-B24*B25+B26</f>
        <v>30.859322847317721</v>
      </c>
      <c r="C27" s="121">
        <f t="shared" si="14"/>
        <v>-46.252505874856652</v>
      </c>
      <c r="D27" s="121">
        <f t="shared" si="14"/>
        <v>-216.27796845064012</v>
      </c>
      <c r="E27" s="121">
        <f t="shared" si="14"/>
        <v>-118.61331948168564</v>
      </c>
      <c r="F27" s="121">
        <f>-F24*F25+F26</f>
        <v>-148.50332954573275</v>
      </c>
      <c r="G27" s="121">
        <f t="shared" ref="G27:K27" si="15">-G24*G25+G26</f>
        <v>-108.19563895556828</v>
      </c>
      <c r="H27" s="121">
        <f t="shared" si="15"/>
        <v>-160.83150300109691</v>
      </c>
      <c r="I27" s="121">
        <f t="shared" si="15"/>
        <v>-201.4293309815265</v>
      </c>
      <c r="J27" s="121">
        <f t="shared" si="15"/>
        <v>-187.91264403907388</v>
      </c>
      <c r="K27" s="121">
        <f t="shared" si="15"/>
        <v>-236.93924802277797</v>
      </c>
    </row>
    <row r="28" spans="1:16">
      <c r="A28" s="1" t="s">
        <v>149</v>
      </c>
      <c r="B28" s="5">
        <f>B19+B20+B21+B22+B23+B27</f>
        <v>-105.29347715268227</v>
      </c>
      <c r="C28" s="5">
        <f t="shared" ref="C28:K28" si="16">C19+C20+C21+C22+C23+C27</f>
        <v>-19.467605874856662</v>
      </c>
      <c r="D28" s="5">
        <f t="shared" si="16"/>
        <v>-241.5643684506401</v>
      </c>
      <c r="E28" s="5">
        <f t="shared" si="16"/>
        <v>-250.61541948168565</v>
      </c>
      <c r="F28" s="5">
        <f t="shared" si="16"/>
        <v>-340.46832954573273</v>
      </c>
      <c r="G28" s="5">
        <f t="shared" si="16"/>
        <v>-130.51163895556823</v>
      </c>
      <c r="H28" s="5">
        <f t="shared" si="16"/>
        <v>-432.47960300109685</v>
      </c>
      <c r="I28" s="5">
        <f t="shared" si="16"/>
        <v>-305.79293098152652</v>
      </c>
      <c r="J28" s="5">
        <f t="shared" si="16"/>
        <v>-209.83184403907387</v>
      </c>
      <c r="K28" s="5">
        <f t="shared" si="16"/>
        <v>-540.21674802277789</v>
      </c>
    </row>
    <row r="29" spans="1:16">
      <c r="A29" s="107" t="s">
        <v>150</v>
      </c>
      <c r="B29" s="108">
        <f t="shared" ref="B29:E29" si="17">IFERROR(-B28/B11,"")</f>
        <v>0.5371162525872053</v>
      </c>
      <c r="C29" s="108">
        <f t="shared" si="17"/>
        <v>9.3412329520038917E-2</v>
      </c>
      <c r="D29" s="108">
        <f t="shared" si="17"/>
        <v>0.99927594943414322</v>
      </c>
      <c r="E29" s="108">
        <f t="shared" si="17"/>
        <v>0.73919980639727056</v>
      </c>
      <c r="F29" s="108">
        <f>IFERROR(-F28/F11,"")</f>
        <v>0.84752013090047795</v>
      </c>
      <c r="G29" s="108">
        <f t="shared" ref="G29:K29" si="18">IFERROR(-G28/G11,"")</f>
        <v>0.28046692817370689</v>
      </c>
      <c r="H29" s="108">
        <f t="shared" si="18"/>
        <v>0.78325320773361262</v>
      </c>
      <c r="I29" s="108">
        <f t="shared" si="18"/>
        <v>0.46370159336513284</v>
      </c>
      <c r="J29" s="108">
        <f t="shared" si="18"/>
        <v>0.30145126330152805</v>
      </c>
      <c r="K29" s="108">
        <f t="shared" si="18"/>
        <v>0.65572102256629727</v>
      </c>
    </row>
    <row r="31" spans="1:16" s="9" customFormat="1" ht="15.75" thickBot="1">
      <c r="A31" s="58" t="s">
        <v>151</v>
      </c>
      <c r="B31" s="110">
        <f t="shared" ref="B31:J31" si="19">B2</f>
        <v>39872</v>
      </c>
      <c r="C31" s="110">
        <f t="shared" si="19"/>
        <v>40237</v>
      </c>
      <c r="D31" s="110">
        <f t="shared" si="19"/>
        <v>40602</v>
      </c>
      <c r="E31" s="110">
        <f t="shared" si="19"/>
        <v>40967</v>
      </c>
      <c r="F31" s="110">
        <f t="shared" si="19"/>
        <v>41333</v>
      </c>
      <c r="G31" s="110">
        <f t="shared" si="19"/>
        <v>41698</v>
      </c>
      <c r="H31" s="110">
        <f t="shared" si="19"/>
        <v>42063</v>
      </c>
      <c r="I31" s="110">
        <f t="shared" si="19"/>
        <v>42428</v>
      </c>
      <c r="J31" s="110">
        <f t="shared" si="19"/>
        <v>42794</v>
      </c>
      <c r="K31" s="110">
        <f>K2</f>
        <v>43159</v>
      </c>
    </row>
    <row r="32" spans="1:16" ht="15.75" thickBot="1">
      <c r="A32" s="122" t="s">
        <v>152</v>
      </c>
      <c r="B32" s="4">
        <f t="shared" ref="B32:K32" si="20">B11+B28</f>
        <v>90.741322847317718</v>
      </c>
      <c r="C32" s="4">
        <f t="shared" si="20"/>
        <v>188.93749412514333</v>
      </c>
      <c r="D32" s="4">
        <f t="shared" si="20"/>
        <v>0.17503154935988618</v>
      </c>
      <c r="E32" s="4">
        <f t="shared" si="20"/>
        <v>88.420680518314327</v>
      </c>
      <c r="F32" s="4">
        <f t="shared" si="20"/>
        <v>61.254670454267284</v>
      </c>
      <c r="G32" s="4">
        <f t="shared" si="20"/>
        <v>334.82536104443176</v>
      </c>
      <c r="H32" s="4">
        <f t="shared" si="20"/>
        <v>119.67849699890314</v>
      </c>
      <c r="I32" s="4">
        <f t="shared" si="20"/>
        <v>353.66766901847348</v>
      </c>
      <c r="J32" s="4">
        <f t="shared" si="20"/>
        <v>486.24035596092608</v>
      </c>
      <c r="K32" s="4">
        <f t="shared" si="20"/>
        <v>283.63475197722209</v>
      </c>
    </row>
    <row r="33" spans="1:11" ht="15.75" thickTop="1">
      <c r="A33" s="107" t="s">
        <v>128</v>
      </c>
      <c r="B33" s="108">
        <f t="shared" ref="B33:K33" si="21">IFERROR(B32/B$3,"")</f>
        <v>0.13905181780296691</v>
      </c>
      <c r="C33" s="108">
        <f t="shared" si="21"/>
        <v>0.25251056367929814</v>
      </c>
      <c r="D33" s="108">
        <f t="shared" si="21"/>
        <v>1.9249530050786083E-4</v>
      </c>
      <c r="E33" s="108">
        <f t="shared" si="21"/>
        <v>7.8034106800806566E-2</v>
      </c>
      <c r="F33" s="108">
        <f t="shared" si="21"/>
        <v>4.6097145396444571E-2</v>
      </c>
      <c r="G33" s="108">
        <f t="shared" si="21"/>
        <v>0.21818199420990395</v>
      </c>
      <c r="H33" s="108">
        <f t="shared" si="21"/>
        <v>6.6878587685592447E-2</v>
      </c>
      <c r="I33" s="108">
        <f t="shared" si="21"/>
        <v>0.1723333490975541</v>
      </c>
      <c r="J33" s="108">
        <f t="shared" si="21"/>
        <v>0.20160865375858894</v>
      </c>
      <c r="K33" s="108">
        <f t="shared" si="21"/>
        <v>9.7119856069717111E-2</v>
      </c>
    </row>
    <row r="34" spans="1:11">
      <c r="A34" s="107" t="s">
        <v>138</v>
      </c>
      <c r="B34" s="107"/>
      <c r="C34" s="108">
        <f t="shared" ref="C34:F34" si="22">IFERROR(C32/B32-1,"")</f>
        <v>1.0821549454712214</v>
      </c>
      <c r="D34" s="108">
        <f t="shared" si="22"/>
        <v>-0.99907360076849572</v>
      </c>
      <c r="E34" s="108">
        <f t="shared" si="22"/>
        <v>504.16995845423639</v>
      </c>
      <c r="F34" s="108">
        <f t="shared" si="22"/>
        <v>-0.30723593060811405</v>
      </c>
      <c r="G34" s="108">
        <f>IFERROR(G32/F32-1,"")</f>
        <v>4.4661197025688395</v>
      </c>
      <c r="H34" s="108">
        <f t="shared" ref="H34:K34" si="23">IFERROR(H32/G32-1,"")</f>
        <v>-0.64256442037250083</v>
      </c>
      <c r="I34" s="108">
        <f t="shared" si="23"/>
        <v>1.95514798303086</v>
      </c>
      <c r="J34" s="108">
        <f t="shared" si="23"/>
        <v>0.37485102132852233</v>
      </c>
      <c r="K34" s="108">
        <f t="shared" si="23"/>
        <v>-0.41667788676920359</v>
      </c>
    </row>
    <row r="35" spans="1:11">
      <c r="A35" s="107" t="s">
        <v>139</v>
      </c>
      <c r="B35" s="107"/>
      <c r="C35" s="107"/>
      <c r="D35" s="107"/>
      <c r="E35" s="108">
        <f>IFERROR(SUM(C32:E32)/SUM(B32:D32)-1,"")</f>
        <v>-8.2923366652307706E-3</v>
      </c>
      <c r="F35" s="108">
        <f t="shared" ref="F35" si="24">IFERROR(SUM(D32:F32)/SUM(C32:E32)-1,"")</f>
        <v>-0.46006323143244987</v>
      </c>
      <c r="G35" s="108">
        <f t="shared" ref="G35:K35" si="25">IFERROR(SUM(E32:G32)/SUM(D32:F32)-1,"")</f>
        <v>2.233229731302631</v>
      </c>
      <c r="H35" s="108">
        <f t="shared" si="25"/>
        <v>6.4515522279544379E-2</v>
      </c>
      <c r="I35" s="108">
        <f t="shared" si="25"/>
        <v>0.56695717551390068</v>
      </c>
      <c r="J35" s="108">
        <f t="shared" si="25"/>
        <v>0.1873550228464238</v>
      </c>
      <c r="K35" s="108">
        <f t="shared" si="25"/>
        <v>0.17086135666047464</v>
      </c>
    </row>
    <row r="36" spans="1:11">
      <c r="A36" s="107" t="s">
        <v>133</v>
      </c>
      <c r="B36" s="107"/>
      <c r="C36" s="107"/>
      <c r="D36" s="107"/>
      <c r="E36" s="107"/>
      <c r="F36" s="108"/>
      <c r="G36" s="108">
        <f>IFERROR(SUM(C32:G32)/SUM(B32:F32)-1,"")</f>
        <v>0.56825947685145639</v>
      </c>
      <c r="H36" s="108">
        <f t="shared" ref="H36" si="26">IFERROR(SUM(D32:H32)/SUM(C32:G32)-1,"")</f>
        <v>-0.10281715567762872</v>
      </c>
      <c r="I36" s="108">
        <f t="shared" ref="I36:K36" si="27">IFERROR(SUM(E32:I32)/SUM(D32:H32)-1,"")</f>
        <v>0.58490966678496026</v>
      </c>
      <c r="J36" s="108">
        <f t="shared" si="27"/>
        <v>0.41532700535495071</v>
      </c>
      <c r="K36" s="108">
        <f t="shared" si="27"/>
        <v>0.16403744781679253</v>
      </c>
    </row>
    <row r="38" spans="1:11" s="9" customFormat="1" ht="15.75" thickBot="1">
      <c r="A38" s="58" t="s">
        <v>153</v>
      </c>
      <c r="B38" s="123">
        <f t="shared" ref="B38:E38" si="28">B2</f>
        <v>39872</v>
      </c>
      <c r="C38" s="123">
        <f t="shared" si="28"/>
        <v>40237</v>
      </c>
      <c r="D38" s="123">
        <f t="shared" si="28"/>
        <v>40602</v>
      </c>
      <c r="E38" s="123">
        <f t="shared" si="28"/>
        <v>40967</v>
      </c>
      <c r="F38" s="123">
        <f>F2</f>
        <v>41333</v>
      </c>
      <c r="G38" s="123">
        <f t="shared" ref="G38:K38" si="29">G2</f>
        <v>41698</v>
      </c>
      <c r="H38" s="123">
        <f t="shared" si="29"/>
        <v>42063</v>
      </c>
      <c r="I38" s="123">
        <f t="shared" si="29"/>
        <v>42428</v>
      </c>
      <c r="J38" s="123">
        <f t="shared" si="29"/>
        <v>42794</v>
      </c>
      <c r="K38" s="123">
        <f t="shared" si="29"/>
        <v>43159</v>
      </c>
    </row>
    <row r="39" spans="1:11" s="116" customFormat="1" ht="15.75" thickBot="1">
      <c r="A39" s="124" t="s">
        <v>154</v>
      </c>
      <c r="B39" s="125">
        <f>VLOOKUP(B38,'GDP Data'!$A$2:$B$73,2,TRUE)</f>
        <v>14549.9</v>
      </c>
      <c r="C39" s="125">
        <f>VLOOKUP(C38,'GDP Data'!$A$2:$B$73,2,TRUE)</f>
        <v>14566.5</v>
      </c>
      <c r="D39" s="125">
        <f>VLOOKUP(D38,'GDP Data'!$A$2:$B$73,2,TRUE)</f>
        <v>15230.2</v>
      </c>
      <c r="E39" s="125">
        <f>VLOOKUP(E38,'GDP Data'!$A$2:$B$73,2,TRUE)</f>
        <v>15785.3</v>
      </c>
      <c r="F39" s="125">
        <f>VLOOKUP(F38,'GDP Data'!$A$2:$B$73,2,TRUE)</f>
        <v>16332.5</v>
      </c>
      <c r="G39" s="125">
        <f>VLOOKUP(G38,'GDP Data'!$A$2:$B$73,2,TRUE)</f>
        <v>17078.3</v>
      </c>
      <c r="H39" s="125">
        <f>VLOOKUP(H38,'GDP Data'!$A$2:$B$73,2,TRUE)</f>
        <v>17703.7</v>
      </c>
      <c r="I39" s="125">
        <f>VLOOKUP(I38,'GDP Data'!$A$2:$B$73,2,TRUE)</f>
        <v>18164.8</v>
      </c>
      <c r="J39" s="125">
        <f>VLOOKUP(J38,'GDP Data'!$A$2:$B$73,2,TRUE)</f>
        <v>18905.544999999998</v>
      </c>
      <c r="K39" s="125">
        <f>VLOOKUP(K38,'GDP Data'!$A$2:$B$73,2,TRUE)</f>
        <v>19754.101999999999</v>
      </c>
    </row>
    <row r="40" spans="1:11">
      <c r="A40" t="s">
        <v>155</v>
      </c>
      <c r="C40" s="126">
        <f t="shared" ref="C40" si="30">C39/B39-1</f>
        <v>1.1409013120364797E-3</v>
      </c>
      <c r="D40" s="126">
        <f t="shared" ref="D40" si="31">D39/C39-1</f>
        <v>4.5563450382727577E-2</v>
      </c>
      <c r="E40" s="126">
        <f t="shared" ref="E40:F40" si="32">E39/D39-1</f>
        <v>3.6447321768591223E-2</v>
      </c>
      <c r="F40" s="126">
        <f t="shared" si="32"/>
        <v>3.4665163158128287E-2</v>
      </c>
      <c r="G40" s="126">
        <f>G39/F39-1</f>
        <v>4.5663554262972639E-2</v>
      </c>
      <c r="H40" s="126">
        <f t="shared" ref="H40:K40" si="33">H39/G39-1</f>
        <v>3.6619569863511003E-2</v>
      </c>
      <c r="I40" s="126">
        <f t="shared" si="33"/>
        <v>2.6045402938368767E-2</v>
      </c>
      <c r="J40" s="126">
        <f t="shared" si="33"/>
        <v>4.0779144279045054E-2</v>
      </c>
      <c r="K40" s="126">
        <f t="shared" si="33"/>
        <v>4.4884027411005611E-2</v>
      </c>
    </row>
    <row r="41" spans="1:11">
      <c r="A41" s="127" t="s">
        <v>156</v>
      </c>
      <c r="B41" s="127"/>
      <c r="C41" s="128">
        <f t="shared" ref="C41:F41" si="34">C13</f>
        <v>6.310257158422905E-2</v>
      </c>
      <c r="D41" s="128">
        <f t="shared" si="34"/>
        <v>0.15994954058226019</v>
      </c>
      <c r="E41" s="128">
        <f t="shared" si="34"/>
        <v>0.40248590010565088</v>
      </c>
      <c r="F41" s="128">
        <f t="shared" si="34"/>
        <v>0.18489741947833882</v>
      </c>
      <c r="G41" s="128">
        <f>G13</f>
        <v>0.15835289490519577</v>
      </c>
      <c r="H41" s="128">
        <f t="shared" ref="H41:K41" si="35">H13</f>
        <v>0.18657682496771155</v>
      </c>
      <c r="I41" s="128">
        <f t="shared" si="35"/>
        <v>0.19433292747131659</v>
      </c>
      <c r="J41" s="128">
        <f t="shared" si="35"/>
        <v>5.5517494145973068E-2</v>
      </c>
      <c r="K41" s="128">
        <f t="shared" si="35"/>
        <v>0.18357190532821166</v>
      </c>
    </row>
    <row r="42" spans="1:11">
      <c r="A42" t="s">
        <v>157</v>
      </c>
      <c r="D42" s="129"/>
      <c r="E42" s="129">
        <f t="shared" ref="E42" si="36">SUM(C39:E39)/SUM(B39:D39)-1</f>
        <v>2.7857829010566659E-2</v>
      </c>
      <c r="F42" s="129">
        <f t="shared" ref="F42" si="37">SUM(D39:F39)/SUM(C39:E39)-1</f>
        <v>3.8743363608441994E-2</v>
      </c>
      <c r="G42" s="129">
        <f t="shared" ref="G42:J42" si="38">SUM(E39:G39)/SUM(D39:F39)-1</f>
        <v>3.9032271690462084E-2</v>
      </c>
      <c r="H42" s="129">
        <f t="shared" si="38"/>
        <v>3.8994960982679627E-2</v>
      </c>
      <c r="I42" s="129">
        <f t="shared" si="38"/>
        <v>3.5846971016052276E-2</v>
      </c>
      <c r="J42" s="129">
        <f t="shared" si="38"/>
        <v>3.4510961946708774E-2</v>
      </c>
      <c r="K42" s="129">
        <f>SUM(I39:K39)/SUM(H39:J39)-1</f>
        <v>3.7433824724830922E-2</v>
      </c>
    </row>
    <row r="43" spans="1:11">
      <c r="A43" s="127" t="s">
        <v>158</v>
      </c>
      <c r="B43" s="127"/>
      <c r="C43" s="127"/>
      <c r="D43" s="128"/>
      <c r="E43" s="128">
        <f t="shared" ref="E43:J43" si="39">E14</f>
        <v>0.2213028179639922</v>
      </c>
      <c r="F43" s="128">
        <f t="shared" si="39"/>
        <v>0.24496027905399598</v>
      </c>
      <c r="G43" s="128">
        <f t="shared" si="39"/>
        <v>0.2275806019042268</v>
      </c>
      <c r="H43" s="128">
        <f t="shared" si="39"/>
        <v>0.17670399564346506</v>
      </c>
      <c r="I43" s="128">
        <f t="shared" si="39"/>
        <v>0.18160535015724499</v>
      </c>
      <c r="J43" s="128">
        <f t="shared" si="39"/>
        <v>0.13759170859432968</v>
      </c>
      <c r="K43" s="128">
        <f>K14</f>
        <v>0.1424200325115561</v>
      </c>
    </row>
    <row r="44" spans="1:11">
      <c r="A44" t="s">
        <v>159</v>
      </c>
      <c r="G44" s="129">
        <f t="shared" ref="G44:J44" si="40">SUM(C39:G39)/SUM(B39:F39)-1</f>
        <v>3.3066368139944791E-2</v>
      </c>
      <c r="H44" s="129">
        <f t="shared" si="40"/>
        <v>3.9715012001093841E-2</v>
      </c>
      <c r="I44" s="129">
        <f t="shared" si="40"/>
        <v>3.5731157920370293E-2</v>
      </c>
      <c r="J44" s="129">
        <f t="shared" si="40"/>
        <v>3.6680887231586246E-2</v>
      </c>
      <c r="K44" s="129">
        <f>SUM(G39:K39)/SUM(F39:J39)-1</f>
        <v>3.8800340353265961E-2</v>
      </c>
    </row>
    <row r="45" spans="1:11">
      <c r="A45" s="127" t="s">
        <v>160</v>
      </c>
      <c r="B45" s="127"/>
      <c r="C45" s="127"/>
      <c r="D45" s="127"/>
      <c r="E45" s="128"/>
      <c r="F45" s="128"/>
      <c r="G45" s="128">
        <f t="shared" ref="G45:J45" si="41">G15</f>
        <v>0.19417026740336829</v>
      </c>
      <c r="H45" s="128">
        <f t="shared" si="41"/>
        <v>0.20755015907712915</v>
      </c>
      <c r="I45" s="128">
        <f t="shared" si="41"/>
        <v>0.20886126835605867</v>
      </c>
      <c r="J45" s="128">
        <f t="shared" si="41"/>
        <v>0.14767502767489371</v>
      </c>
      <c r="K45" s="128">
        <f>K15</f>
        <v>0.15213203462696412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41"/>
  <sheetViews>
    <sheetView topLeftCell="A4" workbookViewId="0">
      <selection activeCell="L11" sqref="L11"/>
    </sheetView>
  </sheetViews>
  <sheetFormatPr defaultRowHeight="15"/>
  <cols>
    <col min="1" max="1" width="37.42578125" bestFit="1" customWidth="1"/>
    <col min="12" max="12" width="9.5703125" bestFit="1" customWidth="1"/>
  </cols>
  <sheetData>
    <row r="1" spans="1:16">
      <c r="A1" s="10" t="s">
        <v>37</v>
      </c>
      <c r="B1" s="131">
        <f>'Company Analysis'!B2</f>
        <v>39872</v>
      </c>
      <c r="C1" s="131">
        <f>'Company Analysis'!C2</f>
        <v>40237</v>
      </c>
      <c r="D1" s="131">
        <f>'Company Analysis'!D2</f>
        <v>40602</v>
      </c>
      <c r="E1" s="131">
        <f>'Company Analysis'!E2</f>
        <v>40967</v>
      </c>
      <c r="F1" s="131">
        <f>'Company Analysis'!F2</f>
        <v>41333</v>
      </c>
      <c r="G1" s="131">
        <f>'Company Analysis'!G2</f>
        <v>41698</v>
      </c>
      <c r="H1" s="131">
        <f>'Company Analysis'!H2</f>
        <v>42063</v>
      </c>
      <c r="I1" s="131">
        <f>'Company Analysis'!I2</f>
        <v>42428</v>
      </c>
      <c r="J1" s="131">
        <f>'Company Analysis'!J2</f>
        <v>42794</v>
      </c>
      <c r="K1" s="131">
        <f>'Company Analysis'!K2</f>
        <v>43159</v>
      </c>
      <c r="L1" s="131">
        <f>'Graphing Data'!K1+365</f>
        <v>43524</v>
      </c>
      <c r="M1" s="131">
        <f>'Graphing Data'!L1+365</f>
        <v>43889</v>
      </c>
      <c r="N1" s="131">
        <f>'Graphing Data'!M1+365</f>
        <v>44254</v>
      </c>
      <c r="O1" s="131">
        <f>'Graphing Data'!N1+365</f>
        <v>44619</v>
      </c>
      <c r="P1" s="131">
        <f>'Graphing Data'!O1+365</f>
        <v>44984</v>
      </c>
    </row>
    <row r="2" spans="1:16">
      <c r="A2" t="s">
        <v>163</v>
      </c>
      <c r="B2" s="17">
        <f>'Company Analysis'!B3</f>
        <v>652.572</v>
      </c>
      <c r="C2" s="17">
        <f>'Company Analysis'!C3</f>
        <v>748.23599999999999</v>
      </c>
      <c r="D2" s="17">
        <f>'Company Analysis'!D3</f>
        <v>909.27700000000004</v>
      </c>
      <c r="E2" s="17">
        <f>'Company Analysis'!E3</f>
        <v>1133.1030000000001</v>
      </c>
      <c r="F2" s="17">
        <f>'Company Analysis'!F3</f>
        <v>1328.817</v>
      </c>
      <c r="G2" s="17">
        <f>'Company Analysis'!G3</f>
        <v>1534.615</v>
      </c>
      <c r="H2" s="17">
        <f>'Company Analysis'!H3</f>
        <v>1789.489</v>
      </c>
      <c r="I2" s="17">
        <f>'Company Analysis'!I3</f>
        <v>2052.23</v>
      </c>
      <c r="J2" s="17">
        <f>'Company Analysis'!J3</f>
        <v>2411.8029999999999</v>
      </c>
      <c r="K2" s="17">
        <f>'Company Analysis'!K3</f>
        <v>2920.4609999999998</v>
      </c>
      <c r="L2" s="17"/>
      <c r="M2" s="17"/>
      <c r="N2" s="17"/>
      <c r="O2" s="17"/>
      <c r="P2" s="17"/>
    </row>
    <row r="3" spans="1:16">
      <c r="A3" t="s">
        <v>164</v>
      </c>
      <c r="L3" s="17">
        <f>$K$2*(1+'Valuation Model'!C8)</f>
        <v>3504.5531999999998</v>
      </c>
      <c r="M3" s="17">
        <f>L3*(1+'Valuation Model'!D8)</f>
        <v>4205.4638399999994</v>
      </c>
      <c r="N3" s="17">
        <f>M3*(1+'Valuation Model'!E8)</f>
        <v>5046.556607999999</v>
      </c>
      <c r="O3" s="17">
        <f>N3*(1+'Valuation Model'!F8)</f>
        <v>6055.8679295999982</v>
      </c>
      <c r="P3" s="17">
        <f>O3*(1+'Valuation Model'!G8)</f>
        <v>7267.041515519998</v>
      </c>
    </row>
    <row r="4" spans="1:16">
      <c r="A4" t="s">
        <v>165</v>
      </c>
      <c r="L4" s="17">
        <f>$K$2*(1+'Valuation Model'!C9)</f>
        <v>3358.5301499999996</v>
      </c>
      <c r="M4" s="17">
        <f>L4*(1+'Valuation Model'!D9)</f>
        <v>3862.3096724999991</v>
      </c>
      <c r="N4" s="17">
        <f>M4*(1+'Valuation Model'!E9)</f>
        <v>4441.656123374999</v>
      </c>
      <c r="O4" s="17">
        <f>N4*(1+'Valuation Model'!F9)</f>
        <v>5107.9045418812484</v>
      </c>
      <c r="P4" s="17">
        <f>O4*(1+'Valuation Model'!G9)</f>
        <v>5874.0902231634354</v>
      </c>
    </row>
    <row r="5" spans="1:16">
      <c r="A5" t="s">
        <v>166</v>
      </c>
      <c r="C5" s="20">
        <f>C2/B2-1</f>
        <v>0.14659531821775995</v>
      </c>
      <c r="D5" s="20">
        <f t="shared" ref="D5:K5" si="0">D2/C2-1</f>
        <v>0.21522754852746995</v>
      </c>
      <c r="E5" s="20">
        <f t="shared" si="0"/>
        <v>0.24615821141412364</v>
      </c>
      <c r="F5" s="20">
        <f t="shared" si="0"/>
        <v>0.1727239271275427</v>
      </c>
      <c r="G5" s="20">
        <f t="shared" si="0"/>
        <v>0.15487309388726955</v>
      </c>
      <c r="H5" s="20">
        <f t="shared" si="0"/>
        <v>0.16608334989557649</v>
      </c>
      <c r="I5" s="20">
        <f t="shared" si="0"/>
        <v>0.14682459629536693</v>
      </c>
      <c r="J5" s="20">
        <f t="shared" si="0"/>
        <v>0.17521086817754328</v>
      </c>
      <c r="K5" s="20">
        <f t="shared" si="0"/>
        <v>0.21090362687168063</v>
      </c>
    </row>
    <row r="6" spans="1:16">
      <c r="A6" t="s">
        <v>167</v>
      </c>
      <c r="K6" s="98">
        <f>K5</f>
        <v>0.21090362687168063</v>
      </c>
      <c r="L6" s="98">
        <f>'Valuation Model'!C8</f>
        <v>0.2</v>
      </c>
      <c r="M6" s="98">
        <f>'Valuation Model'!D8</f>
        <v>0.2</v>
      </c>
      <c r="N6" s="98">
        <f>'Valuation Model'!E8</f>
        <v>0.2</v>
      </c>
      <c r="O6" s="98">
        <f>'Valuation Model'!F8</f>
        <v>0.2</v>
      </c>
      <c r="P6" s="98">
        <f>'Valuation Model'!G8</f>
        <v>0.2</v>
      </c>
    </row>
    <row r="7" spans="1:16">
      <c r="A7" t="s">
        <v>168</v>
      </c>
      <c r="K7" s="98">
        <f>K5</f>
        <v>0.21090362687168063</v>
      </c>
      <c r="L7" s="98">
        <f>'Valuation Model'!C9</f>
        <v>0.15</v>
      </c>
      <c r="M7" s="98">
        <f>'Valuation Model'!D9</f>
        <v>0.15</v>
      </c>
      <c r="N7" s="98">
        <f>'Valuation Model'!E9</f>
        <v>0.15</v>
      </c>
      <c r="O7" s="98">
        <f>'Valuation Model'!F9</f>
        <v>0.15</v>
      </c>
      <c r="P7" s="98">
        <f>'Valuation Model'!G9</f>
        <v>0.15</v>
      </c>
    </row>
    <row r="9" spans="1:16">
      <c r="A9" s="10" t="s">
        <v>71</v>
      </c>
      <c r="B9" s="131">
        <f>B1</f>
        <v>39872</v>
      </c>
      <c r="C9" s="131">
        <f t="shared" ref="C9:P9" si="1">C1</f>
        <v>40237</v>
      </c>
      <c r="D9" s="131">
        <f t="shared" si="1"/>
        <v>40602</v>
      </c>
      <c r="E9" s="131">
        <f t="shared" si="1"/>
        <v>40967</v>
      </c>
      <c r="F9" s="131">
        <f t="shared" si="1"/>
        <v>41333</v>
      </c>
      <c r="G9" s="131">
        <f t="shared" si="1"/>
        <v>41698</v>
      </c>
      <c r="H9" s="131">
        <f t="shared" si="1"/>
        <v>42063</v>
      </c>
      <c r="I9" s="131">
        <f t="shared" si="1"/>
        <v>42428</v>
      </c>
      <c r="J9" s="131">
        <f t="shared" si="1"/>
        <v>42794</v>
      </c>
      <c r="K9" s="131">
        <f t="shared" si="1"/>
        <v>43159</v>
      </c>
      <c r="L9" s="131">
        <f t="shared" si="1"/>
        <v>43524</v>
      </c>
      <c r="M9" s="131">
        <f t="shared" si="1"/>
        <v>43889</v>
      </c>
      <c r="N9" s="131">
        <f t="shared" si="1"/>
        <v>44254</v>
      </c>
      <c r="O9" s="131">
        <f t="shared" si="1"/>
        <v>44619</v>
      </c>
      <c r="P9" s="131">
        <f t="shared" si="1"/>
        <v>44984</v>
      </c>
    </row>
    <row r="10" spans="1:16">
      <c r="A10" t="s">
        <v>169</v>
      </c>
      <c r="B10" s="17">
        <f>'Company Analysis'!B11</f>
        <v>196.03479999999999</v>
      </c>
      <c r="C10" s="17">
        <f>'Company Analysis'!C11</f>
        <v>208.4051</v>
      </c>
      <c r="D10" s="17">
        <f>'Company Analysis'!D11</f>
        <v>241.73939999999999</v>
      </c>
      <c r="E10" s="17">
        <f>'Company Analysis'!E11</f>
        <v>339.03609999999998</v>
      </c>
      <c r="F10" s="17">
        <f>'Company Analysis'!F11</f>
        <v>401.72300000000001</v>
      </c>
      <c r="G10" s="17">
        <f>'Company Analysis'!G11</f>
        <v>465.33699999999999</v>
      </c>
      <c r="H10" s="17">
        <f>'Company Analysis'!H11</f>
        <v>552.15809999999999</v>
      </c>
      <c r="I10" s="17">
        <f>'Company Analysis'!I11</f>
        <v>659.4606</v>
      </c>
      <c r="J10" s="17">
        <f>'Company Analysis'!J11</f>
        <v>696.07219999999995</v>
      </c>
      <c r="K10" s="17">
        <f>'Company Analysis'!K11</f>
        <v>823.85149999999999</v>
      </c>
    </row>
    <row r="11" spans="1:16">
      <c r="A11" t="s">
        <v>170</v>
      </c>
      <c r="L11" s="18">
        <f>'Valuation Model'!C10*'Graphing Data'!L3</f>
        <v>1086.411492</v>
      </c>
      <c r="M11" s="18">
        <f>'Valuation Model'!D10*'Graphing Data'!M3</f>
        <v>1303.6937903999999</v>
      </c>
      <c r="N11" s="18">
        <f>'Valuation Model'!E10*'Graphing Data'!N3</f>
        <v>1564.4325484799997</v>
      </c>
      <c r="O11" s="18">
        <f>'Valuation Model'!F10*'Graphing Data'!O3</f>
        <v>1877.3190581759995</v>
      </c>
      <c r="P11" s="18">
        <f>'Valuation Model'!G10*'Graphing Data'!P3</f>
        <v>2252.7828698111994</v>
      </c>
    </row>
    <row r="12" spans="1:16">
      <c r="A12" t="s">
        <v>171</v>
      </c>
      <c r="L12" s="18">
        <f>'Valuation Model'!C11*'Graphing Data'!L4</f>
        <v>940.38844199999994</v>
      </c>
      <c r="M12" s="18">
        <f>'Valuation Model'!D11*'Graphing Data'!M4</f>
        <v>1081.4467083</v>
      </c>
      <c r="N12" s="18">
        <f>'Valuation Model'!E11*'Graphing Data'!N4</f>
        <v>1243.6637145449997</v>
      </c>
      <c r="O12" s="18">
        <f>'Valuation Model'!F11*'Graphing Data'!O4</f>
        <v>1430.2132717267498</v>
      </c>
      <c r="P12" s="18">
        <f>'Valuation Model'!G11*'Graphing Data'!P4</f>
        <v>1644.7452624857622</v>
      </c>
    </row>
    <row r="13" spans="1:16">
      <c r="A13" t="s">
        <v>172</v>
      </c>
      <c r="B13" s="20">
        <f>B10/B2</f>
        <v>0.30040332714244555</v>
      </c>
      <c r="C13" s="20">
        <f t="shared" ref="C13:K13" si="2">C10/C2</f>
        <v>0.27852856585355423</v>
      </c>
      <c r="D13" s="20">
        <f t="shared" si="2"/>
        <v>0.2658589186793463</v>
      </c>
      <c r="E13" s="20">
        <f t="shared" si="2"/>
        <v>0.29921031009537524</v>
      </c>
      <c r="F13" s="20">
        <f t="shared" si="2"/>
        <v>0.30231627078822743</v>
      </c>
      <c r="G13" s="20">
        <f t="shared" si="2"/>
        <v>0.30322719379127661</v>
      </c>
      <c r="H13" s="20">
        <f t="shared" si="2"/>
        <v>0.30855629735639617</v>
      </c>
      <c r="I13" s="20">
        <f t="shared" si="2"/>
        <v>0.32133854392538846</v>
      </c>
      <c r="J13" s="20">
        <f t="shared" si="2"/>
        <v>0.28861071986393583</v>
      </c>
      <c r="K13" s="20">
        <f t="shared" si="2"/>
        <v>0.28209638820720428</v>
      </c>
    </row>
    <row r="14" spans="1:16">
      <c r="A14" t="s">
        <v>173</v>
      </c>
      <c r="K14" s="98">
        <f>K13</f>
        <v>0.28209638820720428</v>
      </c>
      <c r="L14" s="98">
        <f>'Valuation Model'!C10</f>
        <v>0.31</v>
      </c>
      <c r="M14" s="98">
        <f>'Valuation Model'!D10</f>
        <v>0.31</v>
      </c>
      <c r="N14" s="98">
        <f>'Valuation Model'!E10</f>
        <v>0.31</v>
      </c>
      <c r="O14" s="98">
        <f>'Valuation Model'!F10</f>
        <v>0.31</v>
      </c>
      <c r="P14" s="98">
        <f>'Valuation Model'!G10</f>
        <v>0.31</v>
      </c>
    </row>
    <row r="15" spans="1:16">
      <c r="A15" t="s">
        <v>174</v>
      </c>
      <c r="K15" s="98">
        <f>K13</f>
        <v>0.28209638820720428</v>
      </c>
      <c r="L15" s="98">
        <f>'Valuation Model'!C11</f>
        <v>0.28000000000000003</v>
      </c>
      <c r="M15" s="98">
        <f>'Valuation Model'!D11</f>
        <v>0.28000000000000003</v>
      </c>
      <c r="N15" s="98">
        <f>'Valuation Model'!E11</f>
        <v>0.28000000000000003</v>
      </c>
      <c r="O15" s="98">
        <f>'Valuation Model'!F11</f>
        <v>0.28000000000000003</v>
      </c>
      <c r="P15" s="98">
        <f>'Valuation Model'!G11</f>
        <v>0.28000000000000003</v>
      </c>
    </row>
    <row r="17" spans="1:16">
      <c r="A17" s="10" t="s">
        <v>175</v>
      </c>
      <c r="B17" s="131">
        <f>B9</f>
        <v>39872</v>
      </c>
      <c r="C17" s="131">
        <f t="shared" ref="C17:K17" si="3">C9</f>
        <v>40237</v>
      </c>
      <c r="D17" s="131">
        <f t="shared" si="3"/>
        <v>40602</v>
      </c>
      <c r="E17" s="131">
        <f t="shared" si="3"/>
        <v>40967</v>
      </c>
      <c r="F17" s="131">
        <f t="shared" si="3"/>
        <v>41333</v>
      </c>
      <c r="G17" s="131">
        <f t="shared" si="3"/>
        <v>41698</v>
      </c>
      <c r="H17" s="131">
        <f t="shared" si="3"/>
        <v>42063</v>
      </c>
      <c r="I17" s="131">
        <f t="shared" si="3"/>
        <v>42428</v>
      </c>
      <c r="J17" s="131">
        <f t="shared" si="3"/>
        <v>42794</v>
      </c>
      <c r="K17" s="131">
        <f t="shared" si="3"/>
        <v>43159</v>
      </c>
    </row>
    <row r="18" spans="1:16">
      <c r="A18" t="s">
        <v>137</v>
      </c>
      <c r="B18" s="18">
        <f>B10</f>
        <v>196.03479999999999</v>
      </c>
      <c r="C18" s="18">
        <f t="shared" ref="C18:K18" si="4">C10</f>
        <v>208.4051</v>
      </c>
      <c r="D18" s="18">
        <f t="shared" si="4"/>
        <v>241.73939999999999</v>
      </c>
      <c r="E18" s="18">
        <f t="shared" si="4"/>
        <v>339.03609999999998</v>
      </c>
      <c r="F18" s="18">
        <f t="shared" si="4"/>
        <v>401.72300000000001</v>
      </c>
      <c r="G18" s="18">
        <f t="shared" si="4"/>
        <v>465.33699999999999</v>
      </c>
      <c r="H18" s="18">
        <f t="shared" si="4"/>
        <v>552.15809999999999</v>
      </c>
      <c r="I18" s="18">
        <f t="shared" si="4"/>
        <v>659.4606</v>
      </c>
      <c r="J18" s="18">
        <f t="shared" si="4"/>
        <v>696.07219999999995</v>
      </c>
      <c r="K18" s="18">
        <f t="shared" si="4"/>
        <v>823.85149999999999</v>
      </c>
    </row>
    <row r="19" spans="1:16">
      <c r="A19" t="s">
        <v>176</v>
      </c>
      <c r="B19" s="18">
        <f>-'Company Analysis'!B28</f>
        <v>105.29347715268227</v>
      </c>
      <c r="C19" s="18">
        <f>-'Company Analysis'!C28</f>
        <v>19.467605874856662</v>
      </c>
      <c r="D19" s="18">
        <f>-'Company Analysis'!D28</f>
        <v>241.5643684506401</v>
      </c>
      <c r="E19" s="18">
        <f>-'Company Analysis'!E28</f>
        <v>250.61541948168565</v>
      </c>
      <c r="F19" s="18">
        <f>-'Company Analysis'!F28</f>
        <v>340.46832954573273</v>
      </c>
      <c r="G19" s="18">
        <f>-'Company Analysis'!G28</f>
        <v>130.51163895556823</v>
      </c>
      <c r="H19" s="18">
        <f>-'Company Analysis'!H28</f>
        <v>432.47960300109685</v>
      </c>
      <c r="I19" s="18">
        <f>-'Company Analysis'!I28</f>
        <v>305.79293098152652</v>
      </c>
      <c r="J19" s="18">
        <f>-'Company Analysis'!J28</f>
        <v>209.83184403907387</v>
      </c>
      <c r="K19" s="18">
        <f>-'Company Analysis'!K28</f>
        <v>540.21674802277789</v>
      </c>
    </row>
    <row r="21" spans="1:16">
      <c r="A21" s="10" t="s">
        <v>177</v>
      </c>
      <c r="B21" s="131">
        <f>B17</f>
        <v>39872</v>
      </c>
      <c r="C21" s="131">
        <f t="shared" ref="C21:K21" si="5">C17</f>
        <v>40237</v>
      </c>
      <c r="D21" s="131">
        <f t="shared" si="5"/>
        <v>40602</v>
      </c>
      <c r="E21" s="131">
        <f t="shared" si="5"/>
        <v>40967</v>
      </c>
      <c r="F21" s="131">
        <f t="shared" si="5"/>
        <v>41333</v>
      </c>
      <c r="G21" s="131">
        <f t="shared" si="5"/>
        <v>41698</v>
      </c>
      <c r="H21" s="131">
        <f t="shared" si="5"/>
        <v>42063</v>
      </c>
      <c r="I21" s="131">
        <f t="shared" si="5"/>
        <v>42428</v>
      </c>
      <c r="J21" s="131">
        <f t="shared" si="5"/>
        <v>42794</v>
      </c>
      <c r="K21" s="131">
        <f t="shared" si="5"/>
        <v>43159</v>
      </c>
    </row>
    <row r="22" spans="1:16">
      <c r="A22" t="str">
        <f>'Company Analysis'!A19</f>
        <v>Capex in Excess of Maintenance</v>
      </c>
      <c r="B22" s="18">
        <f>-'Company Analysis'!B19</f>
        <v>-11.987200000000001</v>
      </c>
      <c r="C22" s="18">
        <f>-'Company Analysis'!C19</f>
        <v>-13.731899999999989</v>
      </c>
      <c r="D22" s="18">
        <f>-'Company Analysis'!D19</f>
        <v>-2.1566000000000045</v>
      </c>
      <c r="E22" s="18">
        <f>-'Company Analysis'!E19</f>
        <v>-1.228900000000003</v>
      </c>
      <c r="F22" s="18">
        <f>-'Company Analysis'!F19</f>
        <v>56.463999999999984</v>
      </c>
      <c r="G22" s="18">
        <f>-'Company Analysis'!G19</f>
        <v>22.315999999999946</v>
      </c>
      <c r="H22" s="18">
        <f>-'Company Analysis'!H19</f>
        <v>-24.472900000000053</v>
      </c>
      <c r="I22" s="18">
        <f>-'Company Analysis'!I19</f>
        <v>-21.345399999999977</v>
      </c>
      <c r="J22" s="18">
        <f>-'Company Analysis'!J19</f>
        <v>-6.7478000000000264</v>
      </c>
      <c r="K22" s="18">
        <f>-'Company Analysis'!K19</f>
        <v>2.4004999999999512</v>
      </c>
    </row>
    <row r="23" spans="1:16">
      <c r="A23" t="s">
        <v>179</v>
      </c>
      <c r="B23" s="18">
        <f>-'Company Analysis'!B20</f>
        <v>0</v>
      </c>
      <c r="C23" s="18">
        <f>-'Company Analysis'!C20</f>
        <v>-13.053000000000001</v>
      </c>
      <c r="D23" s="18">
        <f>-'Company Analysis'!D20</f>
        <v>-3.9380000000000002</v>
      </c>
      <c r="E23" s="18">
        <f>-'Company Analysis'!E20</f>
        <v>-1.9790000000000001</v>
      </c>
      <c r="F23" s="18">
        <f>-'Company Analysis'!F20</f>
        <v>0</v>
      </c>
      <c r="G23" s="18">
        <f>-'Company Analysis'!G20</f>
        <v>0</v>
      </c>
      <c r="H23" s="18">
        <f>-'Company Analysis'!H20</f>
        <v>0</v>
      </c>
      <c r="I23" s="18">
        <f>-'Company Analysis'!I20</f>
        <v>-0.75</v>
      </c>
      <c r="J23" s="18">
        <f>-'Company Analysis'!J20</f>
        <v>0</v>
      </c>
      <c r="K23" s="18">
        <f>-'Company Analysis'!K20</f>
        <v>-14.204000000000001</v>
      </c>
    </row>
    <row r="24" spans="1:16">
      <c r="A24" t="s">
        <v>180</v>
      </c>
      <c r="B24" s="18">
        <f>-'Company Analysis'!B21</f>
        <v>148.13999999999999</v>
      </c>
      <c r="C24" s="18">
        <f>-'Company Analysis'!C21</f>
        <v>0</v>
      </c>
      <c r="D24" s="18">
        <f>-'Company Analysis'!D21</f>
        <v>31.381</v>
      </c>
      <c r="E24" s="18">
        <f>-'Company Analysis'!E21</f>
        <v>135.21</v>
      </c>
      <c r="F24" s="18">
        <f>-'Company Analysis'!F21</f>
        <v>135.501</v>
      </c>
      <c r="G24" s="18">
        <f>-'Company Analysis'!G21</f>
        <v>0</v>
      </c>
      <c r="H24" s="18">
        <f>-'Company Analysis'!H21</f>
        <v>296.12099999999998</v>
      </c>
      <c r="I24" s="18">
        <f>-'Company Analysis'!I21</f>
        <v>126.459</v>
      </c>
      <c r="J24" s="18">
        <f>-'Company Analysis'!J21</f>
        <v>28.667000000000002</v>
      </c>
      <c r="K24" s="18">
        <f>-'Company Analysis'!K21</f>
        <v>315.08100000000002</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-30.859322847317721</v>
      </c>
      <c r="C27" s="18">
        <f>-'Company Analysis'!C27</f>
        <v>46.252505874856652</v>
      </c>
      <c r="D27" s="18">
        <f>-'Company Analysis'!D27</f>
        <v>216.27796845064012</v>
      </c>
      <c r="E27" s="18">
        <f>-'Company Analysis'!E27</f>
        <v>118.61331948168564</v>
      </c>
      <c r="F27" s="18">
        <f>-'Company Analysis'!F27</f>
        <v>148.50332954573275</v>
      </c>
      <c r="G27" s="18">
        <f>-'Company Analysis'!G27</f>
        <v>108.19563895556828</v>
      </c>
      <c r="H27" s="18">
        <f>-'Company Analysis'!H27</f>
        <v>160.83150300109691</v>
      </c>
      <c r="I27" s="18">
        <f>-'Company Analysis'!I27</f>
        <v>201.4293309815265</v>
      </c>
      <c r="J27" s="18">
        <f>-'Company Analysis'!J27</f>
        <v>187.91264403907388</v>
      </c>
      <c r="K27" s="18">
        <f>-'Company Analysis'!K27</f>
        <v>236.93924802277797</v>
      </c>
    </row>
    <row r="29" spans="1:16">
      <c r="A29" s="10" t="s">
        <v>73</v>
      </c>
      <c r="B29" s="131">
        <f>B1</f>
        <v>39872</v>
      </c>
      <c r="C29" s="131">
        <f t="shared" ref="C29:P29" si="6">C1</f>
        <v>40237</v>
      </c>
      <c r="D29" s="131">
        <f t="shared" si="6"/>
        <v>40602</v>
      </c>
      <c r="E29" s="131">
        <f t="shared" si="6"/>
        <v>40967</v>
      </c>
      <c r="F29" s="131">
        <f t="shared" si="6"/>
        <v>41333</v>
      </c>
      <c r="G29" s="131">
        <f t="shared" si="6"/>
        <v>41698</v>
      </c>
      <c r="H29" s="131">
        <f t="shared" si="6"/>
        <v>42063</v>
      </c>
      <c r="I29" s="131">
        <f t="shared" si="6"/>
        <v>42428</v>
      </c>
      <c r="J29" s="131">
        <f t="shared" si="6"/>
        <v>42794</v>
      </c>
      <c r="K29" s="131">
        <f t="shared" si="6"/>
        <v>43159</v>
      </c>
      <c r="L29" s="131">
        <f t="shared" si="6"/>
        <v>43524</v>
      </c>
      <c r="M29" s="131">
        <f t="shared" si="6"/>
        <v>43889</v>
      </c>
      <c r="N29" s="131">
        <f t="shared" si="6"/>
        <v>44254</v>
      </c>
      <c r="O29" s="131">
        <f t="shared" si="6"/>
        <v>44619</v>
      </c>
      <c r="P29" s="131">
        <f t="shared" si="6"/>
        <v>44984</v>
      </c>
    </row>
    <row r="30" spans="1:16">
      <c r="A30" t="s">
        <v>183</v>
      </c>
      <c r="B30" s="18">
        <f>'Company Analysis'!B32</f>
        <v>90.741322847317718</v>
      </c>
      <c r="C30" s="18">
        <f>'Company Analysis'!C32</f>
        <v>188.93749412514333</v>
      </c>
      <c r="D30" s="18">
        <f>'Company Analysis'!D32</f>
        <v>0.17503154935988618</v>
      </c>
      <c r="E30" s="18">
        <f>'Company Analysis'!E32</f>
        <v>88.420680518314327</v>
      </c>
      <c r="F30" s="18">
        <f>'Company Analysis'!F32</f>
        <v>61.254670454267284</v>
      </c>
      <c r="G30" s="18">
        <f>'Company Analysis'!G32</f>
        <v>334.82536104443176</v>
      </c>
      <c r="H30" s="18">
        <f>'Company Analysis'!H32</f>
        <v>119.67849699890314</v>
      </c>
      <c r="I30" s="18">
        <f>'Company Analysis'!I32</f>
        <v>353.66766901847348</v>
      </c>
      <c r="J30" s="18">
        <f>'Company Analysis'!J32</f>
        <v>486.24035596092608</v>
      </c>
      <c r="K30" s="18">
        <f>'Company Analysis'!K32</f>
        <v>283.63475197722209</v>
      </c>
    </row>
    <row r="31" spans="1:16">
      <c r="A31" t="s">
        <v>184</v>
      </c>
      <c r="L31" s="18">
        <f>IF('Valuation Model'!$B$12=1,L11*(1-'Valuation Model'!C12),L11+'Valuation Model'!C13)</f>
        <v>543.20574599999998</v>
      </c>
      <c r="M31" s="18">
        <f>IF('Valuation Model'!$B$12=1,M11*(1-'Valuation Model'!D12),M11+'Valuation Model'!D13)</f>
        <v>651.84689519999995</v>
      </c>
      <c r="N31" s="18">
        <f>IF('Valuation Model'!$B$12=1,N11*(1-'Valuation Model'!E12),N11+'Valuation Model'!E13)</f>
        <v>782.21627423999985</v>
      </c>
      <c r="O31" s="18">
        <f>IF('Valuation Model'!$B$12=1,O11*(1-'Valuation Model'!F12),O11+'Valuation Model'!F13)</f>
        <v>938.65952908799977</v>
      </c>
      <c r="P31" s="18">
        <f>IF('Valuation Model'!$B$12=1,P11*(1-'Valuation Model'!G12),P11+'Valuation Model'!G13)</f>
        <v>1126.3914349055997</v>
      </c>
    </row>
    <row r="32" spans="1:16">
      <c r="A32" t="s">
        <v>185</v>
      </c>
      <c r="L32" s="18">
        <f>IF('Valuation Model'!$B$12=1,L12*(1-'Valuation Model'!C12),L12+'Valuation Model'!C13)</f>
        <v>470.19422099999997</v>
      </c>
      <c r="M32" s="18">
        <f>IF('Valuation Model'!$B$12=1,M12*(1-'Valuation Model'!D12),M12+'Valuation Model'!D13)</f>
        <v>540.72335414999998</v>
      </c>
      <c r="N32" s="18">
        <f>IF('Valuation Model'!$B$12=1,N12*(1-'Valuation Model'!E12),N12+'Valuation Model'!E13)</f>
        <v>621.83185727249986</v>
      </c>
      <c r="O32" s="18">
        <f>IF('Valuation Model'!$B$12=1,O12*(1-'Valuation Model'!F12),O12+'Valuation Model'!F13)</f>
        <v>715.10663586337489</v>
      </c>
      <c r="P32" s="18">
        <f>IF('Valuation Model'!$B$12=1,P12*(1-'Valuation Model'!G12),P12+'Valuation Model'!G13)</f>
        <v>822.37263124288108</v>
      </c>
    </row>
    <row r="33" spans="1:16">
      <c r="A33" t="s">
        <v>186</v>
      </c>
      <c r="B33" s="20">
        <f t="shared" ref="B33:J33" si="7">B30/B2</f>
        <v>0.13905181780296691</v>
      </c>
      <c r="C33" s="20">
        <f t="shared" si="7"/>
        <v>0.25251056367929814</v>
      </c>
      <c r="D33" s="20">
        <f t="shared" si="7"/>
        <v>1.9249530050786083E-4</v>
      </c>
      <c r="E33" s="20">
        <f t="shared" si="7"/>
        <v>7.8034106800806566E-2</v>
      </c>
      <c r="F33" s="20">
        <f t="shared" si="7"/>
        <v>4.6097145396444571E-2</v>
      </c>
      <c r="G33" s="20">
        <f t="shared" si="7"/>
        <v>0.21818199420990395</v>
      </c>
      <c r="H33" s="20">
        <f t="shared" si="7"/>
        <v>6.6878587685592447E-2</v>
      </c>
      <c r="I33" s="20">
        <f t="shared" si="7"/>
        <v>0.1723333490975541</v>
      </c>
      <c r="J33" s="20">
        <f t="shared" si="7"/>
        <v>0.20160865375858894</v>
      </c>
      <c r="K33" s="20">
        <f>K30/K2</f>
        <v>9.7119856069717111E-2</v>
      </c>
    </row>
    <row r="34" spans="1:16">
      <c r="A34" t="s">
        <v>187</v>
      </c>
      <c r="K34" s="98">
        <f>K33</f>
        <v>9.7119856069717111E-2</v>
      </c>
      <c r="L34" s="132">
        <f>(1-'Valuation Model'!C12)*'Valuation Model'!C10</f>
        <v>0.155</v>
      </c>
      <c r="M34" s="132">
        <f>(1-'Valuation Model'!D12)*'Valuation Model'!D10</f>
        <v>0.155</v>
      </c>
      <c r="N34" s="132">
        <f>(1-'Valuation Model'!E12)*'Valuation Model'!E10</f>
        <v>0.155</v>
      </c>
      <c r="O34" s="132">
        <f>(1-'Valuation Model'!F12)*'Valuation Model'!F10</f>
        <v>0.155</v>
      </c>
      <c r="P34" s="132">
        <f>(1-'Valuation Model'!G12)*'Valuation Model'!G10</f>
        <v>0.155</v>
      </c>
    </row>
    <row r="35" spans="1:16">
      <c r="A35" t="s">
        <v>188</v>
      </c>
      <c r="K35" s="98">
        <f>K33</f>
        <v>9.7119856069717111E-2</v>
      </c>
      <c r="L35" s="132">
        <f>(1-'Valuation Model'!C12)*'Valuation Model'!C11</f>
        <v>0.14000000000000001</v>
      </c>
      <c r="M35" s="132">
        <f>(1-'Valuation Model'!D12)*'Valuation Model'!D11</f>
        <v>0.14000000000000001</v>
      </c>
      <c r="N35" s="132">
        <f>(1-'Valuation Model'!E12)*'Valuation Model'!E11</f>
        <v>0.14000000000000001</v>
      </c>
      <c r="O35" s="132">
        <f>(1-'Valuation Model'!F12)*'Valuation Model'!F11</f>
        <v>0.14000000000000001</v>
      </c>
      <c r="P35" s="132">
        <f>(1-'Valuation Model'!G12)*'Valuation Model'!G11</f>
        <v>0.14000000000000001</v>
      </c>
    </row>
    <row r="37" spans="1:16">
      <c r="A37" s="10" t="s">
        <v>153</v>
      </c>
      <c r="B37" s="131">
        <f>B1</f>
        <v>39872</v>
      </c>
      <c r="C37" s="131">
        <f t="shared" ref="C37:K37" si="8">C1</f>
        <v>40237</v>
      </c>
      <c r="D37" s="131">
        <f t="shared" si="8"/>
        <v>40602</v>
      </c>
      <c r="E37" s="131">
        <f t="shared" si="8"/>
        <v>40967</v>
      </c>
      <c r="F37" s="131">
        <f t="shared" si="8"/>
        <v>41333</v>
      </c>
      <c r="G37" s="131">
        <f t="shared" si="8"/>
        <v>41698</v>
      </c>
      <c r="H37" s="131">
        <f t="shared" si="8"/>
        <v>42063</v>
      </c>
      <c r="I37" s="131">
        <f t="shared" si="8"/>
        <v>42428</v>
      </c>
      <c r="J37" s="131">
        <f t="shared" si="8"/>
        <v>42794</v>
      </c>
      <c r="K37" s="131">
        <f t="shared" si="8"/>
        <v>43159</v>
      </c>
    </row>
    <row r="38" spans="1:16">
      <c r="A38" t="str">
        <f>ticker&amp;" Actual OCP ($, LHS)"</f>
        <v>RHT Actual OCP ($, LHS)</v>
      </c>
      <c r="B38" s="18">
        <f>B10</f>
        <v>196.03479999999999</v>
      </c>
      <c r="C38" s="18">
        <f t="shared" ref="C38:K38" si="9">C10</f>
        <v>208.4051</v>
      </c>
      <c r="D38" s="18">
        <f t="shared" si="9"/>
        <v>241.73939999999999</v>
      </c>
      <c r="E38" s="18">
        <f t="shared" si="9"/>
        <v>339.03609999999998</v>
      </c>
      <c r="F38" s="18">
        <f t="shared" si="9"/>
        <v>401.72300000000001</v>
      </c>
      <c r="G38" s="18">
        <f t="shared" si="9"/>
        <v>465.33699999999999</v>
      </c>
      <c r="H38" s="18">
        <f t="shared" si="9"/>
        <v>552.15809999999999</v>
      </c>
      <c r="I38" s="18">
        <f t="shared" si="9"/>
        <v>659.4606</v>
      </c>
      <c r="J38" s="18">
        <f t="shared" si="9"/>
        <v>696.07219999999995</v>
      </c>
      <c r="K38" s="18">
        <f t="shared" si="9"/>
        <v>823.85149999999999</v>
      </c>
    </row>
    <row r="39" spans="1:16">
      <c r="A39" t="str">
        <f>ticker&amp;" OCP if GDP-Growth ($, LHS)"</f>
        <v>RHT OCP if GDP-Growth ($, LHS)</v>
      </c>
      <c r="B39" s="18">
        <f>B38</f>
        <v>196.03479999999999</v>
      </c>
      <c r="C39" s="18">
        <f>(1+'Company Analysis'!C40)*B39</f>
        <v>196.2584563605248</v>
      </c>
      <c r="D39" s="18">
        <f>(1+'Company Analysis'!D40)*C39</f>
        <v>205.20066879909828</v>
      </c>
      <c r="E39" s="18">
        <f>(1+'Company Analysis'!E40)*D39</f>
        <v>212.67968360194914</v>
      </c>
      <c r="F39" s="18">
        <f>(1+'Company Analysis'!F40)*E39</f>
        <v>220.05225953442979</v>
      </c>
      <c r="G39" s="18">
        <f>(1+'Company Analysis'!G40)*F39</f>
        <v>230.10062782836997</v>
      </c>
      <c r="H39" s="18">
        <f>(1+'Company Analysis'!H40)*G39</f>
        <v>238.5268138447687</v>
      </c>
      <c r="I39" s="18">
        <f>(1+'Company Analysis'!I40)*H39</f>
        <v>244.73934082296097</v>
      </c>
      <c r="J39" s="18">
        <f>(1+'Company Analysis'!J40)*I39</f>
        <v>254.71960171313887</v>
      </c>
      <c r="K39" s="18">
        <f>(1+'Company Analysis'!K40)*J39</f>
        <v>266.15244329855182</v>
      </c>
    </row>
    <row r="40" spans="1:16" ht="16.5">
      <c r="A40" t="str">
        <f>ticker&amp;" - GDP Growth Difference (YoY, %, RHS)"</f>
        <v>RHT - GDP Growth Difference (YoY, %, RHS)</v>
      </c>
      <c r="B40" s="133"/>
      <c r="C40" s="98">
        <f>'Company Analysis'!C41-'Company Analysis'!C40</f>
        <v>6.1961670272192571E-2</v>
      </c>
      <c r="D40" s="98">
        <f>'Company Analysis'!D41-'Company Analysis'!D40</f>
        <v>0.11438609019953261</v>
      </c>
      <c r="E40" s="98">
        <f>'Company Analysis'!E41-'Company Analysis'!E40</f>
        <v>0.36603857833705966</v>
      </c>
      <c r="F40" s="98">
        <f>'Company Analysis'!F41-'Company Analysis'!F40</f>
        <v>0.15023225632021053</v>
      </c>
      <c r="G40" s="98">
        <f>'Company Analysis'!G41-'Company Analysis'!G40</f>
        <v>0.11268934064222313</v>
      </c>
      <c r="H40" s="98">
        <f>'Company Analysis'!H41-'Company Analysis'!H40</f>
        <v>0.14995725510420055</v>
      </c>
      <c r="I40" s="98">
        <f>'Company Analysis'!I41-'Company Analysis'!I40</f>
        <v>0.16828752453294782</v>
      </c>
      <c r="J40" s="98">
        <f>'Company Analysis'!J41-'Company Analysis'!J40</f>
        <v>1.4738349866928013E-2</v>
      </c>
      <c r="K40" s="98">
        <f>'Company Analysis'!K41-'Company Analysis'!K40</f>
        <v>0.13868787791720605</v>
      </c>
    </row>
    <row r="41" spans="1:16" ht="16.5">
      <c r="A41" t="str">
        <f>ticker&amp;" - GDP Growth Difference (3Y, %, RHS)"</f>
        <v>RHT - GDP Growth Difference (3Y, %, RHS)</v>
      </c>
      <c r="B41" s="134"/>
      <c r="C41" s="98"/>
      <c r="D41" s="98"/>
      <c r="E41" s="98">
        <f>'Company Analysis'!E43-'Company Analysis'!E42</f>
        <v>0.19344498895342555</v>
      </c>
      <c r="F41" s="98">
        <f>'Company Analysis'!F43-'Company Analysis'!F42</f>
        <v>0.20621691544555398</v>
      </c>
      <c r="G41" s="98">
        <f>'Company Analysis'!G43-'Company Analysis'!G42</f>
        <v>0.18854833021376471</v>
      </c>
      <c r="H41" s="98">
        <f>'Company Analysis'!H43-'Company Analysis'!H42</f>
        <v>0.13770903466078543</v>
      </c>
      <c r="I41" s="98">
        <f>'Company Analysis'!I43-'Company Analysis'!I42</f>
        <v>0.14575837914119272</v>
      </c>
      <c r="J41" s="98">
        <f>'Company Analysis'!J43-'Company Analysis'!J42</f>
        <v>0.1030807466476209</v>
      </c>
      <c r="K41" s="98">
        <f>'Company Analysis'!K43-'Company Analysis'!K42</f>
        <v>0.10498620778672518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55"/>
  <sheetViews>
    <sheetView zoomScale="110" zoomScaleNormal="110" workbookViewId="0">
      <selection activeCell="C5" sqref="C5"/>
    </sheetView>
  </sheetViews>
  <sheetFormatPr defaultColWidth="9.140625" defaultRowHeight="15"/>
  <cols>
    <col min="1" max="1" width="4.7109375" style="76" bestFit="1" customWidth="1"/>
    <col min="2" max="2" width="14.42578125" style="76" bestFit="1" customWidth="1"/>
    <col min="3" max="3" width="9.28515625" style="76" bestFit="1" customWidth="1"/>
    <col min="4" max="4" width="12.28515625" style="76" bestFit="1" customWidth="1"/>
    <col min="5" max="7" width="12.28515625" style="76" customWidth="1"/>
    <col min="8" max="8" width="16.140625" style="76" bestFit="1" customWidth="1"/>
    <col min="9" max="10" width="12.28515625" style="76" customWidth="1"/>
    <col min="11" max="11" width="10.85546875" style="76" bestFit="1" customWidth="1"/>
    <col min="12" max="12" width="10.5703125" style="76" bestFit="1" customWidth="1"/>
    <col min="13" max="14" width="9.140625" style="76"/>
    <col min="15" max="15" width="13.85546875" style="76" bestFit="1" customWidth="1"/>
    <col min="16" max="16384" width="9.140625" style="76"/>
  </cols>
  <sheetData>
    <row r="1" spans="1:15">
      <c r="A1" s="76" t="s">
        <v>100</v>
      </c>
      <c r="B1" s="77">
        <f ca="1">MAX(C5:C12)+10</f>
        <v>37808</v>
      </c>
      <c r="D1" s="76" t="s">
        <v>101</v>
      </c>
      <c r="E1" s="76">
        <v>5</v>
      </c>
    </row>
    <row r="2" spans="1:15">
      <c r="A2" s="76" t="s">
        <v>102</v>
      </c>
      <c r="B2" s="77">
        <f ca="1">MAX(MIN(C5:C12)-10,0)</f>
        <v>16447</v>
      </c>
    </row>
    <row r="4" spans="1:15" s="78" customFormat="1" ht="12">
      <c r="B4" s="79" t="s">
        <v>103</v>
      </c>
      <c r="C4" s="80" t="s">
        <v>104</v>
      </c>
      <c r="D4" s="78" t="s">
        <v>105</v>
      </c>
      <c r="E4" s="78" t="s">
        <v>106</v>
      </c>
      <c r="F4" s="78" t="s">
        <v>107</v>
      </c>
      <c r="G4" s="78" t="s">
        <v>108</v>
      </c>
      <c r="H4" s="78" t="s">
        <v>109</v>
      </c>
      <c r="J4" s="78" t="s">
        <v>110</v>
      </c>
      <c r="K4" s="78" t="s">
        <v>111</v>
      </c>
      <c r="L4" s="78" t="s">
        <v>56</v>
      </c>
      <c r="M4" s="78" t="s">
        <v>112</v>
      </c>
      <c r="N4" s="78" t="s">
        <v>113</v>
      </c>
      <c r="O4" s="78" t="s">
        <v>114</v>
      </c>
    </row>
    <row r="5" spans="1:15" s="78" customFormat="1" ht="12">
      <c r="A5" s="81"/>
      <c r="B5" s="87" t="str">
        <f>'Valuation Model'!I2</f>
        <v>15% | 28% | 8%</v>
      </c>
      <c r="C5" s="88">
        <f ca="1">'Valuation Model'!K2</f>
        <v>16457</v>
      </c>
      <c r="D5" s="83">
        <f t="shared" ref="D5:D12" ca="1" si="0">IF(ABS(INDEX($K$6:$K$55,MATCH(C5,$K$6:$K$55,1)+IF(C5&gt;=MAX($K$6:$K$55),0,1),1)-C5)&lt;ABS(INDEX($K$6:$K$55,MATCH(C5,$K$6:$K$55,1))-C5),INDEX($K$6:$K$55,MATCH(C5,$K$6:$K$55,1)+IF(C5&gt;=MAX($K$6:$K$55),0,1),1),INDEX($K$6:$K$55,MATCH(C5,$K$6:$K$55,1)))</f>
        <v>16635.520000000004</v>
      </c>
      <c r="E5" s="84">
        <f>IF(H5="N",5%/COUNTIF('Valuation Model'!$L$2:$L$9,"No"),IF(G5&lt;&gt;"Y",50%/(COUNTIF('Valuation Model'!$L$2:$L$9,"Yes")-COUNTIF(G$5:G$12,"Y")),45%/(COUNTIF(G$5:G$12,"Y"))))</f>
        <v>6.25E-2</v>
      </c>
      <c r="F5" s="78" t="s">
        <v>51</v>
      </c>
      <c r="G5" s="78" t="str">
        <f>IF(LEFT('Valuation Model'!L2,1)="M","Y","")</f>
        <v/>
      </c>
      <c r="H5" s="78" t="str">
        <f>IF(LEFT('Valuation Model'!L2,1)="M","Y",LEFT('Valuation Model'!L2,1))</f>
        <v>Y</v>
      </c>
      <c r="J5" s="85">
        <v>0</v>
      </c>
      <c r="K5" s="83">
        <f ca="1">$B$1*J5</f>
        <v>0</v>
      </c>
      <c r="L5" s="86" t="str">
        <f t="shared" ref="L5:L55" ca="1" si="1">IFERROR(IF(VLOOKUP(K5,$D$5:$F$16,3,FALSE)="Scenario",IF(VLOOKUP(K5,$D$5:$H$16,5,FALSE)="Y",VLOOKUP(K5,$D$5:$E$16,2,0),""),IF(VLOOKUP(K5,$D$5:$F$16,3,FALSE)&lt;&gt;"Scenario","")),"")</f>
        <v/>
      </c>
      <c r="M5" s="84" t="str">
        <f t="shared" ref="M5:M55" ca="1" si="2">IFERROR(IF(VLOOKUP(K5,$D$5:$F$16,3,FALSE)="Scenario",IF(VLOOKUP(K5,$D$5:$H$16,5,FALSE)="N",VLOOKUP(K5,$D$5:$E$16,2,0),""),IF(VLOOKUP(K5,$D$5:$F$16,3,FALSE)&lt;&gt;"Scenario","")),"")</f>
        <v/>
      </c>
      <c r="N5" s="83">
        <f ca="1">LN('Histogram Data'!K5+0.01)-LN(price)</f>
        <v>-15.022528685183811</v>
      </c>
      <c r="O5" s="83">
        <f ca="1">_xlfn.NORM.DIST(N5,0+0.03^3,AVERAGE('Valuation Model'!$K$22:$L$22),FALSE)/scaling</f>
        <v>0</v>
      </c>
    </row>
    <row r="6" spans="1:15" s="78" customFormat="1" ht="12">
      <c r="A6" s="81"/>
      <c r="B6" s="87" t="str">
        <f>'Valuation Model'!I4</f>
        <v>15% | 31% | 8%</v>
      </c>
      <c r="C6" s="88">
        <f ca="1">'Valuation Model'!K4</f>
        <v>18220</v>
      </c>
      <c r="D6" s="83">
        <f t="shared" ca="1" si="0"/>
        <v>18147.840000000007</v>
      </c>
      <c r="E6" s="84">
        <f>IF(H6="N",5%/COUNTIF('Valuation Model'!$L$2:$L$9,"No"),IF(G6&lt;&gt;"Y",50%/(COUNTIF('Valuation Model'!$L$2:$L$9,"Yes")-COUNTIF(G$5:G$12,"Y")),45%/(COUNTIF(G$5:G$12,"Y"))))</f>
        <v>6.25E-2</v>
      </c>
      <c r="F6" s="78" t="s">
        <v>51</v>
      </c>
      <c r="G6" s="78" t="str">
        <f>IF(LEFT('Valuation Model'!L4,1)="M","Y","")</f>
        <v/>
      </c>
      <c r="H6" s="78" t="str">
        <f>IF(LEFT('Valuation Model'!L4,1)="M","Y",LEFT('Valuation Model'!L4,1))</f>
        <v>Y</v>
      </c>
      <c r="J6" s="85">
        <v>0.02</v>
      </c>
      <c r="K6" s="83">
        <f ca="1">$B$1*J6</f>
        <v>756.16</v>
      </c>
      <c r="L6" s="86" t="str">
        <f t="shared" ca="1" si="1"/>
        <v/>
      </c>
      <c r="M6" s="84" t="str">
        <f t="shared" ca="1" si="2"/>
        <v/>
      </c>
      <c r="N6" s="83">
        <f ca="1">LN('Histogram Data'!K6+0.01)-LN(price)</f>
        <v>-3.7890922805702765</v>
      </c>
      <c r="O6" s="83">
        <f ca="1">_xlfn.NORM.DIST(N6,0+0.03^3,AVERAGE('Valuation Model'!$K$22:$L$22),FALSE)/scaling</f>
        <v>6.1943222628819976E-50</v>
      </c>
    </row>
    <row r="7" spans="1:15" s="78" customFormat="1" ht="12">
      <c r="A7" s="81"/>
      <c r="B7" s="87" t="str">
        <f>'Valuation Model'!I6</f>
        <v>20% | 28% | 8%</v>
      </c>
      <c r="C7" s="88">
        <f ca="1">'Valuation Model'!K6</f>
        <v>20125</v>
      </c>
      <c r="D7" s="83">
        <f t="shared" ca="1" si="0"/>
        <v>20416.320000000007</v>
      </c>
      <c r="E7" s="84">
        <f>IF(H7="N",5%/COUNTIF('Valuation Model'!$L$2:$L$9,"No"),IF(G7&lt;&gt;"Y",50%/(COUNTIF('Valuation Model'!$L$2:$L$9,"Yes")-COUNTIF(G$5:G$12,"Y")),45%/(COUNTIF(G$5:G$12,"Y"))))</f>
        <v>6.25E-2</v>
      </c>
      <c r="F7" s="78" t="s">
        <v>51</v>
      </c>
      <c r="G7" s="78" t="str">
        <f>IF(LEFT('Valuation Model'!L3,1)="M","Y","")</f>
        <v/>
      </c>
      <c r="H7" s="78" t="str">
        <f>IF(LEFT('Valuation Model'!L6,1)="M","Y",LEFT('Valuation Model'!L6,1))</f>
        <v>Y</v>
      </c>
      <c r="J7" s="85">
        <f>J6+2%</f>
        <v>0.04</v>
      </c>
      <c r="K7" s="83">
        <f t="shared" ref="K7:K55" ca="1" si="3">$B$1*J7</f>
        <v>1512.32</v>
      </c>
      <c r="L7" s="86" t="str">
        <f t="shared" ca="1" si="1"/>
        <v/>
      </c>
      <c r="M7" s="84" t="str">
        <f t="shared" ca="1" si="2"/>
        <v/>
      </c>
      <c r="N7" s="83">
        <f ca="1">LN('Histogram Data'!K7+0.01)-LN(price)</f>
        <v>-3.09595171230192</v>
      </c>
      <c r="O7" s="83">
        <f ca="1">_xlfn.NORM.DIST(N7,0+0.03^3,AVERAGE('Valuation Model'!$K$22:$L$22),FALSE)/scaling</f>
        <v>9.5921140006307133E-34</v>
      </c>
    </row>
    <row r="8" spans="1:15" s="78" customFormat="1" ht="12">
      <c r="A8" s="81"/>
      <c r="B8" s="87" t="str">
        <f>'Valuation Model'!I8</f>
        <v>20% | 31% | 8%</v>
      </c>
      <c r="C8" s="88">
        <f ca="1">'Valuation Model'!K8</f>
        <v>22281</v>
      </c>
      <c r="D8" s="83">
        <f t="shared" ca="1" si="0"/>
        <v>21928.640000000007</v>
      </c>
      <c r="E8" s="84">
        <f>IF(H8="N",5%/COUNTIF('Valuation Model'!$L$2:$L$9,"No"),IF(G8&lt;&gt;"Y",50%/(COUNTIF('Valuation Model'!$L$2:$L$9,"Yes")-COUNTIF(G$5:G$12,"Y")),45%/(COUNTIF(G$5:G$12,"Y"))))</f>
        <v>6.25E-2</v>
      </c>
      <c r="F8" s="78" t="s">
        <v>51</v>
      </c>
      <c r="G8" s="78" t="str">
        <f>IF(LEFT('Valuation Model'!L5,1)="M","Y","")</f>
        <v/>
      </c>
      <c r="H8" s="78" t="str">
        <f>IF(LEFT('Valuation Model'!L8,1)="M","Y",LEFT('Valuation Model'!L8,1))</f>
        <v>Y</v>
      </c>
      <c r="J8" s="85">
        <f t="shared" ref="J8:J55" si="4">J7+2%</f>
        <v>0.06</v>
      </c>
      <c r="K8" s="83">
        <f t="shared" ca="1" si="3"/>
        <v>2268.48</v>
      </c>
      <c r="L8" s="86" t="str">
        <f t="shared" ca="1" si="1"/>
        <v/>
      </c>
      <c r="M8" s="84" t="str">
        <f t="shared" ca="1" si="2"/>
        <v/>
      </c>
      <c r="N8" s="83">
        <f ca="1">LN('Histogram Data'!K8+0.01)-LN(price)</f>
        <v>-2.6904888083006675</v>
      </c>
      <c r="O8" s="83">
        <f ca="1">_xlfn.NORM.DIST(N8,0+0.03^3,AVERAGE('Valuation Model'!$K$22:$L$22),FALSE)/scaling</f>
        <v>8.7358925039468767E-26</v>
      </c>
    </row>
    <row r="9" spans="1:15" s="78" customFormat="1" ht="12">
      <c r="A9" s="81"/>
      <c r="B9" s="87" t="str">
        <f>'Valuation Model'!I3</f>
        <v>15% | 28% | 15%</v>
      </c>
      <c r="C9" s="88">
        <f ca="1">'Valuation Model'!K3</f>
        <v>27786</v>
      </c>
      <c r="D9" s="83">
        <f t="shared" ca="1" si="0"/>
        <v>27977.920000000013</v>
      </c>
      <c r="E9" s="84">
        <f>IF(H9="N",5%/COUNTIF('Valuation Model'!$L$2:$L$9,"No"),IF(G9&lt;&gt;"Y",50%/(COUNTIF('Valuation Model'!$L$2:$L$9,"Yes")-COUNTIF(G$5:G$12,"Y")),45%/(COUNTIF(G$5:G$12,"Y"))))</f>
        <v>6.25E-2</v>
      </c>
      <c r="F9" s="78" t="s">
        <v>51</v>
      </c>
      <c r="G9" s="78" t="str">
        <f>IF(LEFT('Valuation Model'!L6,1)="M","Y","")</f>
        <v/>
      </c>
      <c r="H9" s="78" t="str">
        <f>IF(LEFT('Valuation Model'!L3,1)="M","Y",LEFT('Valuation Model'!L3,1))</f>
        <v>Y</v>
      </c>
      <c r="J9" s="85">
        <f t="shared" si="4"/>
        <v>0.08</v>
      </c>
      <c r="K9" s="83">
        <f t="shared" ca="1" si="3"/>
        <v>3024.64</v>
      </c>
      <c r="L9" s="86" t="str">
        <f t="shared" ca="1" si="1"/>
        <v/>
      </c>
      <c r="M9" s="84" t="str">
        <f t="shared" ca="1" si="2"/>
        <v/>
      </c>
      <c r="N9" s="83">
        <f ca="1">LN('Histogram Data'!K9+0.01)-LN(price)</f>
        <v>-2.4028078379041649</v>
      </c>
      <c r="O9" s="83">
        <f ca="1">_xlfn.NORM.DIST(N9,0+0.03^3,AVERAGE('Valuation Model'!$K$22:$L$22),FALSE)/scaling</f>
        <v>8.1682058597252201E-21</v>
      </c>
    </row>
    <row r="10" spans="1:15" s="78" customFormat="1" ht="12">
      <c r="A10" s="81"/>
      <c r="B10" s="87" t="str">
        <f>'Valuation Model'!I5</f>
        <v>15% | 31% | 15%</v>
      </c>
      <c r="C10" s="88">
        <f ca="1">'Valuation Model'!K5</f>
        <v>30763</v>
      </c>
      <c r="D10" s="83">
        <f t="shared" ca="1" si="0"/>
        <v>31002.560000000016</v>
      </c>
      <c r="E10" s="84">
        <f>IF(H10="N",5%/COUNTIF('Valuation Model'!$L$2:$L$9,"No"),IF(G10&lt;&gt;"Y",50%/(COUNTIF('Valuation Model'!$L$2:$L$9,"Yes")-COUNTIF(G$5:G$12,"Y")),45%/(COUNTIF(G$5:G$12,"Y"))))</f>
        <v>6.25E-2</v>
      </c>
      <c r="F10" s="78" t="s">
        <v>51</v>
      </c>
      <c r="G10" s="78" t="str">
        <f>IF(LEFT('Valuation Model'!L8,1)="M","Y","")</f>
        <v/>
      </c>
      <c r="H10" s="78" t="str">
        <f>IF(LEFT('Valuation Model'!L5,1)="M","Y",LEFT('Valuation Model'!L5,1))</f>
        <v>Y</v>
      </c>
      <c r="J10" s="85">
        <f t="shared" si="4"/>
        <v>0.1</v>
      </c>
      <c r="K10" s="83">
        <f t="shared" ca="1" si="3"/>
        <v>3780.8</v>
      </c>
      <c r="L10" s="86" t="str">
        <f t="shared" ca="1" si="1"/>
        <v/>
      </c>
      <c r="M10" s="84" t="str">
        <f t="shared" ca="1" si="2"/>
        <v/>
      </c>
      <c r="N10" s="83">
        <f ca="1">LN('Histogram Data'!K10+0.01)-LN(price)</f>
        <v>-2.1796649478237047</v>
      </c>
      <c r="O10" s="83">
        <f ca="1">_xlfn.NORM.DIST(N10,0+0.03^3,AVERAGE('Valuation Model'!$K$22:$L$22),FALSE)/scaling</f>
        <v>2.404933240588761E-17</v>
      </c>
    </row>
    <row r="11" spans="1:15" s="78" customFormat="1" ht="12">
      <c r="A11" s="81"/>
      <c r="B11" s="87" t="str">
        <f>'Valuation Model'!I7</f>
        <v>20% | 28% | 15%</v>
      </c>
      <c r="C11" s="88">
        <f ca="1">'Valuation Model'!K7</f>
        <v>34140</v>
      </c>
      <c r="D11" s="83">
        <f t="shared" ca="1" si="0"/>
        <v>34027.200000000019</v>
      </c>
      <c r="E11" s="84">
        <f>IF(H11="N",5%/COUNTIF('Valuation Model'!$L$2:$L$9,"No"),IF(G11&lt;&gt;"Y",50%/(COUNTIF('Valuation Model'!$L$2:$L$9,"Yes")-COUNTIF(G$5:G$12,"Y")),45%/(COUNTIF(G$5:G$12,"Y"))))</f>
        <v>6.25E-2</v>
      </c>
      <c r="F11" s="78" t="s">
        <v>51</v>
      </c>
      <c r="G11" s="78" t="str">
        <f>IF(LEFT('Valuation Model'!L7,1)="M","Y","")</f>
        <v/>
      </c>
      <c r="H11" s="78" t="str">
        <f>IF(LEFT('Valuation Model'!L7,1)="M","Y",LEFT('Valuation Model'!L7,1))</f>
        <v>Y</v>
      </c>
      <c r="J11" s="85">
        <f t="shared" si="4"/>
        <v>0.12000000000000001</v>
      </c>
      <c r="K11" s="83">
        <f t="shared" ca="1" si="3"/>
        <v>4536.96</v>
      </c>
      <c r="L11" s="86" t="str">
        <f t="shared" ca="1" si="1"/>
        <v/>
      </c>
      <c r="M11" s="84" t="str">
        <f t="shared" ca="1" si="2"/>
        <v/>
      </c>
      <c r="N11" s="83">
        <f ca="1">LN('Histogram Data'!K11+0.01)-LN(price)</f>
        <v>-1.9973438318524934</v>
      </c>
      <c r="O11" s="83">
        <f ca="1">_xlfn.NORM.DIST(N11,0+0.03^3,AVERAGE('Valuation Model'!$K$22:$L$22),FALSE)/scaling</f>
        <v>9.2188989310814212E-15</v>
      </c>
    </row>
    <row r="12" spans="1:15" s="78" customFormat="1" ht="12">
      <c r="A12" s="81"/>
      <c r="B12" s="87" t="str">
        <f>'Valuation Model'!I9</f>
        <v>20% | 31% | 15%</v>
      </c>
      <c r="C12" s="88">
        <f ca="1">'Valuation Model'!K9</f>
        <v>37798</v>
      </c>
      <c r="D12" s="83">
        <f t="shared" ca="1" si="0"/>
        <v>37808.000000000015</v>
      </c>
      <c r="E12" s="84">
        <f>IF(H12="N",5%/COUNTIF('Valuation Model'!$L$2:$L$9,"No"),IF(G12&lt;&gt;"Y",50%/(COUNTIF('Valuation Model'!$L$2:$L$9,"Yes")-COUNTIF(G$5:G$12,"Y")),45%/(COUNTIF(G$5:G$12,"Y"))))</f>
        <v>6.25E-2</v>
      </c>
      <c r="F12" s="78" t="s">
        <v>51</v>
      </c>
      <c r="G12" s="78" t="str">
        <f>IF(LEFT('Valuation Model'!L9,1)="M","Y","")</f>
        <v/>
      </c>
      <c r="H12" s="78" t="str">
        <f>IF(LEFT('Valuation Model'!L9,1)="M","Y",LEFT('Valuation Model'!L9,1))</f>
        <v>Y</v>
      </c>
      <c r="J12" s="85">
        <f t="shared" si="4"/>
        <v>0.14000000000000001</v>
      </c>
      <c r="K12" s="83">
        <f t="shared" ca="1" si="3"/>
        <v>5293.1200000000008</v>
      </c>
      <c r="L12" s="86" t="str">
        <f t="shared" ca="1" si="1"/>
        <v/>
      </c>
      <c r="M12" s="84" t="str">
        <f t="shared" ca="1" si="2"/>
        <v/>
      </c>
      <c r="N12" s="83">
        <f ca="1">LN('Histogram Data'!K12+0.01)-LN(price)</f>
        <v>-1.8431934668987413</v>
      </c>
      <c r="O12" s="83">
        <f ca="1">_xlfn.NORM.DIST(N12,0+0.03^3,AVERAGE('Valuation Model'!$K$22:$L$22),FALSE)/scaling</f>
        <v>9.3995154648572896E-13</v>
      </c>
    </row>
    <row r="13" spans="1:15" s="78" customFormat="1" ht="12">
      <c r="A13" s="81"/>
      <c r="J13" s="85">
        <f t="shared" si="4"/>
        <v>0.16</v>
      </c>
      <c r="K13" s="83">
        <f t="shared" ca="1" si="3"/>
        <v>6049.28</v>
      </c>
      <c r="L13" s="86" t="str">
        <f t="shared" ca="1" si="1"/>
        <v/>
      </c>
      <c r="M13" s="84" t="str">
        <f t="shared" ca="1" si="2"/>
        <v/>
      </c>
      <c r="N13" s="83">
        <f ca="1">LN('Histogram Data'!K13+0.01)-LN(price)</f>
        <v>-1.7096623104294135</v>
      </c>
      <c r="O13" s="83">
        <f ca="1">_xlfn.NORM.DIST(N13,0+0.03^3,AVERAGE('Valuation Model'!$K$22:$L$22),FALSE)/scaling</f>
        <v>3.8244149212315614E-11</v>
      </c>
    </row>
    <row r="14" spans="1:15" s="78" customFormat="1" ht="12">
      <c r="A14" s="81"/>
      <c r="J14" s="85">
        <f t="shared" si="4"/>
        <v>0.18</v>
      </c>
      <c r="K14" s="83">
        <f t="shared" ca="1" si="3"/>
        <v>6805.44</v>
      </c>
      <c r="L14" s="86" t="str">
        <f t="shared" ca="1" si="1"/>
        <v/>
      </c>
      <c r="M14" s="84" t="str">
        <f t="shared" ca="1" si="2"/>
        <v/>
      </c>
      <c r="N14" s="83">
        <f ca="1">LN('Histogram Data'!K14+0.01)-LN(price)</f>
        <v>-1.5918794584493323</v>
      </c>
      <c r="O14" s="83">
        <f ca="1">_xlfn.NORM.DIST(N14,0+0.03^3,AVERAGE('Valuation Model'!$K$22:$L$22),FALSE)/scaling</f>
        <v>7.9761096409065994E-10</v>
      </c>
    </row>
    <row r="15" spans="1:15" s="78" customFormat="1" ht="12">
      <c r="A15" s="81"/>
      <c r="J15" s="85">
        <f t="shared" si="4"/>
        <v>0.19999999999999998</v>
      </c>
      <c r="K15" s="83">
        <f t="shared" ca="1" si="3"/>
        <v>7561.5999999999995</v>
      </c>
      <c r="L15" s="86" t="str">
        <f t="shared" ca="1" si="1"/>
        <v/>
      </c>
      <c r="M15" s="84" t="str">
        <f t="shared" ca="1" si="2"/>
        <v/>
      </c>
      <c r="N15" s="83">
        <f ca="1">LN('Histogram Data'!K15+0.01)-LN(price)</f>
        <v>-1.4865190897325711</v>
      </c>
      <c r="O15" s="83">
        <f ca="1">_xlfn.NORM.DIST(N15,0+0.03^3,AVERAGE('Valuation Model'!$K$22:$L$22),FALSE)/scaling</f>
        <v>1.0048963746581496E-8</v>
      </c>
    </row>
    <row r="16" spans="1:15" s="78" customFormat="1" ht="12">
      <c r="A16" s="81"/>
      <c r="C16" s="82"/>
      <c r="D16" s="83"/>
      <c r="E16" s="84"/>
      <c r="J16" s="85">
        <f t="shared" si="4"/>
        <v>0.21999999999999997</v>
      </c>
      <c r="K16" s="83">
        <f t="shared" ca="1" si="3"/>
        <v>8317.7599999999984</v>
      </c>
      <c r="L16" s="86" t="str">
        <f t="shared" ca="1" si="1"/>
        <v/>
      </c>
      <c r="M16" s="84" t="str">
        <f t="shared" ca="1" si="2"/>
        <v/>
      </c>
      <c r="N16" s="83">
        <f ca="1">LN('Histogram Data'!K16+0.01)-LN(price)</f>
        <v>-1.3912090301527709</v>
      </c>
      <c r="O16" s="83">
        <f ca="1">_xlfn.NORM.DIST(N16,0+0.03^3,AVERAGE('Valuation Model'!$K$22:$L$22),FALSE)/scaling</f>
        <v>8.5626354223218052E-8</v>
      </c>
    </row>
    <row r="17" spans="4:15" s="78" customFormat="1" ht="12">
      <c r="J17" s="85">
        <f t="shared" si="4"/>
        <v>0.23999999999999996</v>
      </c>
      <c r="K17" s="83">
        <f t="shared" ca="1" si="3"/>
        <v>9073.9199999999983</v>
      </c>
      <c r="L17" s="86" t="str">
        <f t="shared" ca="1" si="1"/>
        <v/>
      </c>
      <c r="M17" s="84" t="str">
        <f t="shared" ca="1" si="2"/>
        <v/>
      </c>
      <c r="N17" s="83">
        <f ca="1">LN('Histogram Data'!K17+0.01)-LN(price)</f>
        <v>-1.3041977533502553</v>
      </c>
      <c r="O17" s="83">
        <f ca="1">_xlfn.NORM.DIST(N17,0+0.03^3,AVERAGE('Valuation Model'!$K$22:$L$22),FALSE)/scaling</f>
        <v>5.348808177343074E-7</v>
      </c>
    </row>
    <row r="18" spans="4:15" s="78" customFormat="1" ht="12">
      <c r="D18" s="85"/>
      <c r="J18" s="85">
        <f t="shared" si="4"/>
        <v>0.25999999999999995</v>
      </c>
      <c r="K18" s="83">
        <f t="shared" ca="1" si="3"/>
        <v>9830.0799999999981</v>
      </c>
      <c r="L18" s="86" t="str">
        <f t="shared" ca="1" si="1"/>
        <v/>
      </c>
      <c r="M18" s="84" t="str">
        <f t="shared" ca="1" si="2"/>
        <v/>
      </c>
      <c r="N18" s="83">
        <f ca="1">LN('Histogram Data'!K18+0.01)-LN(price)</f>
        <v>-1.2241551304504377</v>
      </c>
      <c r="O18" s="83">
        <f ca="1">_xlfn.NORM.DIST(N18,0+0.03^3,AVERAGE('Valuation Model'!$K$22:$L$22),FALSE)/scaling</f>
        <v>2.5990931669485568E-6</v>
      </c>
    </row>
    <row r="19" spans="4:15" s="78" customFormat="1" ht="12">
      <c r="D19" s="89"/>
      <c r="J19" s="85">
        <f t="shared" si="4"/>
        <v>0.27999999999999997</v>
      </c>
      <c r="K19" s="83">
        <f t="shared" ca="1" si="3"/>
        <v>10586.24</v>
      </c>
      <c r="L19" s="86" t="str">
        <f t="shared" ca="1" si="1"/>
        <v/>
      </c>
      <c r="M19" s="84" t="str">
        <f t="shared" ca="1" si="2"/>
        <v/>
      </c>
      <c r="N19" s="83">
        <f ca="1">LN('Histogram Data'!K19+0.01)-LN(price)</f>
        <v>-1.1500472309599115</v>
      </c>
      <c r="O19" s="83">
        <f ca="1">_xlfn.NORM.DIST(N19,0+0.03^3,AVERAGE('Valuation Model'!$K$22:$L$22),FALSE)/scaling</f>
        <v>1.0273704781666392E-5</v>
      </c>
    </row>
    <row r="20" spans="4:15" s="78" customFormat="1" ht="12">
      <c r="J20" s="85">
        <f t="shared" si="4"/>
        <v>0.3</v>
      </c>
      <c r="K20" s="83">
        <f t="shared" ca="1" si="3"/>
        <v>11342.4</v>
      </c>
      <c r="L20" s="86" t="str">
        <f t="shared" ca="1" si="1"/>
        <v/>
      </c>
      <c r="M20" s="84" t="str">
        <f t="shared" ca="1" si="2"/>
        <v/>
      </c>
      <c r="N20" s="83">
        <f ca="1">LN('Histogram Data'!K20+0.01)-LN(price)</f>
        <v>-1.0810544224477319</v>
      </c>
      <c r="O20" s="83">
        <f ca="1">_xlfn.NORM.DIST(N20,0+0.03^3,AVERAGE('Valuation Model'!$K$22:$L$22),FALSE)/scaling</f>
        <v>3.4193158991770266E-5</v>
      </c>
    </row>
    <row r="21" spans="4:15" s="78" customFormat="1" ht="12">
      <c r="J21" s="85">
        <f t="shared" si="4"/>
        <v>0.32</v>
      </c>
      <c r="K21" s="83">
        <f t="shared" ca="1" si="3"/>
        <v>12098.56</v>
      </c>
      <c r="L21" s="86" t="str">
        <f t="shared" ca="1" si="1"/>
        <v/>
      </c>
      <c r="M21" s="84" t="str">
        <f t="shared" ca="1" si="2"/>
        <v/>
      </c>
      <c r="N21" s="83">
        <f ca="1">LN('Histogram Data'!K21+0.01)-LN(price)</f>
        <v>-1.016515956413091</v>
      </c>
      <c r="O21" s="83">
        <f ca="1">_xlfn.NORM.DIST(N21,0+0.03^3,AVERAGE('Valuation Model'!$K$22:$L$22),FALSE)/scaling</f>
        <v>9.8446503552904858E-5</v>
      </c>
    </row>
    <row r="22" spans="4:15" s="78" customFormat="1" ht="12">
      <c r="J22" s="85">
        <f t="shared" si="4"/>
        <v>0.34</v>
      </c>
      <c r="K22" s="83">
        <f t="shared" ca="1" si="3"/>
        <v>12854.720000000001</v>
      </c>
      <c r="L22" s="86" t="str">
        <f t="shared" ca="1" si="1"/>
        <v/>
      </c>
      <c r="M22" s="84" t="str">
        <f t="shared" ca="1" si="2"/>
        <v/>
      </c>
      <c r="N22" s="83">
        <f ca="1">LN('Histogram Data'!K22+0.01)-LN(price)</f>
        <v>-0.95589138321689049</v>
      </c>
      <c r="O22" s="83">
        <f ca="1">_xlfn.NORM.DIST(N22,0+0.03^3,AVERAGE('Valuation Model'!$K$22:$L$22),FALSE)/scaling</f>
        <v>2.505347838886511E-4</v>
      </c>
    </row>
    <row r="23" spans="4:15" s="78" customFormat="1" ht="12">
      <c r="J23" s="85">
        <f t="shared" si="4"/>
        <v>0.36000000000000004</v>
      </c>
      <c r="K23" s="83">
        <f t="shared" ca="1" si="3"/>
        <v>13610.880000000001</v>
      </c>
      <c r="L23" s="86" t="str">
        <f t="shared" ca="1" si="1"/>
        <v/>
      </c>
      <c r="M23" s="84" t="str">
        <f t="shared" ca="1" si="2"/>
        <v/>
      </c>
      <c r="N23" s="83">
        <f ca="1">LN('Histogram Data'!K23+0.01)-LN(price)</f>
        <v>-0.89873301259492955</v>
      </c>
      <c r="O23" s="83">
        <f ca="1">_xlfn.NORM.DIST(N23,0+0.03^3,AVERAGE('Valuation Model'!$K$22:$L$22),FALSE)/scaling</f>
        <v>5.7345962358230028E-4</v>
      </c>
    </row>
    <row r="24" spans="4:15" s="78" customFormat="1" ht="12">
      <c r="J24" s="85">
        <f t="shared" si="4"/>
        <v>0.38000000000000006</v>
      </c>
      <c r="K24" s="83">
        <f t="shared" ca="1" si="3"/>
        <v>14367.040000000003</v>
      </c>
      <c r="L24" s="86" t="str">
        <f t="shared" ca="1" si="1"/>
        <v/>
      </c>
      <c r="M24" s="84" t="str">
        <f t="shared" ca="1" si="2"/>
        <v/>
      </c>
      <c r="N24" s="83">
        <f ca="1">LN('Histogram Data'!K24+0.01)-LN(price)</f>
        <v>-0.84466582999338158</v>
      </c>
      <c r="O24" s="83">
        <f ca="1">_xlfn.NORM.DIST(N24,0+0.03^3,AVERAGE('Valuation Model'!$K$22:$L$22),FALSE)/scaling</f>
        <v>1.1975322114027259E-3</v>
      </c>
    </row>
    <row r="25" spans="4:15" s="78" customFormat="1" ht="12">
      <c r="J25" s="85">
        <f t="shared" si="4"/>
        <v>0.40000000000000008</v>
      </c>
      <c r="K25" s="83">
        <f t="shared" ca="1" si="3"/>
        <v>15123.200000000003</v>
      </c>
      <c r="L25" s="86" t="str">
        <f t="shared" ca="1" si="1"/>
        <v/>
      </c>
      <c r="M25" s="84" t="str">
        <f t="shared" ca="1" si="2"/>
        <v/>
      </c>
      <c r="N25" s="83">
        <f ca="1">LN('Histogram Data'!K25+0.01)-LN(price)</f>
        <v>-0.79337257040768705</v>
      </c>
      <c r="O25" s="83">
        <f ca="1">_xlfn.NORM.DIST(N25,0+0.03^3,AVERAGE('Valuation Model'!$K$22:$L$22),FALSE)/scaling</f>
        <v>2.3085072649542807E-3</v>
      </c>
    </row>
    <row r="26" spans="4:15" s="78" customFormat="1" ht="12">
      <c r="J26" s="85">
        <f t="shared" si="4"/>
        <v>0.4200000000000001</v>
      </c>
      <c r="K26" s="83">
        <f t="shared" ca="1" si="3"/>
        <v>15879.360000000004</v>
      </c>
      <c r="L26" s="86" t="str">
        <f t="shared" ca="1" si="1"/>
        <v/>
      </c>
      <c r="M26" s="84" t="str">
        <f t="shared" ca="1" si="2"/>
        <v/>
      </c>
      <c r="N26" s="83">
        <f ca="1">LN('Histogram Data'!K26+0.01)-LN(price)</f>
        <v>-0.74458243772564892</v>
      </c>
      <c r="O26" s="83">
        <f ca="1">_xlfn.NORM.DIST(N26,0+0.03^3,AVERAGE('Valuation Model'!$K$22:$L$22),FALSE)/scaling</f>
        <v>4.1485797726973101E-3</v>
      </c>
    </row>
    <row r="27" spans="4:15" s="78" customFormat="1" ht="12">
      <c r="J27" s="85">
        <f t="shared" si="4"/>
        <v>0.44000000000000011</v>
      </c>
      <c r="K27" s="83">
        <f t="shared" ca="1" si="3"/>
        <v>16635.520000000004</v>
      </c>
      <c r="L27" s="86">
        <f t="shared" ca="1" si="1"/>
        <v>6.25E-2</v>
      </c>
      <c r="M27" s="84" t="str">
        <f t="shared" ca="1" si="2"/>
        <v/>
      </c>
      <c r="N27" s="83">
        <f ca="1">LN('Histogram Data'!K27+0.01)-LN(price)</f>
        <v>-0.69806245071566231</v>
      </c>
      <c r="O27" s="83">
        <f ca="1">_xlfn.NORM.DIST(N27,0+0.03^3,AVERAGE('Valuation Model'!$K$22:$L$22),FALSE)/scaling</f>
        <v>7.0077947092882439E-3</v>
      </c>
    </row>
    <row r="28" spans="4:15" s="78" customFormat="1" ht="12">
      <c r="J28" s="85">
        <f t="shared" si="4"/>
        <v>0.46000000000000013</v>
      </c>
      <c r="K28" s="83">
        <f t="shared" ca="1" si="3"/>
        <v>17391.680000000004</v>
      </c>
      <c r="L28" s="86" t="str">
        <f t="shared" ca="1" si="1"/>
        <v/>
      </c>
      <c r="M28" s="84" t="str">
        <f t="shared" ca="1" si="2"/>
        <v/>
      </c>
      <c r="N28" s="83">
        <f ca="1">LN('Histogram Data'!K28+0.01)-LN(price)</f>
        <v>-0.65361071428061202</v>
      </c>
      <c r="O28" s="83">
        <f ca="1">_xlfn.NORM.DIST(N28,0+0.03^3,AVERAGE('Valuation Model'!$K$22:$L$22),FALSE)/scaling</f>
        <v>1.1205265163993176E-2</v>
      </c>
    </row>
    <row r="29" spans="4:15" s="78" customFormat="1" ht="12">
      <c r="J29" s="85">
        <f t="shared" si="4"/>
        <v>0.48000000000000015</v>
      </c>
      <c r="K29" s="83">
        <f t="shared" ca="1" si="3"/>
        <v>18147.840000000007</v>
      </c>
      <c r="L29" s="86">
        <f t="shared" ca="1" si="1"/>
        <v>6.25E-2</v>
      </c>
      <c r="M29" s="84" t="str">
        <f t="shared" ca="1" si="2"/>
        <v/>
      </c>
      <c r="N29" s="83">
        <f ca="1">LN('Histogram Data'!K29+0.01)-LN(price)</f>
        <v>-0.61105112381961746</v>
      </c>
      <c r="O29" s="83">
        <f ca="1">_xlfn.NORM.DIST(N29,0+0.03^3,AVERAGE('Valuation Model'!$K$22:$L$22),FALSE)/scaling</f>
        <v>1.7061741452878035E-2</v>
      </c>
    </row>
    <row r="30" spans="4:15" s="78" customFormat="1" ht="12">
      <c r="J30" s="85">
        <f t="shared" si="4"/>
        <v>0.50000000000000011</v>
      </c>
      <c r="K30" s="83">
        <f t="shared" ca="1" si="3"/>
        <v>18904.000000000004</v>
      </c>
      <c r="L30" s="86" t="str">
        <f ca="1">L33</f>
        <v/>
      </c>
      <c r="M30" s="84" t="str">
        <f t="shared" ca="1" si="2"/>
        <v/>
      </c>
      <c r="N30" s="83">
        <f ca="1">LN('Histogram Data'!K30+0.01)-LN(price)</f>
        <v>-0.57022915134054131</v>
      </c>
      <c r="O30" s="83">
        <f ca="1">_xlfn.NORM.DIST(N30,0+0.03^3,AVERAGE('Valuation Model'!$K$22:$L$22),FALSE)/scaling</f>
        <v>2.4866928042269566E-2</v>
      </c>
    </row>
    <row r="31" spans="4:15" s="78" customFormat="1" ht="12">
      <c r="J31" s="85">
        <f t="shared" si="4"/>
        <v>0.52000000000000013</v>
      </c>
      <c r="K31" s="83">
        <f t="shared" ca="1" si="3"/>
        <v>19660.160000000003</v>
      </c>
      <c r="L31" s="86" t="str">
        <f t="shared" ca="1" si="1"/>
        <v/>
      </c>
      <c r="M31" s="84" t="str">
        <f t="shared" ca="1" si="2"/>
        <v/>
      </c>
      <c r="N31" s="83">
        <f ca="1">LN('Histogram Data'!K31+0.01)-LN(price)</f>
        <v>-0.53100845853296441</v>
      </c>
      <c r="O31" s="83">
        <f ca="1">_xlfn.NORM.DIST(N31,0+0.03^3,AVERAGE('Valuation Model'!$K$22:$L$22),FALSE)/scaling</f>
        <v>3.4846053059227097E-2</v>
      </c>
    </row>
    <row r="32" spans="4:15" s="78" customFormat="1" ht="12">
      <c r="J32" s="85">
        <f t="shared" si="4"/>
        <v>0.54000000000000015</v>
      </c>
      <c r="K32" s="83">
        <f t="shared" ca="1" si="3"/>
        <v>20416.320000000007</v>
      </c>
      <c r="L32" s="86">
        <f t="shared" ca="1" si="1"/>
        <v>6.25E-2</v>
      </c>
      <c r="M32" s="84" t="str">
        <f t="shared" ca="1" si="2"/>
        <v/>
      </c>
      <c r="N32" s="83">
        <f ca="1">LN('Histogram Data'!K32+0.01)-LN(price)</f>
        <v>-0.49326814938873298</v>
      </c>
      <c r="O32" s="83">
        <f ca="1">_xlfn.NORM.DIST(N32,0+0.03^3,AVERAGE('Valuation Model'!$K$22:$L$22),FALSE)/scaling</f>
        <v>4.713035916917218E-2</v>
      </c>
    </row>
    <row r="33" spans="10:15" s="78" customFormat="1" ht="12">
      <c r="J33" s="85">
        <f t="shared" si="4"/>
        <v>0.56000000000000016</v>
      </c>
      <c r="K33" s="83">
        <f t="shared" ca="1" si="3"/>
        <v>21172.480000000007</v>
      </c>
      <c r="L33" s="86" t="str">
        <f t="shared" ca="1" si="1"/>
        <v/>
      </c>
      <c r="M33" s="84" t="str">
        <f t="shared" ca="1" si="2"/>
        <v/>
      </c>
      <c r="N33" s="83">
        <f ca="1">LN('Histogram Data'!K33+0.01)-LN(price)</f>
        <v>-0.4569005227108569</v>
      </c>
      <c r="O33" s="83">
        <f ca="1">_xlfn.NORM.DIST(N33,0+0.03^3,AVERAGE('Valuation Model'!$K$22:$L$22),FALSE)/scaling</f>
        <v>6.1735470146093631E-2</v>
      </c>
    </row>
    <row r="34" spans="10:15" s="78" customFormat="1" ht="12">
      <c r="J34" s="85">
        <f t="shared" si="4"/>
        <v>0.58000000000000018</v>
      </c>
      <c r="K34" s="83">
        <f t="shared" ca="1" si="3"/>
        <v>21928.640000000007</v>
      </c>
      <c r="L34" s="86">
        <f t="shared" ca="1" si="1"/>
        <v>6.25E-2</v>
      </c>
      <c r="M34" s="84" t="str">
        <f t="shared" ca="1" si="2"/>
        <v/>
      </c>
      <c r="N34" s="83">
        <f ca="1">LN('Histogram Data'!K34+0.01)-LN(price)</f>
        <v>-0.42180921918617287</v>
      </c>
      <c r="O34" s="83">
        <f ca="1">_xlfn.NORM.DIST(N34,0+0.03^3,AVERAGE('Valuation Model'!$K$22:$L$22),FALSE)/scaling</f>
        <v>7.8550251256404066E-2</v>
      </c>
    </row>
    <row r="35" spans="10:15" s="78" customFormat="1" ht="12">
      <c r="J35" s="85">
        <f t="shared" si="4"/>
        <v>0.6000000000000002</v>
      </c>
      <c r="K35" s="83">
        <f t="shared" ca="1" si="3"/>
        <v>22684.800000000007</v>
      </c>
      <c r="L35" s="86" t="str">
        <f t="shared" ca="1" si="1"/>
        <v/>
      </c>
      <c r="M35" s="84" t="str">
        <f t="shared" ca="1" si="2"/>
        <v/>
      </c>
      <c r="N35" s="83">
        <f ca="1">LN('Histogram Data'!K35+0.01)-LN(price)</f>
        <v>-0.38790768271130638</v>
      </c>
      <c r="O35" s="83">
        <f ca="1">_xlfn.NORM.DIST(N35,0+0.03^3,AVERAGE('Valuation Model'!$K$22:$L$22),FALSE)/scaling</f>
        <v>9.7337166043083595E-2</v>
      </c>
    </row>
    <row r="36" spans="10:15" s="78" customFormat="1" ht="12">
      <c r="J36" s="85">
        <f t="shared" si="4"/>
        <v>0.62000000000000022</v>
      </c>
      <c r="K36" s="83">
        <f t="shared" ca="1" si="3"/>
        <v>23440.96000000001</v>
      </c>
      <c r="L36" s="86" t="str">
        <f t="shared" ca="1" si="1"/>
        <v/>
      </c>
      <c r="M36" s="84" t="str">
        <f t="shared" ca="1" si="2"/>
        <v/>
      </c>
      <c r="N36" s="83">
        <f ca="1">LN('Histogram Data'!K36+0.01)-LN(price)</f>
        <v>-0.35511787410843176</v>
      </c>
      <c r="O36" s="83">
        <f ca="1">_xlfn.NORM.DIST(N36,0+0.03^3,AVERAGE('Valuation Model'!$K$22:$L$22),FALSE)/scaling</f>
        <v>0.11774356683436178</v>
      </c>
    </row>
    <row r="37" spans="10:15" s="78" customFormat="1" ht="12">
      <c r="J37" s="85">
        <f t="shared" si="4"/>
        <v>0.64000000000000024</v>
      </c>
      <c r="K37" s="83">
        <f t="shared" ca="1" si="3"/>
        <v>24197.12000000001</v>
      </c>
      <c r="L37" s="86" t="str">
        <f t="shared" ca="1" si="1"/>
        <v/>
      </c>
      <c r="M37" s="84" t="str">
        <f t="shared" ca="1" si="2"/>
        <v/>
      </c>
      <c r="N37" s="83">
        <f ca="1">LN('Histogram Data'!K37+0.01)-LN(price)</f>
        <v>-0.32336918912521107</v>
      </c>
      <c r="O37" s="83">
        <f ca="1">_xlfn.NORM.DIST(N37,0+0.03^3,AVERAGE('Valuation Model'!$K$22:$L$22),FALSE)/scaling</f>
        <v>0.13932209075957819</v>
      </c>
    </row>
    <row r="38" spans="10:15" s="78" customFormat="1" ht="12">
      <c r="J38" s="85">
        <f t="shared" si="4"/>
        <v>0.66000000000000025</v>
      </c>
      <c r="K38" s="83">
        <f t="shared" ca="1" si="3"/>
        <v>24953.28000000001</v>
      </c>
      <c r="L38" s="86" t="str">
        <f t="shared" ca="1" si="1"/>
        <v/>
      </c>
      <c r="M38" s="84" t="str">
        <f t="shared" ca="1" si="2"/>
        <v/>
      </c>
      <c r="N38" s="83">
        <f ca="1">LN('Histogram Data'!K38+0.01)-LN(price)</f>
        <v>-0.29259754298185747</v>
      </c>
      <c r="O38" s="83">
        <f ca="1">_xlfn.NORM.DIST(N38,0+0.03^3,AVERAGE('Valuation Model'!$K$22:$L$22),FALSE)/scaling</f>
        <v>0.16155750714659706</v>
      </c>
    </row>
    <row r="39" spans="10:15" s="78" customFormat="1" ht="12">
      <c r="J39" s="85">
        <f t="shared" si="4"/>
        <v>0.68000000000000027</v>
      </c>
      <c r="K39" s="83">
        <f t="shared" ca="1" si="3"/>
        <v>25709.44000000001</v>
      </c>
      <c r="L39" s="86" t="str">
        <f t="shared" ca="1" si="1"/>
        <v/>
      </c>
      <c r="M39" s="84" t="str">
        <f t="shared" ca="1" si="2"/>
        <v/>
      </c>
      <c r="N39" s="83">
        <f ca="1">LN('Histogram Data'!K39+0.01)-LN(price)</f>
        <v>-0.26274459161890462</v>
      </c>
      <c r="O39" s="83">
        <f ca="1">_xlfn.NORM.DIST(N39,0+0.03^3,AVERAGE('Valuation Model'!$K$22:$L$22),FALSE)/scaling</f>
        <v>0.18389700913520104</v>
      </c>
    </row>
    <row r="40" spans="10:15" s="78" customFormat="1" ht="12">
      <c r="J40" s="85">
        <f t="shared" si="4"/>
        <v>0.70000000000000029</v>
      </c>
      <c r="K40" s="83">
        <f t="shared" ca="1" si="3"/>
        <v>26465.600000000009</v>
      </c>
      <c r="L40" s="86" t="str">
        <f t="shared" ca="1" si="1"/>
        <v/>
      </c>
      <c r="M40" s="84" t="str">
        <f t="shared" ca="1" si="2"/>
        <v/>
      </c>
      <c r="N40" s="83">
        <f ca="1">LN('Histogram Data'!K40+0.01)-LN(price)</f>
        <v>-0.23375706585885325</v>
      </c>
      <c r="O40" s="83">
        <f ca="1">_xlfn.NORM.DIST(N40,0+0.03^3,AVERAGE('Valuation Model'!$K$22:$L$22),FALSE)/scaling</f>
        <v>0.20578101221335116</v>
      </c>
    </row>
    <row r="41" spans="10:15" s="78" customFormat="1" ht="12">
      <c r="J41" s="85">
        <f t="shared" si="4"/>
        <v>0.72000000000000031</v>
      </c>
      <c r="K41" s="83">
        <f t="shared" ca="1" si="3"/>
        <v>27221.760000000013</v>
      </c>
      <c r="L41" s="86" t="str">
        <f t="shared" ca="1" si="1"/>
        <v/>
      </c>
      <c r="M41" s="84" t="str">
        <f t="shared" ca="1" si="2"/>
        <v/>
      </c>
      <c r="N41" s="83">
        <f ca="1">LN('Histogram Data'!K41+0.01)-LN(price)</f>
        <v>-0.20558619938795708</v>
      </c>
      <c r="O41" s="83">
        <f ca="1">_xlfn.NORM.DIST(N41,0+0.03^3,AVERAGE('Valuation Model'!$K$22:$L$22),FALSE)/scaling</f>
        <v>0.22667191402370043</v>
      </c>
    </row>
    <row r="42" spans="10:15" s="78" customFormat="1" ht="12">
      <c r="J42" s="85">
        <f t="shared" si="4"/>
        <v>0.74000000000000032</v>
      </c>
      <c r="K42" s="83">
        <f t="shared" ca="1" si="3"/>
        <v>27977.920000000013</v>
      </c>
      <c r="L42" s="86">
        <f t="shared" ca="1" si="1"/>
        <v>6.25E-2</v>
      </c>
      <c r="M42" s="84" t="str">
        <f t="shared" ca="1" si="2"/>
        <v/>
      </c>
      <c r="N42" s="83">
        <f ca="1">LN('Histogram Data'!K42+0.01)-LN(price)</f>
        <v>-0.17818723512830381</v>
      </c>
      <c r="O42" s="83">
        <f ca="1">_xlfn.NORM.DIST(N42,0+0.03^3,AVERAGE('Valuation Model'!$K$22:$L$22),FALSE)/scaling</f>
        <v>0.24607886195122536</v>
      </c>
    </row>
    <row r="43" spans="10:15" s="78" customFormat="1" ht="12">
      <c r="J43" s="85">
        <f t="shared" si="4"/>
        <v>0.76000000000000034</v>
      </c>
      <c r="K43" s="83">
        <f t="shared" ca="1" si="3"/>
        <v>28734.080000000013</v>
      </c>
      <c r="L43" s="86" t="str">
        <f t="shared" ca="1" si="1"/>
        <v/>
      </c>
      <c r="M43" s="84" t="str">
        <f t="shared" ca="1" si="2"/>
        <v/>
      </c>
      <c r="N43" s="83">
        <f ca="1">LN('Histogram Data'!K43+0.01)-LN(price)</f>
        <v>-0.15151899745205277</v>
      </c>
      <c r="O43" s="83">
        <f ca="1">_xlfn.NORM.DIST(N43,0+0.03^3,AVERAGE('Valuation Model'!$K$22:$L$22),FALSE)/scaling</f>
        <v>0.26357725087383255</v>
      </c>
    </row>
    <row r="44" spans="10:15" s="78" customFormat="1" ht="12">
      <c r="J44" s="85">
        <f t="shared" si="4"/>
        <v>0.78000000000000036</v>
      </c>
      <c r="K44" s="83">
        <f t="shared" ca="1" si="3"/>
        <v>29490.240000000013</v>
      </c>
      <c r="L44" s="86" t="str">
        <f t="shared" ca="1" si="1"/>
        <v/>
      </c>
      <c r="M44" s="84" t="str">
        <f t="shared" ca="1" si="2"/>
        <v/>
      </c>
      <c r="N44" s="83">
        <f ca="1">LN('Histogram Data'!K44+0.01)-LN(price)</f>
        <v>-0.12554351997234825</v>
      </c>
      <c r="O44" s="83">
        <f ca="1">_xlfn.NORM.DIST(N44,0+0.03^3,AVERAGE('Valuation Model'!$K$22:$L$22),FALSE)/scaling</f>
        <v>0.27882233646429605</v>
      </c>
    </row>
    <row r="45" spans="10:15" s="78" customFormat="1" ht="12">
      <c r="J45" s="85">
        <f t="shared" si="4"/>
        <v>0.80000000000000038</v>
      </c>
      <c r="K45" s="83">
        <f t="shared" ca="1" si="3"/>
        <v>30246.400000000016</v>
      </c>
      <c r="L45" s="86" t="str">
        <f t="shared" ca="1" si="1"/>
        <v/>
      </c>
      <c r="M45" s="84" t="str">
        <f t="shared" ca="1" si="2"/>
        <v/>
      </c>
      <c r="N45" s="83">
        <f ca="1">LN('Histogram Data'!K45+0.01)-LN(price)</f>
        <v>-0.10022572046543488</v>
      </c>
      <c r="O45" s="83">
        <f ca="1">_xlfn.NORM.DIST(N45,0+0.03^3,AVERAGE('Valuation Model'!$K$22:$L$22),FALSE)/scaling</f>
        <v>0.29155693069580402</v>
      </c>
    </row>
    <row r="46" spans="10:15" s="78" customFormat="1" ht="12">
      <c r="J46" s="85">
        <f t="shared" si="4"/>
        <v>0.8200000000000004</v>
      </c>
      <c r="K46" s="83">
        <f t="shared" ca="1" si="3"/>
        <v>31002.560000000016</v>
      </c>
      <c r="L46" s="86">
        <f t="shared" ca="1" si="1"/>
        <v>6.25E-2</v>
      </c>
      <c r="M46" s="84" t="str">
        <f t="shared" ca="1" si="2"/>
        <v/>
      </c>
      <c r="N46" s="83">
        <f ca="1">LN('Histogram Data'!K46+0.01)-LN(price)</f>
        <v>-7.5533115938911877E-2</v>
      </c>
      <c r="O46" s="83">
        <f ca="1">_xlfn.NORM.DIST(N46,0+0.03^3,AVERAGE('Valuation Model'!$K$22:$L$22),FALSE)/scaling</f>
        <v>0.30161360538040005</v>
      </c>
    </row>
    <row r="47" spans="10:15" s="78" customFormat="1" ht="12">
      <c r="J47" s="85">
        <f t="shared" si="4"/>
        <v>0.84000000000000041</v>
      </c>
      <c r="K47" s="83">
        <f t="shared" ca="1" si="3"/>
        <v>31758.720000000016</v>
      </c>
      <c r="L47" s="86" t="str">
        <f t="shared" ca="1" si="1"/>
        <v/>
      </c>
      <c r="M47" s="84" t="str">
        <f t="shared" ca="1" si="2"/>
        <v/>
      </c>
      <c r="N47" s="83">
        <f ca="1">LN('Histogram Data'!K47+0.01)-LN(price)</f>
        <v>-5.1435572039705946E-2</v>
      </c>
      <c r="O47" s="83">
        <f ca="1">_xlfn.NORM.DIST(N47,0+0.03^3,AVERAGE('Valuation Model'!$K$22:$L$22),FALSE)/scaling</f>
        <v>0.30891215132155414</v>
      </c>
    </row>
    <row r="48" spans="10:15" s="78" customFormat="1" ht="12">
      <c r="J48" s="85">
        <f t="shared" si="4"/>
        <v>0.86000000000000043</v>
      </c>
      <c r="K48" s="83">
        <f t="shared" ca="1" si="3"/>
        <v>32514.880000000016</v>
      </c>
      <c r="L48" s="86" t="str">
        <f t="shared" ca="1" si="1"/>
        <v/>
      </c>
      <c r="M48" s="84" t="str">
        <f t="shared" ca="1" si="2"/>
        <v/>
      </c>
      <c r="N48" s="83">
        <f ca="1">LN('Histogram Data'!K48+0.01)-LN(price)</f>
        <v>-2.7905081952164679E-2</v>
      </c>
      <c r="O48" s="83">
        <f ca="1">_xlfn.NORM.DIST(N48,0+0.03^3,AVERAGE('Valuation Model'!$K$22:$L$22),FALSE)/scaling</f>
        <v>0.31345322887137239</v>
      </c>
    </row>
    <row r="49" spans="10:15" s="78" customFormat="1" ht="12">
      <c r="J49" s="85">
        <f t="shared" si="4"/>
        <v>0.88000000000000045</v>
      </c>
      <c r="K49" s="83">
        <f t="shared" ca="1" si="3"/>
        <v>33271.040000000015</v>
      </c>
      <c r="L49" s="86" t="str">
        <f t="shared" ca="1" si="1"/>
        <v/>
      </c>
      <c r="M49" s="84" t="str">
        <f t="shared" ca="1" si="2"/>
        <v/>
      </c>
      <c r="N49" s="83">
        <f ca="1">LN('Histogram Data'!K49+0.01)-LN(price)</f>
        <v>-4.9155707172694463E-3</v>
      </c>
      <c r="O49" s="83">
        <f ca="1">_xlfn.NORM.DIST(N49,0+0.03^3,AVERAGE('Valuation Model'!$K$22:$L$22),FALSE)/scaling</f>
        <v>0.31530921707191717</v>
      </c>
    </row>
    <row r="50" spans="10:15" s="78" customFormat="1" ht="12">
      <c r="J50" s="85">
        <f t="shared" si="4"/>
        <v>0.90000000000000047</v>
      </c>
      <c r="K50" s="83">
        <f t="shared" ca="1" si="3"/>
        <v>34027.200000000019</v>
      </c>
      <c r="L50" s="86">
        <f t="shared" ca="1" si="1"/>
        <v>6.25E-2</v>
      </c>
      <c r="M50" s="84" t="str">
        <f t="shared" ca="1" si="2"/>
        <v/>
      </c>
      <c r="N50" s="83">
        <f ca="1">LN('Histogram Data'!K50+0.01)-LN(price)</f>
        <v>1.7557278455640812E-2</v>
      </c>
      <c r="O50" s="83">
        <f ca="1">_xlfn.NORM.DIST(N50,0+0.03^3,AVERAGE('Valuation Model'!$K$22:$L$22),FALSE)/scaling</f>
        <v>0.31461324682500902</v>
      </c>
    </row>
    <row r="51" spans="10:15" s="78" customFormat="1" ht="12">
      <c r="J51" s="85">
        <f t="shared" si="4"/>
        <v>0.92000000000000048</v>
      </c>
      <c r="K51" s="83">
        <f t="shared" ca="1" si="3"/>
        <v>34783.360000000015</v>
      </c>
      <c r="L51" s="86" t="str">
        <f t="shared" ca="1" si="1"/>
        <v/>
      </c>
      <c r="M51" s="84" t="str">
        <f t="shared" ca="1" si="2"/>
        <v/>
      </c>
      <c r="N51" s="83">
        <f ca="1">LN('Histogram Data'!K51+0.01)-LN(price)</f>
        <v>3.9536178785667175E-2</v>
      </c>
      <c r="O51" s="83">
        <f ca="1">_xlfn.NORM.DIST(N51,0+0.03^3,AVERAGE('Valuation Model'!$K$22:$L$22),FALSE)/scaling</f>
        <v>0.31154731460330176</v>
      </c>
    </row>
    <row r="52" spans="10:15" s="78" customFormat="1" ht="12">
      <c r="J52" s="85">
        <f t="shared" si="4"/>
        <v>0.9400000000000005</v>
      </c>
      <c r="K52" s="83">
        <f t="shared" ca="1" si="3"/>
        <v>35539.520000000019</v>
      </c>
      <c r="L52" s="86" t="str">
        <f t="shared" ca="1" si="1"/>
        <v/>
      </c>
      <c r="M52" s="84" t="str">
        <f t="shared" ca="1" si="2"/>
        <v/>
      </c>
      <c r="N52" s="83">
        <f ca="1">LN('Histogram Data'!K52+0.01)-LN(price)</f>
        <v>6.104237788974487E-2</v>
      </c>
      <c r="O52" s="83">
        <f ca="1">_xlfn.NORM.DIST(N52,0+0.03^3,AVERAGE('Valuation Model'!$K$22:$L$22),FALSE)/scaling</f>
        <v>0.30633024183622959</v>
      </c>
    </row>
    <row r="53" spans="10:15" s="78" customFormat="1" ht="12">
      <c r="J53" s="85">
        <f t="shared" si="4"/>
        <v>0.96000000000000052</v>
      </c>
      <c r="K53" s="83">
        <f t="shared" ca="1" si="3"/>
        <v>36295.680000000022</v>
      </c>
      <c r="L53" s="86" t="str">
        <f t="shared" ca="1" si="1"/>
        <v/>
      </c>
      <c r="M53" s="84" t="str">
        <f t="shared" ca="1" si="2"/>
        <v/>
      </c>
      <c r="N53" s="83">
        <f ca="1">LN('Histogram Data'!K53+0.01)-LN(price)</f>
        <v>8.2095781225559605E-2</v>
      </c>
      <c r="O53" s="83">
        <f ca="1">_xlfn.NORM.DIST(N53,0+0.03^3,AVERAGE('Valuation Model'!$K$22:$L$22),FALSE)/scaling</f>
        <v>0.29920609271863963</v>
      </c>
    </row>
    <row r="54" spans="10:15" s="78" customFormat="1" ht="12">
      <c r="J54" s="85">
        <f t="shared" si="4"/>
        <v>0.98000000000000054</v>
      </c>
      <c r="K54" s="83">
        <f t="shared" ca="1" si="3"/>
        <v>37051.840000000018</v>
      </c>
      <c r="L54" s="86" t="str">
        <f t="shared" ca="1" si="1"/>
        <v/>
      </c>
      <c r="M54" s="84" t="str">
        <f t="shared" ca="1" si="2"/>
        <v/>
      </c>
      <c r="N54" s="83">
        <f ca="1">LN('Histogram Data'!K54+0.01)-LN(price)</f>
        <v>0.10271506280554377</v>
      </c>
      <c r="O54" s="83">
        <f ca="1">_xlfn.NORM.DIST(N54,0+0.03^3,AVERAGE('Valuation Model'!$K$22:$L$22),FALSE)/scaling</f>
        <v>0.29043350687709563</v>
      </c>
    </row>
    <row r="55" spans="10:15">
      <c r="J55" s="85">
        <f t="shared" si="4"/>
        <v>1.0000000000000004</v>
      </c>
      <c r="K55" s="83">
        <f t="shared" ca="1" si="3"/>
        <v>37808.000000000015</v>
      </c>
      <c r="L55" s="86">
        <f t="shared" ca="1" si="1"/>
        <v>6.25E-2</v>
      </c>
      <c r="M55" s="84" t="str">
        <f t="shared" ca="1" si="2"/>
        <v/>
      </c>
      <c r="N55" s="83">
        <f ca="1">LN('Histogram Data'!K55+0.01)-LN(price)</f>
        <v>0.12291776472522109</v>
      </c>
      <c r="O55" s="83">
        <f ca="1">_xlfn.NORM.DIST(N55,0+0.03^3,AVERAGE('Valuation Model'!$K$22:$L$22),FALSE)/scaling</f>
        <v>0.28027625556595276</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75"/>
  <sheetViews>
    <sheetView topLeftCell="A52" workbookViewId="0">
      <selection activeCell="C74" sqref="C74"/>
    </sheetView>
  </sheetViews>
  <sheetFormatPr defaultRowHeight="15"/>
  <cols>
    <col min="1" max="1" width="10.7109375" bestFit="1" customWidth="1"/>
    <col min="3" max="3" width="10.7109375" bestFit="1" customWidth="1"/>
  </cols>
  <sheetData>
    <row r="1" spans="1:3">
      <c r="A1" t="s">
        <v>161</v>
      </c>
      <c r="B1" t="s">
        <v>162</v>
      </c>
    </row>
    <row r="2" spans="1:3">
      <c r="A2" s="130">
        <v>36616</v>
      </c>
      <c r="B2">
        <v>10036.1</v>
      </c>
      <c r="C2" s="130"/>
    </row>
    <row r="3" spans="1:3">
      <c r="A3" s="130">
        <v>36707</v>
      </c>
      <c r="B3">
        <v>10283.700000000001</v>
      </c>
      <c r="C3" s="130"/>
    </row>
    <row r="4" spans="1:3">
      <c r="A4" s="130">
        <v>36799</v>
      </c>
      <c r="B4">
        <v>10363.799999999999</v>
      </c>
      <c r="C4" s="130"/>
    </row>
    <row r="5" spans="1:3">
      <c r="A5" s="130">
        <v>36891</v>
      </c>
      <c r="B5">
        <v>10475.299999999999</v>
      </c>
      <c r="C5" s="130"/>
    </row>
    <row r="6" spans="1:3">
      <c r="A6" s="130">
        <v>36981</v>
      </c>
      <c r="B6">
        <v>10512.5</v>
      </c>
      <c r="C6" s="130"/>
    </row>
    <row r="7" spans="1:3">
      <c r="A7" s="130">
        <v>37072</v>
      </c>
      <c r="B7">
        <v>10641.6</v>
      </c>
      <c r="C7" s="130"/>
    </row>
    <row r="8" spans="1:3">
      <c r="A8" s="130">
        <v>37164</v>
      </c>
      <c r="B8">
        <v>10644.3</v>
      </c>
      <c r="C8" s="130"/>
    </row>
    <row r="9" spans="1:3">
      <c r="A9" s="130">
        <v>37256</v>
      </c>
      <c r="B9">
        <v>10702.7</v>
      </c>
      <c r="C9" s="130"/>
    </row>
    <row r="10" spans="1:3">
      <c r="A10" s="130">
        <v>37346</v>
      </c>
      <c r="B10">
        <v>10837.3</v>
      </c>
      <c r="C10" s="130"/>
    </row>
    <row r="11" spans="1:3">
      <c r="A11" s="130">
        <v>37437</v>
      </c>
      <c r="B11">
        <v>10938</v>
      </c>
      <c r="C11" s="130"/>
    </row>
    <row r="12" spans="1:3">
      <c r="A12" s="130">
        <v>37529</v>
      </c>
      <c r="B12">
        <v>11039.8</v>
      </c>
      <c r="C12" s="130"/>
    </row>
    <row r="13" spans="1:3">
      <c r="A13" s="130">
        <v>37621</v>
      </c>
      <c r="B13">
        <v>11105.7</v>
      </c>
      <c r="C13" s="130"/>
    </row>
    <row r="14" spans="1:3">
      <c r="A14" s="130">
        <v>37711</v>
      </c>
      <c r="B14">
        <v>11230.8</v>
      </c>
      <c r="C14" s="130"/>
    </row>
    <row r="15" spans="1:3">
      <c r="A15" s="130">
        <v>37802</v>
      </c>
      <c r="B15">
        <v>11371.4</v>
      </c>
      <c r="C15" s="130"/>
    </row>
    <row r="16" spans="1:3">
      <c r="A16" s="130">
        <v>37894</v>
      </c>
      <c r="B16">
        <v>11628.4</v>
      </c>
      <c r="C16" s="130"/>
    </row>
    <row r="17" spans="1:3">
      <c r="A17" s="130">
        <v>37986</v>
      </c>
      <c r="B17">
        <v>11818.5</v>
      </c>
      <c r="C17" s="130"/>
    </row>
    <row r="18" spans="1:3">
      <c r="A18" s="130">
        <v>38077</v>
      </c>
      <c r="B18">
        <v>11991.4</v>
      </c>
      <c r="C18" s="130"/>
    </row>
    <row r="19" spans="1:3">
      <c r="A19" s="130">
        <v>38168</v>
      </c>
      <c r="B19">
        <v>12183.5</v>
      </c>
      <c r="C19" s="130"/>
    </row>
    <row r="20" spans="1:3">
      <c r="A20" s="130">
        <v>38260</v>
      </c>
      <c r="B20">
        <v>12369.4</v>
      </c>
      <c r="C20" s="130"/>
    </row>
    <row r="21" spans="1:3">
      <c r="A21" s="130">
        <v>38352</v>
      </c>
      <c r="B21">
        <v>12563.8</v>
      </c>
      <c r="C21" s="130"/>
    </row>
    <row r="22" spans="1:3">
      <c r="A22" s="130">
        <v>38442</v>
      </c>
      <c r="B22">
        <v>12816.2</v>
      </c>
      <c r="C22" s="130"/>
    </row>
    <row r="23" spans="1:3">
      <c r="A23" s="130">
        <v>38533</v>
      </c>
      <c r="B23">
        <v>12975.7</v>
      </c>
      <c r="C23" s="130"/>
    </row>
    <row r="24" spans="1:3">
      <c r="A24" s="130">
        <v>38625</v>
      </c>
      <c r="B24">
        <v>13206.5</v>
      </c>
      <c r="C24" s="130"/>
    </row>
    <row r="25" spans="1:3">
      <c r="A25" s="130">
        <v>38717</v>
      </c>
      <c r="B25">
        <v>13383.3</v>
      </c>
      <c r="C25" s="130"/>
    </row>
    <row r="26" spans="1:3">
      <c r="A26" s="130">
        <v>38807</v>
      </c>
      <c r="B26">
        <v>13649.8</v>
      </c>
      <c r="C26" s="130"/>
    </row>
    <row r="27" spans="1:3">
      <c r="A27" s="130">
        <v>38898</v>
      </c>
      <c r="B27">
        <v>13802.9</v>
      </c>
      <c r="C27" s="130"/>
    </row>
    <row r="28" spans="1:3">
      <c r="A28" s="130">
        <v>38990</v>
      </c>
      <c r="B28">
        <v>13910.5</v>
      </c>
      <c r="C28" s="130"/>
    </row>
    <row r="29" spans="1:3">
      <c r="A29" s="130">
        <v>39082</v>
      </c>
      <c r="B29">
        <v>14068.4</v>
      </c>
    </row>
    <row r="30" spans="1:3">
      <c r="A30" s="130">
        <v>39172</v>
      </c>
      <c r="B30">
        <v>14235</v>
      </c>
    </row>
    <row r="31" spans="1:3">
      <c r="A31" s="130">
        <v>39263</v>
      </c>
      <c r="B31">
        <v>14424.5</v>
      </c>
    </row>
    <row r="32" spans="1:3">
      <c r="A32" s="130">
        <v>39355</v>
      </c>
      <c r="B32">
        <v>14571.9</v>
      </c>
    </row>
    <row r="33" spans="1:2">
      <c r="A33" s="130">
        <v>39447</v>
      </c>
      <c r="B33">
        <v>14690</v>
      </c>
    </row>
    <row r="34" spans="1:2">
      <c r="A34" s="130">
        <v>39538</v>
      </c>
      <c r="B34">
        <v>14672.9</v>
      </c>
    </row>
    <row r="35" spans="1:2">
      <c r="A35" s="130">
        <v>39629</v>
      </c>
      <c r="B35">
        <v>14813</v>
      </c>
    </row>
    <row r="36" spans="1:2">
      <c r="A36" s="130">
        <v>39721</v>
      </c>
      <c r="B36">
        <v>14843</v>
      </c>
    </row>
    <row r="37" spans="1:2">
      <c r="A37" s="130">
        <v>39813</v>
      </c>
      <c r="B37">
        <v>14549.9</v>
      </c>
    </row>
    <row r="38" spans="1:2">
      <c r="A38" s="130">
        <v>39903</v>
      </c>
      <c r="B38">
        <v>14383.9</v>
      </c>
    </row>
    <row r="39" spans="1:2">
      <c r="A39" s="130">
        <v>39994</v>
      </c>
      <c r="B39">
        <v>14340.4</v>
      </c>
    </row>
    <row r="40" spans="1:2">
      <c r="A40" s="130">
        <v>40086</v>
      </c>
      <c r="B40">
        <v>14384.1</v>
      </c>
    </row>
    <row r="41" spans="1:2">
      <c r="A41" s="130">
        <v>40178</v>
      </c>
      <c r="B41">
        <v>14566.5</v>
      </c>
    </row>
    <row r="42" spans="1:2">
      <c r="A42" s="130">
        <v>40268</v>
      </c>
      <c r="B42">
        <v>14681.1</v>
      </c>
    </row>
    <row r="43" spans="1:2">
      <c r="A43" s="130">
        <v>40359</v>
      </c>
      <c r="B43">
        <v>14888.6</v>
      </c>
    </row>
    <row r="44" spans="1:2">
      <c r="A44" s="130">
        <v>40451</v>
      </c>
      <c r="B44">
        <v>15057.7</v>
      </c>
    </row>
    <row r="45" spans="1:2">
      <c r="A45" s="130">
        <v>40543</v>
      </c>
      <c r="B45">
        <v>15230.2</v>
      </c>
    </row>
    <row r="46" spans="1:2">
      <c r="A46" s="130">
        <v>40633</v>
      </c>
      <c r="B46">
        <v>15238.4</v>
      </c>
    </row>
    <row r="47" spans="1:2">
      <c r="A47" s="130">
        <v>40724</v>
      </c>
      <c r="B47">
        <v>15460.9</v>
      </c>
    </row>
    <row r="48" spans="1:2">
      <c r="A48" s="130">
        <v>40816</v>
      </c>
      <c r="B48">
        <v>15587.1</v>
      </c>
    </row>
    <row r="49" spans="1:5">
      <c r="A49" s="130">
        <v>40908</v>
      </c>
      <c r="B49">
        <v>15785.3</v>
      </c>
    </row>
    <row r="50" spans="1:5">
      <c r="A50" s="130">
        <v>40999</v>
      </c>
      <c r="B50">
        <v>15956.5</v>
      </c>
    </row>
    <row r="51" spans="1:5">
      <c r="A51" s="130">
        <v>41090</v>
      </c>
      <c r="B51">
        <v>16094.7</v>
      </c>
    </row>
    <row r="52" spans="1:5">
      <c r="A52" s="130">
        <v>41182</v>
      </c>
      <c r="B52">
        <v>16268.9</v>
      </c>
    </row>
    <row r="53" spans="1:5">
      <c r="A53" s="130">
        <v>41274</v>
      </c>
      <c r="B53">
        <v>16332.5</v>
      </c>
    </row>
    <row r="54" spans="1:5">
      <c r="A54" s="130">
        <v>41364</v>
      </c>
      <c r="B54">
        <v>16502.400000000001</v>
      </c>
    </row>
    <row r="55" spans="1:5">
      <c r="A55" s="130">
        <v>41455</v>
      </c>
      <c r="B55">
        <v>16619.2</v>
      </c>
    </row>
    <row r="56" spans="1:5">
      <c r="A56" s="130">
        <v>41547</v>
      </c>
      <c r="B56">
        <v>16872.3</v>
      </c>
    </row>
    <row r="57" spans="1:5">
      <c r="A57" s="130">
        <v>41639</v>
      </c>
      <c r="B57">
        <v>17078.3</v>
      </c>
    </row>
    <row r="58" spans="1:5">
      <c r="A58" s="130">
        <v>41729</v>
      </c>
      <c r="B58">
        <v>17044</v>
      </c>
    </row>
    <row r="59" spans="1:5">
      <c r="A59" s="130">
        <v>41820</v>
      </c>
      <c r="B59">
        <v>17328.2</v>
      </c>
    </row>
    <row r="60" spans="1:5">
      <c r="A60" s="130">
        <v>41912</v>
      </c>
      <c r="B60">
        <v>17599.8</v>
      </c>
    </row>
    <row r="61" spans="1:5">
      <c r="A61" s="130">
        <v>42004</v>
      </c>
      <c r="B61">
        <v>17703.7</v>
      </c>
    </row>
    <row r="62" spans="1:5">
      <c r="A62" s="130">
        <v>42094</v>
      </c>
      <c r="B62">
        <v>17665</v>
      </c>
      <c r="E62" s="130"/>
    </row>
    <row r="63" spans="1:5">
      <c r="A63" s="130">
        <v>42185</v>
      </c>
      <c r="B63">
        <v>17913.7</v>
      </c>
      <c r="E63" s="130"/>
    </row>
    <row r="64" spans="1:5">
      <c r="A64" s="130">
        <v>42277</v>
      </c>
      <c r="B64">
        <v>18060.2</v>
      </c>
    </row>
    <row r="65" spans="1:2">
      <c r="A65" s="130">
        <v>42369</v>
      </c>
      <c r="B65">
        <v>18164.8</v>
      </c>
    </row>
    <row r="66" spans="1:2">
      <c r="A66" s="130">
        <v>42460</v>
      </c>
      <c r="B66" s="137">
        <v>18325.187000000002</v>
      </c>
    </row>
    <row r="67" spans="1:2">
      <c r="A67" s="130">
        <v>42551</v>
      </c>
      <c r="B67" s="137">
        <v>18538.039000000001</v>
      </c>
    </row>
    <row r="68" spans="1:2">
      <c r="A68" s="130">
        <v>42643</v>
      </c>
      <c r="B68" s="137">
        <v>18729.13</v>
      </c>
    </row>
    <row r="69" spans="1:2">
      <c r="A69" s="130">
        <v>42735</v>
      </c>
      <c r="B69" s="137">
        <v>18905.544999999998</v>
      </c>
    </row>
    <row r="70" spans="1:2">
      <c r="A70" s="130">
        <v>42825</v>
      </c>
      <c r="B70" s="137">
        <v>19057.705000000002</v>
      </c>
    </row>
    <row r="71" spans="1:2">
      <c r="A71" s="130">
        <v>42916</v>
      </c>
      <c r="B71" s="137">
        <v>19250.008999999998</v>
      </c>
    </row>
    <row r="72" spans="1:2">
      <c r="A72" s="130">
        <v>43008</v>
      </c>
      <c r="B72" s="137">
        <v>19500.601999999999</v>
      </c>
    </row>
    <row r="73" spans="1:2">
      <c r="A73" s="130">
        <v>43100</v>
      </c>
      <c r="B73" s="137">
        <v>19754.101999999999</v>
      </c>
    </row>
    <row r="74" spans="1:2">
      <c r="A74" s="130">
        <v>43190</v>
      </c>
      <c r="B74" s="137">
        <v>19956.811000000002</v>
      </c>
    </row>
    <row r="75" spans="1:2">
      <c r="A75" s="130">
        <v>43281</v>
      </c>
      <c r="B75" s="137">
        <v>20411.870000000003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showGridLines="0" workbookViewId="0"/>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7</vt:i4>
      </vt:variant>
      <vt:variant>
        <vt:lpstr>Named Ranges</vt:lpstr>
      </vt:variant>
      <vt:variant>
        <vt:i4>44</vt:i4>
      </vt:variant>
    </vt:vector>
  </HeadingPairs>
  <TitlesOfParts>
    <vt:vector size="57" baseType="lpstr">
      <vt:lpstr>Valuation Model</vt:lpstr>
      <vt:lpstr>Company Analysis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2018-10-30T04:18:17Z</dcterms:modified>
</cp:coreProperties>
</file>