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dfedd50d51e5ce/Documents/Business/Company Research/ORCL - Oracle Corporation/2018.07 Update/"/>
    </mc:Choice>
  </mc:AlternateContent>
  <xr:revisionPtr revIDLastSave="955" documentId="8_{9489EA71-275C-42AE-8F60-71CC95726B4E}" xr6:coauthVersionLast="34" xr6:coauthVersionMax="34" xr10:uidLastSave="{F881B229-36DE-4465-A3ED-EAD211A940B2}"/>
  <bookViews>
    <workbookView xWindow="0" yWindow="0" windowWidth="7185" windowHeight="1898" xr2:uid="{1525A304-E220-44CF-90E4-AFB0EED0B34C}"/>
  </bookViews>
  <sheets>
    <sheet name="Imputed Cost of Share Issuance" sheetId="1" r:id="rId1"/>
    <sheet name="Financial Statement Excerpt" sheetId="2" r:id="rId2"/>
    <sheet name="Stock Issuance Record Compariso" sheetId="3" r:id="rId3"/>
    <sheet name="Costs per Employee" sheetId="4" r:id="rId4"/>
    <sheet name="Option Grants" sheetId="5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4" l="1"/>
  <c r="O22" i="4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24" i="5"/>
  <c r="K38" i="5"/>
  <c r="O35" i="5"/>
  <c r="T34" i="5"/>
  <c r="T35" i="5"/>
  <c r="O36" i="5" s="1"/>
  <c r="T36" i="5" s="1"/>
  <c r="O37" i="5" s="1"/>
  <c r="T37" i="5" s="1"/>
  <c r="O38" i="5" s="1"/>
  <c r="T38" i="5" s="1"/>
  <c r="K30" i="5"/>
  <c r="K26" i="5"/>
  <c r="K27" i="5" s="1"/>
  <c r="K28" i="5" s="1"/>
  <c r="K29" i="5" s="1"/>
  <c r="K31" i="5" s="1"/>
  <c r="K32" i="5" s="1"/>
  <c r="K33" i="5" s="1"/>
  <c r="K34" i="5" s="1"/>
  <c r="K35" i="5" s="1"/>
  <c r="K36" i="5" s="1"/>
  <c r="K37" i="5" s="1"/>
  <c r="K25" i="5"/>
  <c r="K24" i="5"/>
  <c r="I24" i="5"/>
  <c r="H24" i="5"/>
  <c r="B25" i="5" s="1"/>
  <c r="B5" i="5"/>
  <c r="B4" i="5"/>
  <c r="B3" i="5"/>
  <c r="B8" i="5"/>
  <c r="B7" i="5"/>
  <c r="B6" i="5"/>
  <c r="B11" i="5"/>
  <c r="B10" i="5"/>
  <c r="B9" i="5"/>
  <c r="B12" i="5"/>
  <c r="B13" i="5"/>
  <c r="C26" i="4"/>
  <c r="D26" i="4"/>
  <c r="E26" i="4"/>
  <c r="F26" i="4"/>
  <c r="G26" i="4"/>
  <c r="H26" i="4"/>
  <c r="I26" i="4"/>
  <c r="J26" i="4"/>
  <c r="K26" i="4"/>
  <c r="L26" i="4"/>
  <c r="M26" i="4"/>
  <c r="N26" i="4"/>
  <c r="C27" i="4"/>
  <c r="D27" i="4"/>
  <c r="E27" i="4"/>
  <c r="F27" i="4"/>
  <c r="G27" i="4"/>
  <c r="H27" i="4"/>
  <c r="I27" i="4"/>
  <c r="J27" i="4"/>
  <c r="K27" i="4"/>
  <c r="L27" i="4"/>
  <c r="M27" i="4"/>
  <c r="N27" i="4"/>
  <c r="C28" i="4"/>
  <c r="D28" i="4"/>
  <c r="E28" i="4"/>
  <c r="F28" i="4"/>
  <c r="G28" i="4"/>
  <c r="H28" i="4"/>
  <c r="I28" i="4"/>
  <c r="J28" i="4"/>
  <c r="K28" i="4"/>
  <c r="L28" i="4"/>
  <c r="M28" i="4"/>
  <c r="N28" i="4"/>
  <c r="C29" i="4"/>
  <c r="D29" i="4"/>
  <c r="E29" i="4"/>
  <c r="F29" i="4"/>
  <c r="G29" i="4"/>
  <c r="H29" i="4"/>
  <c r="I29" i="4"/>
  <c r="J29" i="4"/>
  <c r="K29" i="4"/>
  <c r="L29" i="4"/>
  <c r="M29" i="4"/>
  <c r="N29" i="4"/>
  <c r="C30" i="4"/>
  <c r="D30" i="4"/>
  <c r="E30" i="4"/>
  <c r="F30" i="4"/>
  <c r="G30" i="4"/>
  <c r="H30" i="4"/>
  <c r="I30" i="4"/>
  <c r="J30" i="4"/>
  <c r="K30" i="4"/>
  <c r="L30" i="4"/>
  <c r="M30" i="4"/>
  <c r="N30" i="4"/>
  <c r="C31" i="4"/>
  <c r="D31" i="4"/>
  <c r="E31" i="4"/>
  <c r="F31" i="4"/>
  <c r="G31" i="4"/>
  <c r="H31" i="4"/>
  <c r="I31" i="4"/>
  <c r="J31" i="4"/>
  <c r="K31" i="4"/>
  <c r="L31" i="4"/>
  <c r="M31" i="4"/>
  <c r="N31" i="4"/>
  <c r="C32" i="4"/>
  <c r="D32" i="4"/>
  <c r="E32" i="4"/>
  <c r="F32" i="4"/>
  <c r="G32" i="4"/>
  <c r="H32" i="4"/>
  <c r="I32" i="4"/>
  <c r="J32" i="4"/>
  <c r="K32" i="4"/>
  <c r="L32" i="4"/>
  <c r="M32" i="4"/>
  <c r="N32" i="4"/>
  <c r="C33" i="4"/>
  <c r="D33" i="4"/>
  <c r="E33" i="4"/>
  <c r="F33" i="4"/>
  <c r="G33" i="4"/>
  <c r="H33" i="4"/>
  <c r="I33" i="4"/>
  <c r="J33" i="4"/>
  <c r="K33" i="4"/>
  <c r="L33" i="4"/>
  <c r="M33" i="4"/>
  <c r="N33" i="4"/>
  <c r="C34" i="4"/>
  <c r="D34" i="4"/>
  <c r="E34" i="4"/>
  <c r="F34" i="4"/>
  <c r="G34" i="4"/>
  <c r="H34" i="4"/>
  <c r="I34" i="4"/>
  <c r="J34" i="4"/>
  <c r="K34" i="4"/>
  <c r="L34" i="4"/>
  <c r="M34" i="4"/>
  <c r="N34" i="4"/>
  <c r="C35" i="4"/>
  <c r="D35" i="4"/>
  <c r="E35" i="4"/>
  <c r="F35" i="4"/>
  <c r="G35" i="4"/>
  <c r="H35" i="4"/>
  <c r="I35" i="4"/>
  <c r="J35" i="4"/>
  <c r="K35" i="4"/>
  <c r="L35" i="4"/>
  <c r="M35" i="4"/>
  <c r="N35" i="4"/>
  <c r="C36" i="4"/>
  <c r="D36" i="4"/>
  <c r="E36" i="4"/>
  <c r="F36" i="4"/>
  <c r="G36" i="4"/>
  <c r="H36" i="4"/>
  <c r="I36" i="4"/>
  <c r="J36" i="4"/>
  <c r="K36" i="4"/>
  <c r="L36" i="4"/>
  <c r="M36" i="4"/>
  <c r="N36" i="4"/>
  <c r="B27" i="4"/>
  <c r="B28" i="4"/>
  <c r="B29" i="4"/>
  <c r="B30" i="4"/>
  <c r="B31" i="4"/>
  <c r="B32" i="4"/>
  <c r="B33" i="4"/>
  <c r="B34" i="4"/>
  <c r="B35" i="4"/>
  <c r="B36" i="4"/>
  <c r="B26" i="4"/>
  <c r="C23" i="4"/>
  <c r="D23" i="4"/>
  <c r="E23" i="4"/>
  <c r="F23" i="4"/>
  <c r="G23" i="4"/>
  <c r="H23" i="4"/>
  <c r="I23" i="4"/>
  <c r="J23" i="4"/>
  <c r="K23" i="4"/>
  <c r="L23" i="4"/>
  <c r="M23" i="4"/>
  <c r="N23" i="4"/>
  <c r="B23" i="4"/>
  <c r="F22" i="4"/>
  <c r="J22" i="4"/>
  <c r="L22" i="4"/>
  <c r="M22" i="4"/>
  <c r="N22" i="4"/>
  <c r="B22" i="4"/>
  <c r="E17" i="4"/>
  <c r="I17" i="4"/>
  <c r="I21" i="4" s="1"/>
  <c r="L17" i="4"/>
  <c r="M17" i="4"/>
  <c r="M21" i="4" s="1"/>
  <c r="N17" i="4"/>
  <c r="N21" i="4" s="1"/>
  <c r="B17" i="4"/>
  <c r="B21" i="4" s="1"/>
  <c r="L21" i="4"/>
  <c r="E2" i="4"/>
  <c r="E22" i="4" s="1"/>
  <c r="D2" i="4"/>
  <c r="D17" i="4" s="1"/>
  <c r="C2" i="4"/>
  <c r="K2" i="4"/>
  <c r="J2" i="4"/>
  <c r="J17" i="4" s="1"/>
  <c r="I2" i="4"/>
  <c r="I22" i="4" s="1"/>
  <c r="H2" i="4"/>
  <c r="H22" i="4" s="1"/>
  <c r="G2" i="4"/>
  <c r="F2" i="4"/>
  <c r="F17" i="4" s="1"/>
  <c r="I25" i="5" l="1"/>
  <c r="H25" i="5"/>
  <c r="B26" i="5" s="1"/>
  <c r="H17" i="4"/>
  <c r="H21" i="4" s="1"/>
  <c r="G21" i="4"/>
  <c r="D21" i="4"/>
  <c r="K17" i="4"/>
  <c r="K21" i="4" s="1"/>
  <c r="G17" i="4"/>
  <c r="C17" i="4"/>
  <c r="C21" i="4" s="1"/>
  <c r="D22" i="4"/>
  <c r="K22" i="4"/>
  <c r="G22" i="4"/>
  <c r="C22" i="4"/>
  <c r="F21" i="4"/>
  <c r="J21" i="4"/>
  <c r="E21" i="4"/>
  <c r="H26" i="5" l="1"/>
  <c r="B27" i="5" s="1"/>
  <c r="I26" i="5"/>
  <c r="H27" i="5" l="1"/>
  <c r="B28" i="5" s="1"/>
  <c r="I27" i="5"/>
  <c r="H28" i="5" l="1"/>
  <c r="B29" i="5" s="1"/>
  <c r="I28" i="5"/>
  <c r="H29" i="5" l="1"/>
  <c r="B30" i="5" s="1"/>
  <c r="I29" i="5"/>
  <c r="H30" i="5" l="1"/>
  <c r="B31" i="5" s="1"/>
  <c r="I30" i="5"/>
  <c r="H31" i="5" l="1"/>
  <c r="B32" i="5" s="1"/>
  <c r="I31" i="5"/>
  <c r="H32" i="5" l="1"/>
  <c r="B33" i="5" s="1"/>
  <c r="I32" i="5"/>
  <c r="H33" i="5" l="1"/>
  <c r="B34" i="5" s="1"/>
  <c r="H34" i="5" s="1"/>
  <c r="I33" i="5"/>
  <c r="B35" i="5" l="1"/>
  <c r="I34" i="5"/>
  <c r="H35" i="5" l="1"/>
  <c r="B36" i="5" s="1"/>
  <c r="I35" i="5"/>
  <c r="H36" i="5" l="1"/>
  <c r="B37" i="5" s="1"/>
  <c r="I36" i="5"/>
  <c r="H37" i="5" l="1"/>
  <c r="B38" i="5" s="1"/>
  <c r="I37" i="5"/>
  <c r="H38" i="5" l="1"/>
  <c r="I38" i="5"/>
  <c r="B59" i="3" l="1"/>
  <c r="C59" i="3" s="1"/>
  <c r="B58" i="3"/>
  <c r="B57" i="3"/>
  <c r="C57" i="3" s="1"/>
  <c r="B29" i="3"/>
  <c r="B27" i="3"/>
  <c r="D29" i="3" s="1"/>
  <c r="C15" i="3" s="1"/>
  <c r="E25" i="3"/>
  <c r="E26" i="3" s="1"/>
  <c r="E27" i="3" s="1"/>
  <c r="E28" i="3" s="1"/>
  <c r="E24" i="3"/>
  <c r="D33" i="3" l="1"/>
  <c r="C19" i="3" s="1"/>
  <c r="C31" i="3"/>
  <c r="D31" i="3"/>
  <c r="C17" i="3" s="1"/>
  <c r="C30" i="3"/>
  <c r="D30" i="3"/>
  <c r="C16" i="3" s="1"/>
  <c r="C29" i="3"/>
  <c r="B30" i="3"/>
  <c r="B31" i="3" s="1"/>
  <c r="B32" i="3" s="1"/>
  <c r="B33" i="3" s="1"/>
  <c r="C32" i="3"/>
  <c r="D32" i="3"/>
  <c r="C18" i="3" s="1"/>
  <c r="E29" i="3"/>
  <c r="E30" i="3" s="1"/>
  <c r="E31" i="3" s="1"/>
  <c r="E32" i="3" s="1"/>
  <c r="A2" i="3"/>
  <c r="B2" i="3"/>
  <c r="D2" i="3" s="1"/>
  <c r="E2" i="3"/>
  <c r="H2" i="3" s="1"/>
  <c r="F2" i="3"/>
  <c r="G2" i="3"/>
  <c r="A3" i="3"/>
  <c r="B3" i="3"/>
  <c r="D3" i="3" s="1"/>
  <c r="E3" i="3"/>
  <c r="F3" i="3"/>
  <c r="G3" i="3"/>
  <c r="A4" i="3"/>
  <c r="B4" i="3"/>
  <c r="D4" i="3" s="1"/>
  <c r="E4" i="3"/>
  <c r="F4" i="3"/>
  <c r="G4" i="3"/>
  <c r="L5" i="1"/>
  <c r="N5" i="1" s="1"/>
  <c r="O5" i="1" s="1"/>
  <c r="L6" i="1"/>
  <c r="N6" i="1" s="1"/>
  <c r="O6" i="1" s="1"/>
  <c r="L4" i="1"/>
  <c r="N4" i="1" s="1"/>
  <c r="O4" i="1" s="1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F5" i="3"/>
  <c r="G5" i="3"/>
  <c r="E5" i="3"/>
  <c r="C12" i="3"/>
  <c r="C13" i="3"/>
  <c r="C14" i="3"/>
  <c r="C11" i="3"/>
  <c r="L17" i="1"/>
  <c r="L18" i="1" s="1"/>
  <c r="B6" i="3"/>
  <c r="D6" i="3" s="1"/>
  <c r="B7" i="3"/>
  <c r="D7" i="3" s="1"/>
  <c r="B8" i="3"/>
  <c r="D8" i="3" s="1"/>
  <c r="B9" i="3"/>
  <c r="D9" i="3" s="1"/>
  <c r="B10" i="3"/>
  <c r="D10" i="3" s="1"/>
  <c r="B11" i="3"/>
  <c r="B12" i="3"/>
  <c r="B13" i="3"/>
  <c r="B14" i="3"/>
  <c r="B5" i="3"/>
  <c r="D5" i="3" s="1"/>
  <c r="A6" i="3"/>
  <c r="A7" i="3"/>
  <c r="A8" i="3"/>
  <c r="A9" i="3"/>
  <c r="A10" i="3"/>
  <c r="A11" i="3"/>
  <c r="A12" i="3"/>
  <c r="A13" i="3"/>
  <c r="A14" i="3"/>
  <c r="A5" i="3"/>
  <c r="D14" i="3" l="1"/>
  <c r="H4" i="3"/>
  <c r="H3" i="3"/>
  <c r="B15" i="3"/>
  <c r="C33" i="3"/>
  <c r="E33" i="3" s="1"/>
  <c r="D13" i="3"/>
  <c r="D12" i="3"/>
  <c r="D11" i="3"/>
  <c r="D21" i="3" s="1"/>
  <c r="L19" i="1"/>
  <c r="B16" i="3" l="1"/>
  <c r="D15" i="3"/>
  <c r="H6" i="3"/>
  <c r="H7" i="3"/>
  <c r="H8" i="3"/>
  <c r="H9" i="3"/>
  <c r="H10" i="3"/>
  <c r="H11" i="3"/>
  <c r="H12" i="3"/>
  <c r="H13" i="3"/>
  <c r="H14" i="3"/>
  <c r="H5" i="3"/>
  <c r="H16" i="3" s="1"/>
  <c r="S8" i="1"/>
  <c r="S9" i="1"/>
  <c r="S10" i="1"/>
  <c r="S11" i="1"/>
  <c r="S12" i="1"/>
  <c r="S13" i="1"/>
  <c r="S14" i="1"/>
  <c r="S15" i="1"/>
  <c r="S16" i="1"/>
  <c r="S7" i="1"/>
  <c r="W9" i="1"/>
  <c r="U7" i="1"/>
  <c r="N8" i="1"/>
  <c r="T8" i="1" s="1"/>
  <c r="N9" i="1"/>
  <c r="T9" i="1" s="1"/>
  <c r="N10" i="1"/>
  <c r="U10" i="1" s="1"/>
  <c r="N11" i="1"/>
  <c r="V11" i="1" s="1"/>
  <c r="N12" i="1"/>
  <c r="T12" i="1" s="1"/>
  <c r="N13" i="1"/>
  <c r="T13" i="1" s="1"/>
  <c r="N14" i="1"/>
  <c r="U14" i="1" s="1"/>
  <c r="N15" i="1"/>
  <c r="V15" i="1" s="1"/>
  <c r="N16" i="1"/>
  <c r="T16" i="1" s="1"/>
  <c r="N7" i="1"/>
  <c r="T7" i="1" s="1"/>
  <c r="V16" i="1" l="1"/>
  <c r="V8" i="1"/>
  <c r="W13" i="1"/>
  <c r="V12" i="1"/>
  <c r="B17" i="3"/>
  <c r="D16" i="3"/>
  <c r="U15" i="1"/>
  <c r="U11" i="1"/>
  <c r="V7" i="1"/>
  <c r="U16" i="1"/>
  <c r="W14" i="1"/>
  <c r="V13" i="1"/>
  <c r="U12" i="1"/>
  <c r="W10" i="1"/>
  <c r="V9" i="1"/>
  <c r="U8" i="1"/>
  <c r="T14" i="1"/>
  <c r="T10" i="1"/>
  <c r="T15" i="1"/>
  <c r="W7" i="1"/>
  <c r="W15" i="1"/>
  <c r="V14" i="1"/>
  <c r="U13" i="1"/>
  <c r="W11" i="1"/>
  <c r="V10" i="1"/>
  <c r="U9" i="1"/>
  <c r="T11" i="1"/>
  <c r="W16" i="1"/>
  <c r="W12" i="1"/>
  <c r="W8" i="1"/>
  <c r="O8" i="1"/>
  <c r="O9" i="1"/>
  <c r="O10" i="1"/>
  <c r="O11" i="1"/>
  <c r="O12" i="1"/>
  <c r="O13" i="1"/>
  <c r="O14" i="1"/>
  <c r="O15" i="1"/>
  <c r="O16" i="1"/>
  <c r="O7" i="1"/>
  <c r="Q16" i="1" l="1"/>
  <c r="Q15" i="1" s="1"/>
  <c r="B18" i="3"/>
  <c r="D17" i="3"/>
  <c r="X7" i="1"/>
  <c r="X15" i="1" s="1"/>
  <c r="P14" i="1"/>
  <c r="P13" i="1" s="1"/>
  <c r="P12" i="1" s="1"/>
  <c r="P11" i="1" s="1"/>
  <c r="P10" i="1" s="1"/>
  <c r="P9" i="1" s="1"/>
  <c r="P8" i="1" s="1"/>
  <c r="P7" i="1" s="1"/>
  <c r="P6" i="1" s="1"/>
  <c r="P5" i="1" s="1"/>
  <c r="P4" i="1" s="1"/>
  <c r="X16" i="1" l="1"/>
  <c r="D18" i="3"/>
  <c r="D20" i="3" s="1"/>
  <c r="B19" i="3"/>
  <c r="D19" i="3" s="1"/>
</calcChain>
</file>

<file path=xl/sharedStrings.xml><?xml version="1.0" encoding="utf-8"?>
<sst xmlns="http://schemas.openxmlformats.org/spreadsheetml/2006/main" count="86" uniqueCount="63">
  <si>
    <t>Average Stock Price</t>
  </si>
  <si>
    <t>Number of Shares Issued</t>
  </si>
  <si>
    <t>Cash Received for Shares Issued</t>
  </si>
  <si>
    <t>Net Value of Issued Shares</t>
  </si>
  <si>
    <t>Revenues</t>
  </si>
  <si>
    <t>Imputed Cost of Share Issuance as a Percentage of Revenues</t>
  </si>
  <si>
    <t>Year Ended in</t>
  </si>
  <si>
    <t>Early Average</t>
  </si>
  <si>
    <t>Late Average</t>
  </si>
  <si>
    <t>Op Profit</t>
  </si>
  <si>
    <t>Net Income</t>
  </si>
  <si>
    <t>OCF</t>
  </si>
  <si>
    <t>FY</t>
  </si>
  <si>
    <t>CFO</t>
  </si>
  <si>
    <t>Imputed Value of Issued Shares as a Percentage of…</t>
  </si>
  <si>
    <t>Options Exercised</t>
  </si>
  <si>
    <t xml:space="preserve">Stock comp </t>
  </si>
  <si>
    <t>Stock purchase plans</t>
  </si>
  <si>
    <t>Other</t>
  </si>
  <si>
    <t>Vested RSU Awards</t>
  </si>
  <si>
    <t>Consolidated Statement of Equity</t>
  </si>
  <si>
    <t>Stock Compensation Note</t>
  </si>
  <si>
    <t>Year Ended</t>
  </si>
  <si>
    <t>RSUs Vested</t>
  </si>
  <si>
    <t>Granted</t>
  </si>
  <si>
    <t>Canceled</t>
  </si>
  <si>
    <t>Exercised</t>
  </si>
  <si>
    <t>Balance Outstanding</t>
  </si>
  <si>
    <t>Cancel Rate</t>
  </si>
  <si>
    <t>Employees</t>
  </si>
  <si>
    <t>Compensation-Related Stock Issuance</t>
  </si>
  <si>
    <t>Employee Count ('000)</t>
  </si>
  <si>
    <t>Stock-Based Compensation</t>
  </si>
  <si>
    <t>Cloud Services &amp; Support</t>
  </si>
  <si>
    <t>Hardware</t>
  </si>
  <si>
    <t>Services</t>
  </si>
  <si>
    <t>Sales and Marketing</t>
  </si>
  <si>
    <t>R&amp;D</t>
  </si>
  <si>
    <t>G&amp;A</t>
  </si>
  <si>
    <t>Employees ('000s)</t>
  </si>
  <si>
    <t>Hardware Systems products</t>
  </si>
  <si>
    <t>Hardware Systems support</t>
  </si>
  <si>
    <t>Cloud SaaS and PaaS</t>
  </si>
  <si>
    <t>Cloud IaaS</t>
  </si>
  <si>
    <t>Software Updates</t>
  </si>
  <si>
    <t>Imputed Value of Issuance</t>
  </si>
  <si>
    <t>Owners' Costs ('000s)</t>
  </si>
  <si>
    <t>Owners' Costs / Employee (LHS)</t>
  </si>
  <si>
    <t>Cash Costs / Employee (LHS)</t>
  </si>
  <si>
    <t>Non-Cash Compensation (RHS)</t>
  </si>
  <si>
    <t>Options Granted - Oracle</t>
  </si>
  <si>
    <t>Assumed</t>
  </si>
  <si>
    <t>Starting</t>
  </si>
  <si>
    <t>Ending</t>
  </si>
  <si>
    <t>Vested &amp; Issued</t>
  </si>
  <si>
    <t>Cancelled</t>
  </si>
  <si>
    <t>Beginning</t>
  </si>
  <si>
    <t>CEO / CTO Options</t>
  </si>
  <si>
    <t>Granted Options</t>
  </si>
  <si>
    <t>Granted RSUs</t>
  </si>
  <si>
    <t>RSU Issued &amp; Options Exercised</t>
  </si>
  <si>
    <t>Canceled RSUs and Options</t>
  </si>
  <si>
    <t>12-year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</si>
</sst>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&quot;E&quot;"/>
    <numFmt numFmtId="168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9" fontId="0" fillId="0" borderId="0" xfId="2" applyFont="1"/>
    <xf numFmtId="9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168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575A5D"/>
      <color rgb="FF004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/>
              <a:t>Imputed Cost of Share Issuance as a Pct of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'Imputed Cost of Share Issuance'!$O$3</c:f>
              <c:strCache>
                <c:ptCount val="1"/>
                <c:pt idx="0">
                  <c:v>Imputed Cost of Share Issuance as a Percentage of Revenues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Issuance'!$O$7:$O$16</c:f>
              <c:numCache>
                <c:formatCode>0%</c:formatCode>
                <c:ptCount val="10"/>
                <c:pt idx="0">
                  <c:v>3.0262773094787549E-2</c:v>
                </c:pt>
                <c:pt idx="1">
                  <c:v>2.0435495898583143E-2</c:v>
                </c:pt>
                <c:pt idx="2">
                  <c:v>2.6241086968727186E-2</c:v>
                </c:pt>
                <c:pt idx="3">
                  <c:v>1.4580426173863851E-2</c:v>
                </c:pt>
                <c:pt idx="4">
                  <c:v>3.3691500806885426E-2</c:v>
                </c:pt>
                <c:pt idx="5">
                  <c:v>3.3834095362508164E-2</c:v>
                </c:pt>
                <c:pt idx="6">
                  <c:v>3.2432899073928732E-2</c:v>
                </c:pt>
                <c:pt idx="7">
                  <c:v>2.7270467841630897E-2</c:v>
                </c:pt>
                <c:pt idx="8">
                  <c:v>4.8912433699068322E-2</c:v>
                </c:pt>
                <c:pt idx="9">
                  <c:v>8.4555797227265181E-2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7-43E6-8A19-4432EB9D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184088"/>
        <c:axId val="781180808"/>
      </c:barChart>
      <c:lineChart>
        <c:grouping val="standard"/>
        <c:varyColors val="0"/>
        <c:ser>
          <c:idx val="1"/>
          <c:order val="1"/>
          <c:tx>
            <c:strRef>
              <c:f>'Imputed Cost of Share Issuance'!$P$3</c:f>
              <c:strCache>
                <c:ptCount val="1"/>
                <c:pt idx="0">
                  <c:v>Early Average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0.5805555555555556"/>
                  <c:y val="-4.629629629629638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67-43E6-8A19-4432EB9D8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Issuance'!$P$7:$P$16</c:f>
              <c:numCache>
                <c:formatCode>0%</c:formatCode>
                <c:ptCount val="10"/>
                <c:pt idx="0">
                  <c:v>2.7343593152614372E-2</c:v>
                </c:pt>
                <c:pt idx="1">
                  <c:v>2.7343593152614372E-2</c:v>
                </c:pt>
                <c:pt idx="2">
                  <c:v>2.7343593152614372E-2</c:v>
                </c:pt>
                <c:pt idx="3">
                  <c:v>2.7343593152614372E-2</c:v>
                </c:pt>
                <c:pt idx="4">
                  <c:v>2.7343593152614372E-2</c:v>
                </c:pt>
                <c:pt idx="5">
                  <c:v>2.7343593152614372E-2</c:v>
                </c:pt>
                <c:pt idx="6">
                  <c:v>2.7343593152614372E-2</c:v>
                </c:pt>
                <c:pt idx="7">
                  <c:v>2.7343593152614372E-2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67-43E6-8A19-4432EB9D8C64}"/>
            </c:ext>
          </c:extLst>
        </c:ser>
        <c:ser>
          <c:idx val="2"/>
          <c:order val="2"/>
          <c:tx>
            <c:strRef>
              <c:f>'Imputed Cost of Share Issuance'!$Q$3</c:f>
              <c:strCache>
                <c:ptCount val="1"/>
                <c:pt idx="0">
                  <c:v>Late Average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0.11296296296296296"/>
                  <c:y val="-3.4722222222222858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67-43E6-8A19-4432EB9D8C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Issuance'!$Q$7:$Q$16</c:f>
              <c:numCache>
                <c:formatCode>0%</c:formatCode>
                <c:ptCount val="10"/>
                <c:pt idx="8">
                  <c:v>6.6734115463166752E-2</c:v>
                </c:pt>
                <c:pt idx="9">
                  <c:v>6.6734115463166752E-2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67-43E6-8A19-4432EB9D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184088"/>
        <c:axId val="781180808"/>
      </c:lineChart>
      <c:catAx>
        <c:axId val="78118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81180808"/>
        <c:crosses val="autoZero"/>
        <c:auto val="1"/>
        <c:lblAlgn val="ctr"/>
        <c:lblOffset val="100"/>
        <c:noMultiLvlLbl val="0"/>
      </c:catAx>
      <c:valAx>
        <c:axId val="7811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8118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Stock Compensation Grants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'Option Grants'!$C$23</c:f>
              <c:strCache>
                <c:ptCount val="1"/>
                <c:pt idx="0">
                  <c:v>Granted Options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'Option Grants'!$N$24:$N$38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'Option Grants'!$C$24:$C$38</c:f>
              <c:numCache>
                <c:formatCode>General</c:formatCode>
                <c:ptCount val="15"/>
                <c:pt idx="0">
                  <c:v>44</c:v>
                </c:pt>
                <c:pt idx="1">
                  <c:v>139</c:v>
                </c:pt>
                <c:pt idx="2">
                  <c:v>150</c:v>
                </c:pt>
                <c:pt idx="3">
                  <c:v>61</c:v>
                </c:pt>
                <c:pt idx="4">
                  <c:v>61</c:v>
                </c:pt>
                <c:pt idx="5">
                  <c:v>69</c:v>
                </c:pt>
                <c:pt idx="6">
                  <c:v>72</c:v>
                </c:pt>
                <c:pt idx="7">
                  <c:v>110</c:v>
                </c:pt>
                <c:pt idx="8">
                  <c:v>112</c:v>
                </c:pt>
                <c:pt idx="9">
                  <c:v>119</c:v>
                </c:pt>
                <c:pt idx="10">
                  <c:v>131</c:v>
                </c:pt>
                <c:pt idx="11">
                  <c:v>34</c:v>
                </c:pt>
                <c:pt idx="12">
                  <c:v>18</c:v>
                </c:pt>
                <c:pt idx="13">
                  <c:v>11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4-4FFB-B49C-32E9F2A503A3}"/>
            </c:ext>
          </c:extLst>
        </c:ser>
        <c:ser>
          <c:idx val="1"/>
          <c:order val="1"/>
          <c:tx>
            <c:strRef>
              <c:f>'Option Grants'!$D$23</c:f>
              <c:strCache>
                <c:ptCount val="1"/>
                <c:pt idx="0">
                  <c:v>CEO / CTO Options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'Option Grants'!$N$24:$N$38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'Option Grants'!$D$24:$D$38</c:f>
              <c:numCache>
                <c:formatCode>General</c:formatCode>
                <c:ptCount val="15"/>
                <c:pt idx="12">
                  <c:v>7</c:v>
                </c:pt>
                <c:pt idx="13">
                  <c:v>7</c:v>
                </c:pt>
                <c:pt idx="1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4-4FFB-B49C-32E9F2A503A3}"/>
            </c:ext>
          </c:extLst>
        </c:ser>
        <c:ser>
          <c:idx val="2"/>
          <c:order val="2"/>
          <c:tx>
            <c:strRef>
              <c:f>'Option Grants'!$P$23</c:f>
              <c:strCache>
                <c:ptCount val="1"/>
                <c:pt idx="0">
                  <c:v>Granted RSUs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'Option Grants'!$N$24:$N$38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'Option Grants'!$P$24:$P$38</c:f>
              <c:numCache>
                <c:formatCode>General</c:formatCode>
                <c:ptCount val="15"/>
                <c:pt idx="10">
                  <c:v>1</c:v>
                </c:pt>
                <c:pt idx="11">
                  <c:v>28</c:v>
                </c:pt>
                <c:pt idx="12">
                  <c:v>34</c:v>
                </c:pt>
                <c:pt idx="13">
                  <c:v>42</c:v>
                </c:pt>
                <c:pt idx="1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E4-4FFB-B49C-32E9F2A503A3}"/>
            </c:ext>
          </c:extLst>
        </c:ser>
        <c:ser>
          <c:idx val="4"/>
          <c:order val="4"/>
          <c:tx>
            <c:strRef>
              <c:f>'Option Grants'!$W$23</c:f>
              <c:strCache>
                <c:ptCount val="1"/>
                <c:pt idx="0">
                  <c:v>Canceled RSUs and Options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'Option Grants'!$N$24:$N$38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'Option Grants'!$W$24:$W$38</c:f>
              <c:numCache>
                <c:formatCode>General</c:formatCode>
                <c:ptCount val="15"/>
                <c:pt idx="0">
                  <c:v>-21</c:v>
                </c:pt>
                <c:pt idx="1">
                  <c:v>-39</c:v>
                </c:pt>
                <c:pt idx="2">
                  <c:v>-59</c:v>
                </c:pt>
                <c:pt idx="3">
                  <c:v>-19</c:v>
                </c:pt>
                <c:pt idx="4">
                  <c:v>-18</c:v>
                </c:pt>
                <c:pt idx="5">
                  <c:v>-13</c:v>
                </c:pt>
                <c:pt idx="6">
                  <c:v>-42</c:v>
                </c:pt>
                <c:pt idx="7">
                  <c:v>-31</c:v>
                </c:pt>
                <c:pt idx="8">
                  <c:v>-13</c:v>
                </c:pt>
                <c:pt idx="9">
                  <c:v>-20</c:v>
                </c:pt>
                <c:pt idx="10">
                  <c:v>-26</c:v>
                </c:pt>
                <c:pt idx="11">
                  <c:v>-17</c:v>
                </c:pt>
                <c:pt idx="12">
                  <c:v>-14</c:v>
                </c:pt>
                <c:pt idx="13">
                  <c:v>-13</c:v>
                </c:pt>
                <c:pt idx="14">
                  <c:v>-18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4-4FFB-B49C-32E9F2A50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2906528"/>
        <c:axId val="822908168"/>
      </c:barChart>
      <c:lineChart>
        <c:grouping val="standard"/>
        <c:varyColors val="0"/>
        <c:ser>
          <c:idx val="3"/>
          <c:order val="3"/>
          <c:tx>
            <c:strRef>
              <c:f>'Option Grants'!$V$23</c:f>
              <c:strCache>
                <c:ptCount val="1"/>
                <c:pt idx="0">
                  <c:v>RSU Issued &amp; Options Exercised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'Option Grants'!$N$24:$N$38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'Option Grants'!$V$24:$V$38</c:f>
              <c:numCache>
                <c:formatCode>General</c:formatCode>
                <c:ptCount val="15"/>
                <c:pt idx="0">
                  <c:v>38</c:v>
                </c:pt>
                <c:pt idx="1">
                  <c:v>71</c:v>
                </c:pt>
                <c:pt idx="2">
                  <c:v>87</c:v>
                </c:pt>
                <c:pt idx="3">
                  <c:v>106</c:v>
                </c:pt>
                <c:pt idx="4">
                  <c:v>135</c:v>
                </c:pt>
                <c:pt idx="5">
                  <c:v>76</c:v>
                </c:pt>
                <c:pt idx="6">
                  <c:v>60</c:v>
                </c:pt>
                <c:pt idx="7">
                  <c:v>78</c:v>
                </c:pt>
                <c:pt idx="8">
                  <c:v>39</c:v>
                </c:pt>
                <c:pt idx="9">
                  <c:v>83</c:v>
                </c:pt>
                <c:pt idx="10">
                  <c:v>95</c:v>
                </c:pt>
                <c:pt idx="11">
                  <c:v>70</c:v>
                </c:pt>
                <c:pt idx="12">
                  <c:v>60</c:v>
                </c:pt>
                <c:pt idx="13">
                  <c:v>95</c:v>
                </c:pt>
                <c:pt idx="1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E4-4FFB-B49C-32E9F2A50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06528"/>
        <c:axId val="822908168"/>
      </c:lineChart>
      <c:catAx>
        <c:axId val="82290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22908168"/>
        <c:crosses val="autoZero"/>
        <c:auto val="1"/>
        <c:lblAlgn val="ctr"/>
        <c:lblOffset val="100"/>
        <c:noMultiLvlLbl val="0"/>
      </c:catAx>
      <c:valAx>
        <c:axId val="82290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2290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Imputed Value of Share Issuance as a Pct of…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'Imputed Cost of Share Issuance'!$U$3</c:f>
              <c:strCache>
                <c:ptCount val="1"/>
                <c:pt idx="0">
                  <c:v>Op Profit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'Imputed Cost of Share Issuance'!$S$7:$S$16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Issuance'!$U$7:$U$16</c:f>
              <c:numCache>
                <c:formatCode>0%</c:formatCode>
                <c:ptCount val="10"/>
                <c:pt idx="0">
                  <c:v>8.2252483927527764E-2</c:v>
                </c:pt>
                <c:pt idx="1">
                  <c:v>5.5710510266314281E-2</c:v>
                </c:pt>
                <c:pt idx="2">
                  <c:v>7.3441231929604001E-2</c:v>
                </c:pt>
                <c:pt idx="3">
                  <c:v>3.8503236821512417E-2</c:v>
                </c:pt>
                <c:pt idx="4">
                  <c:v>8.679670177383593E-2</c:v>
                </c:pt>
                <c:pt idx="5">
                  <c:v>8.6431288793966499E-2</c:v>
                </c:pt>
                <c:pt idx="6">
                  <c:v>8.6764644131849658E-2</c:v>
                </c:pt>
                <c:pt idx="7">
                  <c:v>7.7097758098969765E-2</c:v>
                </c:pt>
                <c:pt idx="8">
                  <c:v>0.13900032378716856</c:v>
                </c:pt>
                <c:pt idx="9">
                  <c:v>0.23520790274175565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4-4A79-8BDC-210DB46B9C69}"/>
            </c:ext>
          </c:extLst>
        </c:ser>
        <c:ser>
          <c:idx val="3"/>
          <c:order val="1"/>
          <c:tx>
            <c:strRef>
              <c:f>'Imputed Cost of Share Issuance'!$V$3</c:f>
              <c:strCache>
                <c:ptCount val="1"/>
                <c:pt idx="0">
                  <c:v>Net Income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'Imputed Cost of Share Issuance'!$S$7:$S$16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Issuance'!$V$7:$V$16</c:f>
              <c:numCache>
                <c:formatCode>0%</c:formatCode>
                <c:ptCount val="10"/>
                <c:pt idx="0">
                  <c:v>0.12581262292150905</c:v>
                </c:pt>
                <c:pt idx="1">
                  <c:v>8.9336593317033405E-2</c:v>
                </c:pt>
                <c:pt idx="2">
                  <c:v>0.10936702936702934</c:v>
                </c:pt>
                <c:pt idx="3">
                  <c:v>5.4227031359583212E-2</c:v>
                </c:pt>
                <c:pt idx="4">
                  <c:v>0.11465903890160184</c:v>
                </c:pt>
                <c:pt idx="5">
                  <c:v>0.1182108626198083</c:v>
                </c:pt>
                <c:pt idx="6">
                  <c:v>0.1247514590460857</c:v>
                </c:pt>
                <c:pt idx="7">
                  <c:v>0.11350286733276035</c:v>
                </c:pt>
                <c:pt idx="8">
                  <c:v>0.1976827315049223</c:v>
                </c:pt>
                <c:pt idx="9">
                  <c:v>0.88050770179325466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4-4A79-8BDC-210DB46B9C69}"/>
            </c:ext>
          </c:extLst>
        </c:ser>
        <c:ser>
          <c:idx val="4"/>
          <c:order val="2"/>
          <c:tx>
            <c:strRef>
              <c:f>'Imputed Cost of Share Issuance'!$W$3</c:f>
              <c:strCache>
                <c:ptCount val="1"/>
                <c:pt idx="0">
                  <c:v>CFO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'Imputed Cost of Share Issuance'!$S$7:$S$16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'Imputed Cost of Share Issuance'!$W$7:$W$16</c:f>
              <c:numCache>
                <c:formatCode>0%</c:formatCode>
                <c:ptCount val="10"/>
                <c:pt idx="0">
                  <c:v>8.5241671714112663E-2</c:v>
                </c:pt>
                <c:pt idx="1">
                  <c:v>6.3135583458126934E-2</c:v>
                </c:pt>
                <c:pt idx="2">
                  <c:v>8.3356518637417498E-2</c:v>
                </c:pt>
                <c:pt idx="3">
                  <c:v>3.938295859710398E-2</c:v>
                </c:pt>
                <c:pt idx="4">
                  <c:v>8.8065944881889777E-2</c:v>
                </c:pt>
                <c:pt idx="5">
                  <c:v>8.679042959587159E-2</c:v>
                </c:pt>
                <c:pt idx="6">
                  <c:v>8.5032921810699574E-2</c:v>
                </c:pt>
                <c:pt idx="7">
                  <c:v>7.3824554046686142E-2</c:v>
                </c:pt>
                <c:pt idx="8">
                  <c:v>0.13063629467637333</c:v>
                </c:pt>
                <c:pt idx="9">
                  <c:v>0.21889652667094756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4-4A79-8BDC-210DB46B9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723136"/>
        <c:axId val="478725432"/>
      </c:barChart>
      <c:catAx>
        <c:axId val="4787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78725432"/>
        <c:crosses val="autoZero"/>
        <c:auto val="1"/>
        <c:lblAlgn val="ctr"/>
        <c:lblOffset val="100"/>
        <c:noMultiLvlLbl val="0"/>
      </c:catAx>
      <c:valAx>
        <c:axId val="47872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7872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Oracle Shares issued vs. Options Exercised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'Stock Issuance Record Compariso'!$E$1</c:f>
              <c:strCache>
                <c:ptCount val="1"/>
                <c:pt idx="0">
                  <c:v>Stock comp 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'Stock Issuance Record Compariso'!$E$5:$E$14</c:f>
              <c:numCache>
                <c:formatCode>General</c:formatCode>
                <c:ptCount val="10"/>
                <c:pt idx="0">
                  <c:v>76</c:v>
                </c:pt>
                <c:pt idx="1">
                  <c:v>60</c:v>
                </c:pt>
                <c:pt idx="2">
                  <c:v>78</c:v>
                </c:pt>
                <c:pt idx="3">
                  <c:v>76</c:v>
                </c:pt>
                <c:pt idx="4">
                  <c:v>60</c:v>
                </c:pt>
                <c:pt idx="5">
                  <c:v>95</c:v>
                </c:pt>
                <c:pt idx="6">
                  <c:v>70</c:v>
                </c:pt>
                <c:pt idx="7">
                  <c:v>60</c:v>
                </c:pt>
                <c:pt idx="8" formatCode="0">
                  <c:v>95</c:v>
                </c:pt>
                <c:pt idx="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4FA0-A5E0-C69CF3D387A2}"/>
            </c:ext>
          </c:extLst>
        </c:ser>
        <c:ser>
          <c:idx val="1"/>
          <c:order val="1"/>
          <c:tx>
            <c:strRef>
              <c:f>'Stock Issuance Record Compariso'!$F$1</c:f>
              <c:strCache>
                <c:ptCount val="1"/>
                <c:pt idx="0">
                  <c:v>Stock purchase plans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'Stock Issuance Record Compariso'!$F$5:$F$14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E-4FA0-A5E0-C69CF3D387A2}"/>
            </c:ext>
          </c:extLst>
        </c:ser>
        <c:ser>
          <c:idx val="2"/>
          <c:order val="2"/>
          <c:tx>
            <c:strRef>
              <c:f>'Stock Issuance Record Compariso'!$G$1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'Stock Issuance Record Compariso'!$G$5:$G$14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E-4FA0-A5E0-C69CF3D38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97904"/>
        <c:axId val="634197248"/>
      </c:barChart>
      <c:lineChart>
        <c:grouping val="standard"/>
        <c:varyColors val="0"/>
        <c:ser>
          <c:idx val="3"/>
          <c:order val="3"/>
          <c:tx>
            <c:strRef>
              <c:f>'Stock Issuance Record Compariso'!$B$1</c:f>
              <c:strCache>
                <c:ptCount val="1"/>
                <c:pt idx="0">
                  <c:v>Options Exercised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'Imputed Cost of Share Issuance'!$A$7:$A$16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'Stock Issuance Record Compariso'!$B$5:$B$14</c:f>
              <c:numCache>
                <c:formatCode>General</c:formatCode>
                <c:ptCount val="10"/>
                <c:pt idx="0">
                  <c:v>76</c:v>
                </c:pt>
                <c:pt idx="1">
                  <c:v>60</c:v>
                </c:pt>
                <c:pt idx="2">
                  <c:v>78</c:v>
                </c:pt>
                <c:pt idx="3">
                  <c:v>76</c:v>
                </c:pt>
                <c:pt idx="4">
                  <c:v>60</c:v>
                </c:pt>
                <c:pt idx="5">
                  <c:v>95</c:v>
                </c:pt>
                <c:pt idx="6">
                  <c:v>70</c:v>
                </c:pt>
                <c:pt idx="7">
                  <c:v>53</c:v>
                </c:pt>
                <c:pt idx="8">
                  <c:v>77</c:v>
                </c:pt>
                <c:pt idx="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8E-4FA0-A5E0-C69CF3D38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197904"/>
        <c:axId val="634197248"/>
      </c:lineChart>
      <c:catAx>
        <c:axId val="63419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34197248"/>
        <c:crosses val="autoZero"/>
        <c:auto val="1"/>
        <c:lblAlgn val="ctr"/>
        <c:lblOffset val="100"/>
        <c:noMultiLvlLbl val="0"/>
      </c:catAx>
      <c:valAx>
        <c:axId val="63419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3419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Share Issuance as Recorded on…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'Stock Issuance Record Compariso'!$H$1</c:f>
              <c:strCache>
                <c:ptCount val="1"/>
                <c:pt idx="0">
                  <c:v>Consolidated Statement of Equity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'Imputed Cost of Share Issuance'!$A$4:$A$16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'Stock Issuance Record Compariso'!$H$2:$H$14</c:f>
              <c:numCache>
                <c:formatCode>General</c:formatCode>
                <c:ptCount val="13"/>
                <c:pt idx="0">
                  <c:v>234</c:v>
                </c:pt>
                <c:pt idx="1">
                  <c:v>109</c:v>
                </c:pt>
                <c:pt idx="2">
                  <c:v>140</c:v>
                </c:pt>
                <c:pt idx="3">
                  <c:v>81</c:v>
                </c:pt>
                <c:pt idx="4">
                  <c:v>64</c:v>
                </c:pt>
                <c:pt idx="5">
                  <c:v>82</c:v>
                </c:pt>
                <c:pt idx="6">
                  <c:v>81</c:v>
                </c:pt>
                <c:pt idx="7">
                  <c:v>64</c:v>
                </c:pt>
                <c:pt idx="8">
                  <c:v>98</c:v>
                </c:pt>
                <c:pt idx="9">
                  <c:v>73</c:v>
                </c:pt>
                <c:pt idx="10">
                  <c:v>63</c:v>
                </c:pt>
                <c:pt idx="11">
                  <c:v>98</c:v>
                </c:pt>
                <c:pt idx="1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3B-4F56-BF8D-848BF18BA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4200856"/>
        <c:axId val="634192984"/>
      </c:barChart>
      <c:lineChart>
        <c:grouping val="standard"/>
        <c:varyColors val="0"/>
        <c:ser>
          <c:idx val="0"/>
          <c:order val="0"/>
          <c:tx>
            <c:strRef>
              <c:f>'Stock Issuance Record Compariso'!$D$1</c:f>
              <c:strCache>
                <c:ptCount val="1"/>
                <c:pt idx="0">
                  <c:v>Stock Compensation Note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'Stock Issuance Record Compariso'!$A$2:$A$14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'Stock Issuance Record Compariso'!$D$2:$D$14</c:f>
              <c:numCache>
                <c:formatCode>General</c:formatCode>
                <c:ptCount val="13"/>
                <c:pt idx="0">
                  <c:v>87</c:v>
                </c:pt>
                <c:pt idx="1">
                  <c:v>106</c:v>
                </c:pt>
                <c:pt idx="2">
                  <c:v>135</c:v>
                </c:pt>
                <c:pt idx="3">
                  <c:v>76</c:v>
                </c:pt>
                <c:pt idx="4">
                  <c:v>60</c:v>
                </c:pt>
                <c:pt idx="5">
                  <c:v>78</c:v>
                </c:pt>
                <c:pt idx="6">
                  <c:v>76</c:v>
                </c:pt>
                <c:pt idx="7">
                  <c:v>60</c:v>
                </c:pt>
                <c:pt idx="8">
                  <c:v>95</c:v>
                </c:pt>
                <c:pt idx="9">
                  <c:v>70</c:v>
                </c:pt>
                <c:pt idx="10">
                  <c:v>60</c:v>
                </c:pt>
                <c:pt idx="11">
                  <c:v>95</c:v>
                </c:pt>
                <c:pt idx="12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B-4F56-BF8D-848BF18BA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200856"/>
        <c:axId val="634192984"/>
      </c:lineChart>
      <c:catAx>
        <c:axId val="63420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34192984"/>
        <c:crosses val="autoZero"/>
        <c:auto val="1"/>
        <c:lblAlgn val="ctr"/>
        <c:lblOffset val="100"/>
        <c:noMultiLvlLbl val="0"/>
      </c:catAx>
      <c:valAx>
        <c:axId val="63419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3420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Compensation-Related Stock Issuance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'Stock Issuance Record Compariso'!$B$1</c:f>
              <c:strCache>
                <c:ptCount val="1"/>
                <c:pt idx="0">
                  <c:v>Options Exercised</c:v>
                </c:pt>
              </c:strCache>
            </c:strRef>
          </c:tx>
          <c:spPr>
            <a:solidFill>
              <a:srgbClr val="0046AD"/>
            </a:solidFill>
            <a:ln>
              <a:noFill/>
            </a:ln>
            <a:effectLst/>
          </c:spPr>
          <c:invertIfNegative val="0"/>
          <c:cat>
            <c:numRef>
              <c:f>'Stock Issuance Record Compariso'!$A$5:$A$19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'Stock Issuance Record Compariso'!$B$5:$B$19</c:f>
              <c:numCache>
                <c:formatCode>General</c:formatCode>
                <c:ptCount val="15"/>
                <c:pt idx="0">
                  <c:v>76</c:v>
                </c:pt>
                <c:pt idx="1">
                  <c:v>60</c:v>
                </c:pt>
                <c:pt idx="2">
                  <c:v>78</c:v>
                </c:pt>
                <c:pt idx="3">
                  <c:v>76</c:v>
                </c:pt>
                <c:pt idx="4">
                  <c:v>60</c:v>
                </c:pt>
                <c:pt idx="5">
                  <c:v>95</c:v>
                </c:pt>
                <c:pt idx="6">
                  <c:v>70</c:v>
                </c:pt>
                <c:pt idx="7">
                  <c:v>53</c:v>
                </c:pt>
                <c:pt idx="8">
                  <c:v>77</c:v>
                </c:pt>
                <c:pt idx="9">
                  <c:v>78</c:v>
                </c:pt>
                <c:pt idx="10">
                  <c:v>77.5</c:v>
                </c:pt>
                <c:pt idx="11">
                  <c:v>77.5</c:v>
                </c:pt>
                <c:pt idx="12">
                  <c:v>77.5</c:v>
                </c:pt>
                <c:pt idx="13">
                  <c:v>77.5</c:v>
                </c:pt>
                <c:pt idx="14">
                  <c:v>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C-411B-BDD9-CCE472333369}"/>
            </c:ext>
          </c:extLst>
        </c:ser>
        <c:ser>
          <c:idx val="2"/>
          <c:order val="1"/>
          <c:tx>
            <c:strRef>
              <c:f>'Stock Issuance Record Compariso'!$C$1</c:f>
              <c:strCache>
                <c:ptCount val="1"/>
                <c:pt idx="0">
                  <c:v>Vested RSU Awards</c:v>
                </c:pt>
              </c:strCache>
            </c:strRef>
          </c:tx>
          <c:spPr>
            <a:solidFill>
              <a:srgbClr val="575A5D"/>
            </a:solidFill>
            <a:ln>
              <a:noFill/>
            </a:ln>
            <a:effectLst/>
          </c:spPr>
          <c:invertIfNegative val="0"/>
          <c:cat>
            <c:numRef>
              <c:f>'Stock Issuance Record Compariso'!$A$5:$A$19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'Stock Issuance Record Compariso'!$C$5:$C$19</c:f>
              <c:numCache>
                <c:formatCode>General</c:formatCode>
                <c:ptCount val="15"/>
                <c:pt idx="6">
                  <c:v>0</c:v>
                </c:pt>
                <c:pt idx="7">
                  <c:v>7</c:v>
                </c:pt>
                <c:pt idx="8">
                  <c:v>18</c:v>
                </c:pt>
                <c:pt idx="9">
                  <c:v>27</c:v>
                </c:pt>
                <c:pt idx="10" formatCode="_(* #,##0_);_(* \(#,##0\);_(* &quot;-&quot;??_);_(@_)">
                  <c:v>30.375</c:v>
                </c:pt>
                <c:pt idx="11" formatCode="_(* #,##0_);_(* \(#,##0\);_(* &quot;-&quot;??_);_(@_)">
                  <c:v>33.375</c:v>
                </c:pt>
                <c:pt idx="12" formatCode="_(* #,##0_);_(* \(#,##0\);_(* &quot;-&quot;??_);_(@_)">
                  <c:v>35.25</c:v>
                </c:pt>
                <c:pt idx="13" formatCode="_(* #,##0_);_(* \(#,##0\);_(* &quot;-&quot;??_);_(@_)">
                  <c:v>33</c:v>
                </c:pt>
                <c:pt idx="14" formatCode="_(* #,##0_);_(* \(#,##0\);_(* &quot;-&quot;??_);_(@_)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BC-411B-BDD9-CCE47233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12219128"/>
        <c:axId val="912215848"/>
      </c:barChart>
      <c:catAx>
        <c:axId val="91221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12215848"/>
        <c:crosses val="autoZero"/>
        <c:auto val="1"/>
        <c:lblAlgn val="ctr"/>
        <c:lblOffset val="100"/>
        <c:noMultiLvlLbl val="0"/>
      </c:catAx>
      <c:valAx>
        <c:axId val="91221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1221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/>
              <a:t>Stock Issuance vs Employee Count (2006-2018)</a:t>
            </a:r>
          </a:p>
          <a:p>
            <a:pPr>
              <a:defRPr/>
            </a:pPr>
            <a:r>
              <a:rPr lang="en-US" sz="1050"/>
              <a:t>Correlation = -30%, R^2 = 9%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'Stock Issuance Record Compariso'!$C$41</c:f>
              <c:strCache>
                <c:ptCount val="1"/>
                <c:pt idx="0">
                  <c:v>Compensation-Related Stock Issuance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46A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'Stock Issuance Record Compariso'!$B$42:$B$54</c:f>
              <c:numCache>
                <c:formatCode>0</c:formatCode>
                <c:ptCount val="13"/>
                <c:pt idx="0">
                  <c:v>56.133000000000003</c:v>
                </c:pt>
                <c:pt idx="1">
                  <c:v>74.674000000000007</c:v>
                </c:pt>
                <c:pt idx="2">
                  <c:v>84.222999999999999</c:v>
                </c:pt>
                <c:pt idx="3" formatCode="General">
                  <c:v>86</c:v>
                </c:pt>
                <c:pt idx="4" formatCode="General">
                  <c:v>105</c:v>
                </c:pt>
                <c:pt idx="5" formatCode="General">
                  <c:v>108</c:v>
                </c:pt>
                <c:pt idx="6" formatCode="General">
                  <c:v>115</c:v>
                </c:pt>
                <c:pt idx="7" formatCode="General">
                  <c:v>120</c:v>
                </c:pt>
                <c:pt idx="8" formatCode="General">
                  <c:v>122</c:v>
                </c:pt>
                <c:pt idx="9" formatCode="General">
                  <c:v>132</c:v>
                </c:pt>
                <c:pt idx="10" formatCode="General">
                  <c:v>136</c:v>
                </c:pt>
                <c:pt idx="11" formatCode="General">
                  <c:v>138</c:v>
                </c:pt>
                <c:pt idx="12" formatCode="General">
                  <c:v>137</c:v>
                </c:pt>
              </c:numCache>
            </c:numRef>
          </c:xVal>
          <c:yVal>
            <c:numRef>
              <c:f>'Stock Issuance Record Compariso'!$C$42:$C$54</c:f>
              <c:numCache>
                <c:formatCode>General</c:formatCode>
                <c:ptCount val="13"/>
                <c:pt idx="0">
                  <c:v>87</c:v>
                </c:pt>
                <c:pt idx="1">
                  <c:v>106</c:v>
                </c:pt>
                <c:pt idx="2">
                  <c:v>135</c:v>
                </c:pt>
                <c:pt idx="3">
                  <c:v>76</c:v>
                </c:pt>
                <c:pt idx="4">
                  <c:v>60</c:v>
                </c:pt>
                <c:pt idx="5">
                  <c:v>78</c:v>
                </c:pt>
                <c:pt idx="6">
                  <c:v>76</c:v>
                </c:pt>
                <c:pt idx="7">
                  <c:v>60</c:v>
                </c:pt>
                <c:pt idx="8">
                  <c:v>95</c:v>
                </c:pt>
                <c:pt idx="9">
                  <c:v>70</c:v>
                </c:pt>
                <c:pt idx="10">
                  <c:v>60</c:v>
                </c:pt>
                <c:pt idx="11">
                  <c:v>95</c:v>
                </c:pt>
                <c:pt idx="12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D-40A2-BF31-EE9F4DA97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118872"/>
        <c:axId val="953125104"/>
      </c:scatterChart>
      <c:valAx>
        <c:axId val="953118872"/>
        <c:scaling>
          <c:orientation val="minMax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Employee Count ('000)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53125104"/>
        <c:crosses val="autoZero"/>
        <c:crossBetween val="midCat"/>
      </c:valAx>
      <c:valAx>
        <c:axId val="95312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Stock Issuance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53118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200"/>
              <a:t>Stock Issuance vs Employee Count (2009-2016)</a:t>
            </a:r>
          </a:p>
          <a:p>
            <a:pPr>
              <a:defRPr/>
            </a:pPr>
            <a:r>
              <a:rPr lang="en-US" sz="1050"/>
              <a:t>Correlation = -16%, R^2 = 3%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'Stock Issuance Record Compariso'!$C$41</c:f>
              <c:strCache>
                <c:ptCount val="1"/>
                <c:pt idx="0">
                  <c:v>Compensation-Related Stock Issuance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46AD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'Stock Issuance Record Compariso'!$B$45:$B$52</c:f>
              <c:numCache>
                <c:formatCode>General</c:formatCode>
                <c:ptCount val="8"/>
                <c:pt idx="0">
                  <c:v>86</c:v>
                </c:pt>
                <c:pt idx="1">
                  <c:v>105</c:v>
                </c:pt>
                <c:pt idx="2">
                  <c:v>108</c:v>
                </c:pt>
                <c:pt idx="3">
                  <c:v>115</c:v>
                </c:pt>
                <c:pt idx="4">
                  <c:v>120</c:v>
                </c:pt>
                <c:pt idx="5">
                  <c:v>122</c:v>
                </c:pt>
                <c:pt idx="6">
                  <c:v>132</c:v>
                </c:pt>
                <c:pt idx="7">
                  <c:v>136</c:v>
                </c:pt>
              </c:numCache>
            </c:numRef>
          </c:xVal>
          <c:yVal>
            <c:numRef>
              <c:f>'Stock Issuance Record Compariso'!$C$45:$C$52</c:f>
              <c:numCache>
                <c:formatCode>General</c:formatCode>
                <c:ptCount val="8"/>
                <c:pt idx="0">
                  <c:v>76</c:v>
                </c:pt>
                <c:pt idx="1">
                  <c:v>60</c:v>
                </c:pt>
                <c:pt idx="2">
                  <c:v>78</c:v>
                </c:pt>
                <c:pt idx="3">
                  <c:v>76</c:v>
                </c:pt>
                <c:pt idx="4">
                  <c:v>60</c:v>
                </c:pt>
                <c:pt idx="5">
                  <c:v>95</c:v>
                </c:pt>
                <c:pt idx="6">
                  <c:v>70</c:v>
                </c:pt>
                <c:pt idx="7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38-4FE5-B9A8-3C3913E1D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118872"/>
        <c:axId val="953125104"/>
      </c:scatterChart>
      <c:valAx>
        <c:axId val="953118872"/>
        <c:scaling>
          <c:orientation val="minMax"/>
          <c:min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Employee Count ('000)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53125104"/>
        <c:crosses val="autoZero"/>
        <c:crossBetween val="midCat"/>
      </c:valAx>
      <c:valAx>
        <c:axId val="95312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Stock Issuance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53118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Oracle's Compensation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'Costs per Employee'!$A$21</c:f>
              <c:strCache>
                <c:ptCount val="1"/>
                <c:pt idx="0">
                  <c:v>Owners' Costs / Employee (LHS)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'Costs per Employee'!$B$20:$N$20</c15:sqref>
                  </c15:fullRef>
                </c:ext>
              </c:extLst>
              <c:f>'Costs per Employee'!$C$20:$N$20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'Costs per Employee'!$B$21:$N$21</c15:sqref>
                  </c15:fullRef>
                </c:ext>
              </c:extLst>
              <c:f>'Costs per Employee'!$C$21:$N$21</c:f>
              <c:numCache>
                <c:formatCode>_(* #,##0_);_(* \(#,##0\);_(* "-"??_);_(@_)</c:formatCode>
                <c:ptCount val="12"/>
                <c:pt idx="0">
                  <c:v>155893.58913146085</c:v>
                </c:pt>
                <c:pt idx="1">
                  <c:v>169843.29709045429</c:v>
                </c:pt>
                <c:pt idx="2">
                  <c:v>153228.72093023255</c:v>
                </c:pt>
                <c:pt idx="3">
                  <c:v>143124.57142857142</c:v>
                </c:pt>
                <c:pt idx="4">
                  <c:v>192414.44444444444</c:v>
                </c:pt>
                <c:pt idx="5">
                  <c:v>177662.95652173914</c:v>
                </c:pt>
                <c:pt idx="6">
                  <c:v>172430.41666666666</c:v>
                </c:pt>
                <c:pt idx="7">
                  <c:v>174196.72131147541</c:v>
                </c:pt>
                <c:pt idx="8">
                  <c:v>166233.18181818182</c:v>
                </c:pt>
                <c:pt idx="9">
                  <c:v>163810.94869212425</c:v>
                </c:pt>
                <c:pt idx="10">
                  <c:v>170263.53839564094</c:v>
                </c:pt>
                <c:pt idx="11">
                  <c:v>187247.75152816935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D-4BFB-A0EA-A13B38FE6F9F}"/>
            </c:ext>
          </c:extLst>
        </c:ser>
        <c:ser>
          <c:idx val="1"/>
          <c:order val="1"/>
          <c:tx>
            <c:strRef>
              <c:f>'Costs per Employee'!$A$22</c:f>
              <c:strCache>
                <c:ptCount val="1"/>
                <c:pt idx="0">
                  <c:v>Cash Costs / Employee (LHS)</c:v>
                </c:pt>
              </c:strCache>
            </c:strRef>
          </c:tx>
          <c:spPr>
            <a:ln w="28575" cap="rnd">
              <a:solidFill>
                <a:srgbClr val="575A5D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'Costs per Employee'!$B$20:$N$20</c15:sqref>
                  </c15:fullRef>
                </c:ext>
              </c:extLst>
              <c:f>'Costs per Employee'!$C$20:$N$20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'Costs per Employee'!$B$22:$N$22</c15:sqref>
                  </c15:fullRef>
                </c:ext>
              </c:extLst>
              <c:f>'Costs per Employee'!$C$22:$N$22</c:f>
              <c:numCache>
                <c:formatCode>_(* #,##0_);_(* \(#,##0\);_(* "-"??_);_(@_)</c:formatCode>
                <c:ptCount val="12"/>
                <c:pt idx="0">
                  <c:v>143276.10681093819</c:v>
                </c:pt>
                <c:pt idx="1">
                  <c:v>150861.40365458367</c:v>
                </c:pt>
                <c:pt idx="2">
                  <c:v>145046.51162790696</c:v>
                </c:pt>
                <c:pt idx="3">
                  <c:v>137904.76190476189</c:v>
                </c:pt>
                <c:pt idx="4">
                  <c:v>183759.25925925927</c:v>
                </c:pt>
                <c:pt idx="5">
                  <c:v>172956.52173913043</c:v>
                </c:pt>
                <c:pt idx="6">
                  <c:v>161991.66666666666</c:v>
                </c:pt>
                <c:pt idx="7">
                  <c:v>163581.96721311475</c:v>
                </c:pt>
                <c:pt idx="8">
                  <c:v>156840.90909090909</c:v>
                </c:pt>
                <c:pt idx="9">
                  <c:v>156382.35294117648</c:v>
                </c:pt>
                <c:pt idx="10">
                  <c:v>156891.30434782608</c:v>
                </c:pt>
                <c:pt idx="11">
                  <c:v>162664.23357664235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D-4BFB-A0EA-A13B38FE6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40864"/>
        <c:axId val="920145784"/>
      </c:lineChart>
      <c:lineChart>
        <c:grouping val="standard"/>
        <c:varyColors val="0"/>
        <c:ser>
          <c:idx val="2"/>
          <c:order val="2"/>
          <c:tx>
            <c:strRef>
              <c:f>'Costs per Employee'!$A$23</c:f>
              <c:strCache>
                <c:ptCount val="1"/>
                <c:pt idx="0">
                  <c:v>Non-Cash Compensation (RHS)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'Costs per Employee'!$B$20:$N$20</c15:sqref>
                  </c15:fullRef>
                </c:ext>
              </c:extLst>
              <c:f>'Costs per Employee'!$C$20:$N$20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'Costs per Employee'!$B$23:$N$23</c15:sqref>
                  </c15:fullRef>
                </c:ext>
              </c:extLst>
              <c:f>'Costs per Employee'!$C$23:$N$23</c:f>
              <c:numCache>
                <c:formatCode>_(* #,##0_);_(* \(#,##0\);_(* "-"??_);_(@_)</c:formatCode>
                <c:ptCount val="12"/>
                <c:pt idx="0">
                  <c:v>12617.482320522657</c:v>
                </c:pt>
                <c:pt idx="1">
                  <c:v>18981.893435870617</c:v>
                </c:pt>
                <c:pt idx="2">
                  <c:v>8182.2093023255875</c:v>
                </c:pt>
                <c:pt idx="3">
                  <c:v>5219.8095238095266</c:v>
                </c:pt>
                <c:pt idx="4">
                  <c:v>8655.1851851851679</c:v>
                </c:pt>
                <c:pt idx="5">
                  <c:v>4706.4347826087032</c:v>
                </c:pt>
                <c:pt idx="6">
                  <c:v>10438.75</c:v>
                </c:pt>
                <c:pt idx="7">
                  <c:v>10614.75409836066</c:v>
                </c:pt>
                <c:pt idx="8">
                  <c:v>9392.2727272727352</c:v>
                </c:pt>
                <c:pt idx="9">
                  <c:v>7428.5957509477739</c:v>
                </c:pt>
                <c:pt idx="10">
                  <c:v>13372.234047814854</c:v>
                </c:pt>
                <c:pt idx="11">
                  <c:v>24583.517951526999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5D-4BFB-A0EA-A13B38FE6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22904"/>
        <c:axId val="890422248"/>
      </c:lineChart>
      <c:catAx>
        <c:axId val="9201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20145784"/>
        <c:crosses val="autoZero"/>
        <c:auto val="1"/>
        <c:lblAlgn val="ctr"/>
        <c:lblOffset val="100"/>
        <c:noMultiLvlLbl val="0"/>
      </c:catAx>
      <c:valAx>
        <c:axId val="920145784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20140864"/>
        <c:crosses val="autoZero"/>
        <c:crossBetween val="between"/>
      </c:valAx>
      <c:valAx>
        <c:axId val="890422248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0422904"/>
        <c:crosses val="max"/>
        <c:crossBetween val="between"/>
      </c:valAx>
      <c:catAx>
        <c:axId val="890422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042224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'Option Grants'!$B$1</c:f>
              <c:strCache>
                <c:ptCount val="1"/>
                <c:pt idx="0">
                  <c:v>Options Granted - Oracle</c:v>
                </c:pt>
              </c:strCache>
            </c:strRef>
          </c:tx>
          <c:spPr>
            <a:ln w="28575" cap="rnd">
              <a:solidFill>
                <a:srgbClr val="0046AD"/>
              </a:solidFill>
              <a:round/>
            </a:ln>
            <a:effectLst/>
          </c:spPr>
          <c:marker>
            <c:symbol val="none"/>
          </c:marker>
          <c:cat>
            <c:numRef>
              <c:f>'Option Grants'!$A$2:$A$14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'Option Grants'!$B$2:$B$14</c:f>
              <c:numCache>
                <c:formatCode>General</c:formatCode>
                <c:ptCount val="13"/>
                <c:pt idx="0">
                  <c:v>150</c:v>
                </c:pt>
                <c:pt idx="1">
                  <c:v>86</c:v>
                </c:pt>
                <c:pt idx="2">
                  <c:v>97</c:v>
                </c:pt>
                <c:pt idx="3">
                  <c:v>70</c:v>
                </c:pt>
                <c:pt idx="4">
                  <c:v>95</c:v>
                </c:pt>
                <c:pt idx="5">
                  <c:v>111</c:v>
                </c:pt>
                <c:pt idx="6">
                  <c:v>120</c:v>
                </c:pt>
                <c:pt idx="7">
                  <c:v>128</c:v>
                </c:pt>
                <c:pt idx="8">
                  <c:v>136</c:v>
                </c:pt>
                <c:pt idx="9">
                  <c:v>37</c:v>
                </c:pt>
                <c:pt idx="10">
                  <c:v>26</c:v>
                </c:pt>
                <c:pt idx="11">
                  <c:v>20</c:v>
                </c:pt>
                <c:pt idx="12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80-4EBC-A47B-851C2496B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758776"/>
        <c:axId val="932762384"/>
      </c:lineChart>
      <c:catAx>
        <c:axId val="93275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32762384"/>
        <c:crosses val="autoZero"/>
        <c:auto val="1"/>
        <c:lblAlgn val="ctr"/>
        <c:lblOffset val="100"/>
        <c:noMultiLvlLbl val="0"/>
      </c:catAx>
      <c:valAx>
        <c:axId val="93276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93275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316705</xdr:colOff>
      <xdr:row>22</xdr:row>
      <xdr:rowOff>95249</xdr:rowOff>
    </xdr:from>
    <xdr:to>
      <xdr:col>12</xdr:col>
      <xdr:colOff>126205</xdr:colOff>
      <xdr:row>42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4D20FD-0473-4A06-91C4-240017835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1207293</xdr:colOff>
      <xdr:row>19</xdr:row>
      <xdr:rowOff>61912</xdr:rowOff>
    </xdr:from>
    <xdr:to>
      <xdr:col>27</xdr:col>
      <xdr:colOff>240506</xdr:colOff>
      <xdr:row>42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A6F6EB-3FAA-4832-8C4F-BD88CEC20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465209</xdr:colOff>
      <xdr:row>57</xdr:row>
      <xdr:rowOff>132044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6CC929-141F-47AC-A38D-03B5E25A8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23809" cy="104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69736</xdr:colOff>
      <xdr:row>26</xdr:row>
      <xdr:rowOff>140153</xdr:rowOff>
    </xdr:from>
    <xdr:to>
      <xdr:col>23</xdr:col>
      <xdr:colOff>520812</xdr:colOff>
      <xdr:row>47</xdr:row>
      <xdr:rowOff>1361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2649C2-A5BE-46DB-99D8-B222A5BE3F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554491</xdr:colOff>
      <xdr:row>4</xdr:row>
      <xdr:rowOff>150357</xdr:rowOff>
    </xdr:from>
    <xdr:to>
      <xdr:col>23</xdr:col>
      <xdr:colOff>293234</xdr:colOff>
      <xdr:row>25</xdr:row>
      <xdr:rowOff>93207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77F49F-7E2E-4EB3-8436-4C7C3405A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11564</xdr:colOff>
      <xdr:row>49</xdr:row>
      <xdr:rowOff>679</xdr:rowOff>
    </xdr:from>
    <xdr:to>
      <xdr:col>23</xdr:col>
      <xdr:colOff>408212</xdr:colOff>
      <xdr:row>69</xdr:row>
      <xdr:rowOff>120422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3420B7-5D5B-4562-B48E-7ED8E7FCB8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610279</xdr:colOff>
      <xdr:row>19</xdr:row>
      <xdr:rowOff>141513</xdr:rowOff>
    </xdr:from>
    <xdr:to>
      <xdr:col>37</xdr:col>
      <xdr:colOff>349022</xdr:colOff>
      <xdr:row>40</xdr:row>
      <xdr:rowOff>84363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EA4990-3408-4747-AFAA-92EE87111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571501</xdr:colOff>
      <xdr:row>42</xdr:row>
      <xdr:rowOff>95250</xdr:rowOff>
    </xdr:from>
    <xdr:to>
      <xdr:col>37</xdr:col>
      <xdr:colOff>310244</xdr:colOff>
      <xdr:row>63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C039D72-B964-4C15-8B16-B7EA92E48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0.08722</cdr:x>
      <cdr:y>0.23549</cdr:y>
    </cdr:from>
    <cdr:to>
      <cdr:x>0.30051</cdr:x>
      <cdr:y>0.31734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7730E06-6759-49BA-91C6-02EC4EA6A415}"/>
            </a:ext>
          </a:extLst>
        </cdr:cNvPr>
        <cdr:cNvSpPr txBox="1"/>
      </cdr:nvSpPr>
      <cdr:spPr>
        <a:xfrm xmlns:a="http://schemas.openxmlformats.org/drawingml/2006/main">
          <a:off x="717775" y="861331"/>
          <a:ext cx="1755321" cy="299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latin typeface="Arial Narrow" panose="020B0606020202030204" pitchFamily="34" charset="0"/>
            </a:rPr>
            <a:t>Siebel Systems Acquisition</a:t>
          </a:r>
        </a:p>
      </cdr:txBody>
    </cdr:sp>
  </cdr:relSizeAnchor>
  <cdr:relSizeAnchor xmlns:cdr="http://schemas.openxmlformats.org/drawingml/2006/chartDrawing">
    <cdr:from>
      <cdr:x>0.19963</cdr:x>
      <cdr:y>0.43056</cdr:y>
    </cdr:from>
    <cdr:to>
      <cdr:x>0.41292</cdr:x>
      <cdr:y>0.5124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EAE4A84-2D65-4AE3-86BB-A90F2CBE346A}"/>
            </a:ext>
          </a:extLst>
        </cdr:cNvPr>
        <cdr:cNvSpPr txBox="1"/>
      </cdr:nvSpPr>
      <cdr:spPr>
        <a:xfrm xmlns:a="http://schemas.openxmlformats.org/drawingml/2006/main">
          <a:off x="1642836" y="1574800"/>
          <a:ext cx="1755321" cy="299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 Narrow" panose="020B0606020202030204" pitchFamily="34" charset="0"/>
            </a:rPr>
            <a:t>BEA Systems Acquisition</a:t>
          </a:r>
        </a:p>
      </cdr:txBody>
    </cdr:sp>
  </cdr:relSizeAnchor>
  <cdr:relSizeAnchor xmlns:cdr="http://schemas.openxmlformats.org/drawingml/2006/chartDrawing">
    <cdr:from>
      <cdr:x>0.15002</cdr:x>
      <cdr:y>0.33383</cdr:y>
    </cdr:from>
    <cdr:to>
      <cdr:x>0.36332</cdr:x>
      <cdr:y>0.41567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EAE4A84-2D65-4AE3-86BB-A90F2CBE346A}"/>
            </a:ext>
          </a:extLst>
        </cdr:cNvPr>
        <cdr:cNvSpPr txBox="1"/>
      </cdr:nvSpPr>
      <cdr:spPr>
        <a:xfrm xmlns:a="http://schemas.openxmlformats.org/drawingml/2006/main">
          <a:off x="1234621" y="1221014"/>
          <a:ext cx="1755321" cy="299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 Narrow" panose="020B0606020202030204" pitchFamily="34" charset="0"/>
            </a:rPr>
            <a:t>Hyperion Acquisition</a:t>
          </a:r>
        </a:p>
      </cdr:txBody>
    </cdr:sp>
  </cdr:relSizeAnchor>
  <cdr:relSizeAnchor xmlns:cdr="http://schemas.openxmlformats.org/drawingml/2006/chartDrawing">
    <cdr:from>
      <cdr:x>0.1517</cdr:x>
      <cdr:y>0.37686</cdr:y>
    </cdr:from>
    <cdr:to>
      <cdr:x>0.1517</cdr:x>
      <cdr:y>0.59635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50628607-0593-487E-BCB8-2838A6FD2519}"/>
            </a:ext>
          </a:extLst>
        </cdr:cNvPr>
        <cdr:cNvCxnSpPr/>
      </cdr:nvCxnSpPr>
      <cdr:spPr>
        <a:xfrm xmlns:a="http://schemas.openxmlformats.org/drawingml/2006/main">
          <a:off x="1248455" y="1378404"/>
          <a:ext cx="0" cy="80282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352431</xdr:colOff>
      <xdr:row>0</xdr:row>
      <xdr:rowOff>76199</xdr:rowOff>
    </xdr:from>
    <xdr:to>
      <xdr:col>30</xdr:col>
      <xdr:colOff>161931</xdr:colOff>
      <xdr:row>20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175410-05A7-4FFB-86F2-FE3D26DCD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0</xdr:row>
      <xdr:rowOff>19049</xdr:rowOff>
    </xdr:from>
    <xdr:to>
      <xdr:col>25</xdr:col>
      <xdr:colOff>409575</xdr:colOff>
      <xdr:row>20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2B778F-AACB-41EE-87F6-5EF7DF1AB6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45</xdr:row>
      <xdr:rowOff>76199</xdr:rowOff>
    </xdr:from>
    <xdr:to>
      <xdr:col>16</xdr:col>
      <xdr:colOff>628650</xdr:colOff>
      <xdr:row>65</xdr:row>
      <xdr:rowOff>114299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312FB-8138-4A20-A3FB-63783ADD98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D43F-6DD8-4398-B5B0-BE3EFF95C979}">
  <dimension ref="A1:Y23"/>
  <sheetViews>
    <sheetView tabSelected="1" workbookViewId="0">
      <selection activeCell="A2" sqref="A2"/>
    </sheetView>
  </sheetViews>
  <sheetFormatPr defaultRowHeight="14.25" x14ac:dyDescent="0.45"/>
  <cols>
    <col min="6" max="6" width="16.19921875" bestFit="1" customWidth="1"/>
    <col min="7" max="11" width="16.19921875" customWidth="1"/>
    <col min="12" max="12" width="20.265625" bestFit="1" customWidth="1"/>
    <col min="13" max="13" width="25.796875" bestFit="1" customWidth="1"/>
    <col min="14" max="14" width="21.6640625" bestFit="1" customWidth="1"/>
    <col min="15" max="15" width="19.9296875" bestFit="1" customWidth="1"/>
    <col min="24" max="24" width="9.46484375" customWidth="1"/>
  </cols>
  <sheetData>
    <row r="1" spans="1:25" x14ac:dyDescent="0.45">
      <c r="S1" s="10" t="s">
        <v>14</v>
      </c>
      <c r="T1" s="10"/>
      <c r="U1" s="10"/>
      <c r="V1" s="10"/>
      <c r="W1" s="10"/>
    </row>
    <row r="3" spans="1:25" x14ac:dyDescent="0.45">
      <c r="A3" t="s">
        <v>6</v>
      </c>
      <c r="B3" t="s">
        <v>4</v>
      </c>
      <c r="C3" t="s">
        <v>9</v>
      </c>
      <c r="D3" t="s">
        <v>10</v>
      </c>
      <c r="E3" t="s">
        <v>11</v>
      </c>
      <c r="F3" t="s">
        <v>0</v>
      </c>
      <c r="G3" t="s">
        <v>15</v>
      </c>
      <c r="H3" t="s">
        <v>23</v>
      </c>
      <c r="I3" t="s">
        <v>16</v>
      </c>
      <c r="J3" t="s">
        <v>17</v>
      </c>
      <c r="K3" t="s">
        <v>18</v>
      </c>
      <c r="L3" t="s">
        <v>1</v>
      </c>
      <c r="M3" t="s">
        <v>2</v>
      </c>
      <c r="N3" t="s">
        <v>3</v>
      </c>
      <c r="O3" t="s">
        <v>5</v>
      </c>
      <c r="P3" t="s">
        <v>7</v>
      </c>
      <c r="Q3" t="s">
        <v>8</v>
      </c>
      <c r="S3" t="s">
        <v>12</v>
      </c>
      <c r="T3" t="s">
        <v>4</v>
      </c>
      <c r="U3" t="s">
        <v>9</v>
      </c>
      <c r="V3" t="s">
        <v>10</v>
      </c>
      <c r="W3" t="s">
        <v>13</v>
      </c>
    </row>
    <row r="4" spans="1:25" x14ac:dyDescent="0.45">
      <c r="A4">
        <v>2006</v>
      </c>
      <c r="B4" s="1">
        <v>14380</v>
      </c>
      <c r="C4" s="1">
        <v>4958</v>
      </c>
      <c r="D4" s="1">
        <v>3381</v>
      </c>
      <c r="E4" s="1">
        <v>4541</v>
      </c>
      <c r="F4" s="1">
        <v>13.051385556549997</v>
      </c>
      <c r="G4" s="1">
        <v>87</v>
      </c>
      <c r="I4">
        <v>87</v>
      </c>
      <c r="J4">
        <v>6</v>
      </c>
      <c r="K4">
        <v>141</v>
      </c>
      <c r="L4">
        <f>SUM(I4:K4)</f>
        <v>234</v>
      </c>
      <c r="M4">
        <v>632</v>
      </c>
      <c r="N4" s="1">
        <f t="shared" ref="N4:N6" si="0">-(F4*L4-M4)</f>
        <v>-2422.0242202326995</v>
      </c>
      <c r="O4" s="2">
        <f t="shared" ref="O4:O6" si="1">-N4/B4</f>
        <v>0.16843005703982611</v>
      </c>
      <c r="P4" s="3">
        <f t="shared" ref="P4:P6" si="2">P5</f>
        <v>2.7343593152614372E-2</v>
      </c>
    </row>
    <row r="5" spans="1:25" x14ac:dyDescent="0.45">
      <c r="A5">
        <v>2007</v>
      </c>
      <c r="B5" s="1">
        <v>17996</v>
      </c>
      <c r="C5" s="1">
        <v>4274</v>
      </c>
      <c r="D5" s="1">
        <v>6133</v>
      </c>
      <c r="E5" s="1">
        <v>5520</v>
      </c>
      <c r="F5" s="1">
        <v>17.121081420208331</v>
      </c>
      <c r="G5" s="1">
        <v>106</v>
      </c>
      <c r="I5">
        <v>106</v>
      </c>
      <c r="J5">
        <v>3</v>
      </c>
      <c r="K5">
        <v>0</v>
      </c>
      <c r="L5">
        <f t="shared" ref="L5:L6" si="3">SUM(I5:K5)</f>
        <v>109</v>
      </c>
      <c r="M5">
        <v>924</v>
      </c>
      <c r="N5" s="1">
        <f t="shared" si="0"/>
        <v>-942.19787480270793</v>
      </c>
      <c r="O5" s="2">
        <f t="shared" si="1"/>
        <v>5.2355961035936205E-2</v>
      </c>
      <c r="P5" s="3">
        <f t="shared" si="2"/>
        <v>2.7343593152614372E-2</v>
      </c>
    </row>
    <row r="6" spans="1:25" x14ac:dyDescent="0.45">
      <c r="A6">
        <v>2008</v>
      </c>
      <c r="B6" s="1">
        <v>22430</v>
      </c>
      <c r="C6" s="1">
        <v>5521</v>
      </c>
      <c r="D6" s="1">
        <v>8009</v>
      </c>
      <c r="E6" s="1">
        <v>7402</v>
      </c>
      <c r="F6" s="1">
        <v>20.619371506066667</v>
      </c>
      <c r="G6" s="1">
        <v>135</v>
      </c>
      <c r="I6">
        <v>137</v>
      </c>
      <c r="J6">
        <v>3</v>
      </c>
      <c r="K6">
        <v>0</v>
      </c>
      <c r="L6">
        <f t="shared" si="3"/>
        <v>140</v>
      </c>
      <c r="M6">
        <v>1288</v>
      </c>
      <c r="N6" s="1">
        <f t="shared" si="0"/>
        <v>-1598.7120108493332</v>
      </c>
      <c r="O6" s="2">
        <f t="shared" si="1"/>
        <v>7.1275613501976517E-2</v>
      </c>
      <c r="P6" s="3">
        <f t="shared" si="2"/>
        <v>2.7343593152614372E-2</v>
      </c>
    </row>
    <row r="7" spans="1:25" x14ac:dyDescent="0.45">
      <c r="A7">
        <v>2009</v>
      </c>
      <c r="B7" s="1">
        <v>23252</v>
      </c>
      <c r="C7" s="1">
        <v>8555</v>
      </c>
      <c r="D7" s="1">
        <v>5593</v>
      </c>
      <c r="E7" s="1">
        <v>8255</v>
      </c>
      <c r="F7" s="1">
        <v>18.07</v>
      </c>
      <c r="G7" s="1">
        <v>76</v>
      </c>
      <c r="H7" s="1"/>
      <c r="I7" s="1">
        <v>76</v>
      </c>
      <c r="J7" s="1">
        <v>3</v>
      </c>
      <c r="K7" s="1">
        <v>2</v>
      </c>
      <c r="L7" s="1">
        <v>81</v>
      </c>
      <c r="M7" s="1">
        <v>760</v>
      </c>
      <c r="N7" s="1">
        <f>-(F7*L7-M7)</f>
        <v>-703.67000000000007</v>
      </c>
      <c r="O7" s="2">
        <f t="shared" ref="O7:O16" si="4">-N7/B7</f>
        <v>3.0262773094787549E-2</v>
      </c>
      <c r="P7" s="3">
        <f t="shared" ref="P7:P12" si="5">P8</f>
        <v>2.7343593152614372E-2</v>
      </c>
      <c r="Q7" s="3"/>
      <c r="R7" s="3"/>
      <c r="S7" s="6">
        <f>A7</f>
        <v>2009</v>
      </c>
      <c r="T7" s="2">
        <f>-$N7/B7</f>
        <v>3.0262773094787549E-2</v>
      </c>
      <c r="U7" s="2">
        <f>-$N7/C7</f>
        <v>8.2252483927527764E-2</v>
      </c>
      <c r="V7" s="2">
        <f>-$N7/D7</f>
        <v>0.12581262292150905</v>
      </c>
      <c r="W7" s="2">
        <f>-$N7/E7</f>
        <v>8.5241671714112663E-2</v>
      </c>
      <c r="X7" s="3">
        <f>AVERAGE(W7:W14)</f>
        <v>7.5603822842738533E-2</v>
      </c>
      <c r="Y7">
        <v>81</v>
      </c>
    </row>
    <row r="8" spans="1:25" x14ac:dyDescent="0.45">
      <c r="A8">
        <v>2010</v>
      </c>
      <c r="B8" s="1">
        <v>26820</v>
      </c>
      <c r="C8" s="1">
        <v>9838</v>
      </c>
      <c r="D8" s="1">
        <v>6135</v>
      </c>
      <c r="E8" s="1">
        <v>8681</v>
      </c>
      <c r="F8" s="1">
        <v>22.22</v>
      </c>
      <c r="G8" s="1">
        <v>60</v>
      </c>
      <c r="H8" s="1"/>
      <c r="I8" s="1">
        <v>60</v>
      </c>
      <c r="J8" s="1">
        <v>3</v>
      </c>
      <c r="K8" s="1">
        <v>1</v>
      </c>
      <c r="L8" s="1">
        <v>64</v>
      </c>
      <c r="M8" s="1">
        <v>874</v>
      </c>
      <c r="N8" s="1">
        <f t="shared" ref="N8:N16" si="6">-(F8*L8-M8)</f>
        <v>-548.07999999999993</v>
      </c>
      <c r="O8" s="2">
        <f t="shared" si="4"/>
        <v>2.0435495898583143E-2</v>
      </c>
      <c r="P8" s="3">
        <f t="shared" si="5"/>
        <v>2.7343593152614372E-2</v>
      </c>
      <c r="Q8" s="3"/>
      <c r="R8" s="3"/>
      <c r="S8" s="6">
        <f t="shared" ref="S8:S16" si="7">A8</f>
        <v>2010</v>
      </c>
      <c r="T8" s="2">
        <f t="shared" ref="T8:T16" si="8">-$N8/B8</f>
        <v>2.0435495898583143E-2</v>
      </c>
      <c r="U8" s="2">
        <f t="shared" ref="U8:U16" si="9">-$N8/C8</f>
        <v>5.5710510266314281E-2</v>
      </c>
      <c r="V8" s="2">
        <f t="shared" ref="V8:V16" si="10">-$N8/D8</f>
        <v>8.9336593317033405E-2</v>
      </c>
      <c r="W8" s="2">
        <f t="shared" ref="W8:W16" si="11">-$N8/E8</f>
        <v>6.3135583458126934E-2</v>
      </c>
      <c r="Y8">
        <v>64</v>
      </c>
    </row>
    <row r="9" spans="1:25" x14ac:dyDescent="0.45">
      <c r="A9">
        <v>2011</v>
      </c>
      <c r="B9" s="1">
        <v>35622</v>
      </c>
      <c r="C9" s="1">
        <v>12728</v>
      </c>
      <c r="D9" s="1">
        <v>8547</v>
      </c>
      <c r="E9" s="1">
        <v>11214</v>
      </c>
      <c r="F9" s="1">
        <v>28.18</v>
      </c>
      <c r="G9" s="1">
        <v>78</v>
      </c>
      <c r="H9" s="1"/>
      <c r="I9" s="1">
        <v>78</v>
      </c>
      <c r="J9" s="1">
        <v>4</v>
      </c>
      <c r="K9" s="1">
        <v>0</v>
      </c>
      <c r="L9" s="1">
        <v>82</v>
      </c>
      <c r="M9" s="1">
        <v>1376</v>
      </c>
      <c r="N9" s="1">
        <f t="shared" si="6"/>
        <v>-934.75999999999976</v>
      </c>
      <c r="O9" s="2">
        <f t="shared" si="4"/>
        <v>2.6241086968727186E-2</v>
      </c>
      <c r="P9" s="3">
        <f t="shared" si="5"/>
        <v>2.7343593152614372E-2</v>
      </c>
      <c r="Q9" s="3"/>
      <c r="R9" s="3"/>
      <c r="S9" s="6">
        <f t="shared" si="7"/>
        <v>2011</v>
      </c>
      <c r="T9" s="2">
        <f t="shared" si="8"/>
        <v>2.6241086968727186E-2</v>
      </c>
      <c r="U9" s="2">
        <f t="shared" si="9"/>
        <v>7.3441231929604001E-2</v>
      </c>
      <c r="V9" s="2">
        <f t="shared" si="10"/>
        <v>0.10936702936702934</v>
      </c>
      <c r="W9" s="2">
        <f t="shared" si="11"/>
        <v>8.3356518637417498E-2</v>
      </c>
      <c r="Y9">
        <v>82</v>
      </c>
    </row>
    <row r="10" spans="1:25" x14ac:dyDescent="0.45">
      <c r="A10">
        <v>2012</v>
      </c>
      <c r="B10" s="1">
        <v>37121</v>
      </c>
      <c r="C10" s="1">
        <v>14057</v>
      </c>
      <c r="D10" s="1">
        <v>9981</v>
      </c>
      <c r="E10" s="1">
        <v>13743</v>
      </c>
      <c r="F10" s="1">
        <v>28.96</v>
      </c>
      <c r="G10" s="1">
        <v>76</v>
      </c>
      <c r="H10" s="1"/>
      <c r="I10" s="1">
        <v>76</v>
      </c>
      <c r="J10" s="1">
        <v>3</v>
      </c>
      <c r="K10" s="1">
        <v>2</v>
      </c>
      <c r="L10" s="1">
        <v>44</v>
      </c>
      <c r="M10" s="1">
        <v>733</v>
      </c>
      <c r="N10" s="1">
        <f t="shared" si="6"/>
        <v>-541.24</v>
      </c>
      <c r="O10" s="2">
        <f t="shared" si="4"/>
        <v>1.4580426173863851E-2</v>
      </c>
      <c r="P10" s="3">
        <f t="shared" si="5"/>
        <v>2.7343593152614372E-2</v>
      </c>
      <c r="Q10" s="3"/>
      <c r="R10" s="3"/>
      <c r="S10" s="6">
        <f t="shared" si="7"/>
        <v>2012</v>
      </c>
      <c r="T10" s="2">
        <f t="shared" si="8"/>
        <v>1.4580426173863851E-2</v>
      </c>
      <c r="U10" s="2">
        <f t="shared" si="9"/>
        <v>3.8503236821512417E-2</v>
      </c>
      <c r="V10" s="2">
        <f t="shared" si="10"/>
        <v>5.4227031359583212E-2</v>
      </c>
      <c r="W10" s="2">
        <f t="shared" si="11"/>
        <v>3.938295859710398E-2</v>
      </c>
      <c r="Y10">
        <v>44</v>
      </c>
    </row>
    <row r="11" spans="1:25" x14ac:dyDescent="0.45">
      <c r="A11">
        <v>2013</v>
      </c>
      <c r="B11" s="1">
        <v>37180</v>
      </c>
      <c r="C11" s="1">
        <v>14432</v>
      </c>
      <c r="D11" s="1">
        <v>10925</v>
      </c>
      <c r="E11" s="1">
        <v>14224</v>
      </c>
      <c r="F11" s="1">
        <v>31.95</v>
      </c>
      <c r="G11" s="1">
        <v>60</v>
      </c>
      <c r="H11" s="1"/>
      <c r="I11" s="1">
        <v>60</v>
      </c>
      <c r="J11" s="1">
        <v>3</v>
      </c>
      <c r="K11" s="1">
        <v>1</v>
      </c>
      <c r="L11" s="1">
        <v>87</v>
      </c>
      <c r="M11" s="1">
        <v>1527</v>
      </c>
      <c r="N11" s="1">
        <f t="shared" si="6"/>
        <v>-1252.6500000000001</v>
      </c>
      <c r="O11" s="2">
        <f t="shared" si="4"/>
        <v>3.3691500806885426E-2</v>
      </c>
      <c r="P11" s="3">
        <f t="shared" si="5"/>
        <v>2.7343593152614372E-2</v>
      </c>
      <c r="Q11" s="3"/>
      <c r="R11" s="3"/>
      <c r="S11" s="6">
        <f t="shared" si="7"/>
        <v>2013</v>
      </c>
      <c r="T11" s="2">
        <f t="shared" si="8"/>
        <v>3.3691500806885426E-2</v>
      </c>
      <c r="U11" s="2">
        <f t="shared" si="9"/>
        <v>8.679670177383593E-2</v>
      </c>
      <c r="V11" s="2">
        <f t="shared" si="10"/>
        <v>0.11465903890160184</v>
      </c>
      <c r="W11" s="2">
        <f t="shared" si="11"/>
        <v>8.8065944881889777E-2</v>
      </c>
      <c r="Y11">
        <v>87</v>
      </c>
    </row>
    <row r="12" spans="1:25" x14ac:dyDescent="0.45">
      <c r="A12">
        <v>2014</v>
      </c>
      <c r="B12" s="1">
        <v>38275</v>
      </c>
      <c r="C12" s="1">
        <v>14983</v>
      </c>
      <c r="D12" s="1">
        <v>10955</v>
      </c>
      <c r="E12" s="1">
        <v>14921</v>
      </c>
      <c r="F12" s="1">
        <v>35</v>
      </c>
      <c r="G12" s="1">
        <v>95</v>
      </c>
      <c r="H12" s="1"/>
      <c r="I12" s="1">
        <v>95</v>
      </c>
      <c r="J12" s="1">
        <v>3</v>
      </c>
      <c r="K12" s="1">
        <v>0</v>
      </c>
      <c r="L12" s="1">
        <v>98</v>
      </c>
      <c r="M12" s="1">
        <v>2135</v>
      </c>
      <c r="N12" s="1">
        <f t="shared" si="6"/>
        <v>-1295</v>
      </c>
      <c r="O12" s="2">
        <f t="shared" si="4"/>
        <v>3.3834095362508164E-2</v>
      </c>
      <c r="P12" s="3">
        <f t="shared" si="5"/>
        <v>2.7343593152614372E-2</v>
      </c>
      <c r="Q12" s="3"/>
      <c r="R12" s="3"/>
      <c r="S12" s="6">
        <f t="shared" si="7"/>
        <v>2014</v>
      </c>
      <c r="T12" s="2">
        <f t="shared" si="8"/>
        <v>3.3834095362508164E-2</v>
      </c>
      <c r="U12" s="2">
        <f t="shared" si="9"/>
        <v>8.6431288793966499E-2</v>
      </c>
      <c r="V12" s="2">
        <f t="shared" si="10"/>
        <v>0.1182108626198083</v>
      </c>
      <c r="W12" s="2">
        <f t="shared" si="11"/>
        <v>8.679042959587159E-2</v>
      </c>
      <c r="Y12">
        <v>98</v>
      </c>
    </row>
    <row r="13" spans="1:25" x14ac:dyDescent="0.45">
      <c r="A13">
        <v>2015</v>
      </c>
      <c r="B13" s="1">
        <v>38226</v>
      </c>
      <c r="C13" s="1">
        <v>14289</v>
      </c>
      <c r="D13" s="1">
        <v>9938</v>
      </c>
      <c r="E13" s="1">
        <v>14580</v>
      </c>
      <c r="F13" s="1">
        <v>41.86</v>
      </c>
      <c r="G13" s="1">
        <v>70</v>
      </c>
      <c r="H13" s="1"/>
      <c r="I13" s="1">
        <v>70</v>
      </c>
      <c r="J13" s="1">
        <v>3</v>
      </c>
      <c r="K13" s="1">
        <v>0</v>
      </c>
      <c r="L13" s="1">
        <v>73</v>
      </c>
      <c r="M13" s="1">
        <v>1816</v>
      </c>
      <c r="N13" s="1">
        <f t="shared" si="6"/>
        <v>-1239.7799999999997</v>
      </c>
      <c r="O13" s="2">
        <f t="shared" si="4"/>
        <v>3.2432899073928732E-2</v>
      </c>
      <c r="P13" s="3">
        <f>P14</f>
        <v>2.7343593152614372E-2</v>
      </c>
      <c r="Q13" s="3"/>
      <c r="R13" s="3"/>
      <c r="S13" s="6">
        <f t="shared" si="7"/>
        <v>2015</v>
      </c>
      <c r="T13" s="2">
        <f t="shared" si="8"/>
        <v>3.2432899073928732E-2</v>
      </c>
      <c r="U13" s="2">
        <f t="shared" si="9"/>
        <v>8.6764644131849658E-2</v>
      </c>
      <c r="V13" s="2">
        <f t="shared" si="10"/>
        <v>0.1247514590460857</v>
      </c>
      <c r="W13" s="2">
        <f t="shared" si="11"/>
        <v>8.5032921810699574E-2</v>
      </c>
      <c r="Y13">
        <v>73</v>
      </c>
    </row>
    <row r="14" spans="1:25" x14ac:dyDescent="0.45">
      <c r="A14">
        <v>2016</v>
      </c>
      <c r="B14" s="1">
        <v>37047</v>
      </c>
      <c r="C14" s="1">
        <v>13104</v>
      </c>
      <c r="D14" s="1">
        <v>8901</v>
      </c>
      <c r="E14" s="1">
        <v>13685</v>
      </c>
      <c r="F14" s="1">
        <v>38.655381303633334</v>
      </c>
      <c r="G14" s="1">
        <v>53</v>
      </c>
      <c r="H14" s="1">
        <v>7</v>
      </c>
      <c r="I14" s="1">
        <v>60</v>
      </c>
      <c r="J14" s="1">
        <v>3</v>
      </c>
      <c r="K14" s="1">
        <v>0</v>
      </c>
      <c r="L14" s="1">
        <v>63</v>
      </c>
      <c r="M14" s="1">
        <v>1425</v>
      </c>
      <c r="N14" s="1">
        <f t="shared" si="6"/>
        <v>-1010.2890221288999</v>
      </c>
      <c r="O14" s="2">
        <f t="shared" si="4"/>
        <v>2.7270467841630897E-2</v>
      </c>
      <c r="P14" s="3">
        <f>AVERAGE(O7:O14)</f>
        <v>2.7343593152614372E-2</v>
      </c>
      <c r="Q14" s="3"/>
      <c r="R14" s="3"/>
      <c r="S14" s="6">
        <f t="shared" si="7"/>
        <v>2016</v>
      </c>
      <c r="T14" s="2">
        <f t="shared" si="8"/>
        <v>2.7270467841630897E-2</v>
      </c>
      <c r="U14" s="2">
        <f t="shared" si="9"/>
        <v>7.7097758098969765E-2</v>
      </c>
      <c r="V14" s="2">
        <f t="shared" si="10"/>
        <v>0.11350286733276035</v>
      </c>
      <c r="W14" s="2">
        <f t="shared" si="11"/>
        <v>7.3824554046686142E-2</v>
      </c>
      <c r="Y14">
        <v>63</v>
      </c>
    </row>
    <row r="15" spans="1:25" x14ac:dyDescent="0.45">
      <c r="A15">
        <v>2017</v>
      </c>
      <c r="B15" s="1">
        <v>37728</v>
      </c>
      <c r="C15" s="1">
        <v>13276</v>
      </c>
      <c r="D15" s="1">
        <v>9335</v>
      </c>
      <c r="E15" s="1">
        <v>14126</v>
      </c>
      <c r="F15" s="1">
        <v>41.085390802024996</v>
      </c>
      <c r="G15" s="1">
        <v>77</v>
      </c>
      <c r="H15" s="1">
        <v>18</v>
      </c>
      <c r="I15" s="1">
        <v>95</v>
      </c>
      <c r="J15" s="1">
        <v>3</v>
      </c>
      <c r="K15" s="1">
        <v>0</v>
      </c>
      <c r="L15" s="1">
        <v>98</v>
      </c>
      <c r="M15" s="1">
        <v>2181</v>
      </c>
      <c r="N15" s="1">
        <f t="shared" si="6"/>
        <v>-1845.3682985984497</v>
      </c>
      <c r="O15" s="2">
        <f t="shared" si="4"/>
        <v>4.8912433699068322E-2</v>
      </c>
      <c r="P15" s="3"/>
      <c r="Q15" s="3">
        <f>Q16</f>
        <v>6.6734115463166752E-2</v>
      </c>
      <c r="R15" s="3"/>
      <c r="S15" s="6">
        <f t="shared" si="7"/>
        <v>2017</v>
      </c>
      <c r="T15" s="2">
        <f t="shared" si="8"/>
        <v>4.8912433699068322E-2</v>
      </c>
      <c r="U15" s="2">
        <f t="shared" si="9"/>
        <v>0.13900032378716856</v>
      </c>
      <c r="V15" s="2">
        <f t="shared" si="10"/>
        <v>0.1976827315049223</v>
      </c>
      <c r="W15" s="2">
        <f t="shared" si="11"/>
        <v>0.13063629467637333</v>
      </c>
      <c r="X15" s="2">
        <f>W15/X$7-1</f>
        <v>0.72790594131868636</v>
      </c>
      <c r="Y15">
        <v>98</v>
      </c>
    </row>
    <row r="16" spans="1:25" x14ac:dyDescent="0.45">
      <c r="A16">
        <v>2018</v>
      </c>
      <c r="B16" s="1">
        <v>39831</v>
      </c>
      <c r="C16" s="1">
        <v>14319</v>
      </c>
      <c r="D16" s="1">
        <v>3825</v>
      </c>
      <c r="E16" s="1">
        <v>15386</v>
      </c>
      <c r="F16" s="1">
        <v>48.740203327399996</v>
      </c>
      <c r="G16" s="1">
        <v>78</v>
      </c>
      <c r="H16" s="1">
        <v>27</v>
      </c>
      <c r="I16" s="1">
        <v>105</v>
      </c>
      <c r="J16" s="1">
        <v>3</v>
      </c>
      <c r="K16" s="1">
        <v>0</v>
      </c>
      <c r="L16" s="1">
        <v>108</v>
      </c>
      <c r="M16" s="1">
        <v>1896</v>
      </c>
      <c r="N16" s="1">
        <f t="shared" si="6"/>
        <v>-3367.9419593591992</v>
      </c>
      <c r="O16" s="2">
        <f t="shared" si="4"/>
        <v>8.4555797227265181E-2</v>
      </c>
      <c r="P16" s="3"/>
      <c r="Q16" s="3">
        <f>AVERAGE(O15:O16)</f>
        <v>6.6734115463166752E-2</v>
      </c>
      <c r="R16" s="3"/>
      <c r="S16" s="6">
        <f t="shared" si="7"/>
        <v>2018</v>
      </c>
      <c r="T16" s="2">
        <f t="shared" si="8"/>
        <v>8.4555797227265181E-2</v>
      </c>
      <c r="U16" s="2">
        <f t="shared" si="9"/>
        <v>0.23520790274175565</v>
      </c>
      <c r="V16" s="2">
        <f t="shared" si="10"/>
        <v>0.88050770179325466</v>
      </c>
      <c r="W16" s="2">
        <f t="shared" si="11"/>
        <v>0.21889652667094756</v>
      </c>
      <c r="X16" s="2">
        <f>W16/X$7-1</f>
        <v>1.8953102957011621</v>
      </c>
      <c r="Y16">
        <v>108</v>
      </c>
    </row>
    <row r="17" spans="8:12" x14ac:dyDescent="0.45">
      <c r="H17" s="1"/>
      <c r="L17" s="4">
        <f>MEDIAN(L7:L14)</f>
        <v>77</v>
      </c>
    </row>
    <row r="18" spans="8:12" x14ac:dyDescent="0.45">
      <c r="L18">
        <f>L15/L17-1</f>
        <v>0.27272727272727271</v>
      </c>
    </row>
    <row r="19" spans="8:12" x14ac:dyDescent="0.45">
      <c r="L19">
        <f>L16/L17-1</f>
        <v>0.40259740259740262</v>
      </c>
    </row>
    <row r="21" spans="8:12" x14ac:dyDescent="0.45">
      <c r="H21" s="4"/>
    </row>
    <row r="22" spans="8:12" x14ac:dyDescent="0.45">
      <c r="H22" s="4"/>
    </row>
    <row r="23" spans="8:12" x14ac:dyDescent="0.45">
      <c r="H23" s="4"/>
    </row>
  </sheetData>
  <mergeCells count="1">
    <mergeCell ref="S1:W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FDE9-130F-470C-AE85-754486D2D204}">
  <dimension ref="A1"/>
  <sheetViews>
    <sheetView workbookViewId="0"/>
  </sheetViews>
  <sheetFormatPr defaultRowHeight="14.25" x14ac:dyDescent="0.4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70E5-3741-4FA0-856D-E4936FFC12D4}">
  <dimension ref="A1:I59"/>
  <sheetViews>
    <sheetView zoomScaleNormal="100" workbookViewId="0">
      <selection activeCell="B15" sqref="B15"/>
    </sheetView>
  </sheetViews>
  <sheetFormatPr defaultRowHeight="14.25" x14ac:dyDescent="0.45"/>
  <cols>
    <col min="2" max="2" width="14.73046875" bestFit="1" customWidth="1"/>
    <col min="3" max="4" width="14.73046875" customWidth="1"/>
    <col min="5" max="5" width="10.19921875" bestFit="1" customWidth="1"/>
    <col min="6" max="6" width="17.19921875" bestFit="1" customWidth="1"/>
  </cols>
  <sheetData>
    <row r="1" spans="1:9" x14ac:dyDescent="0.45">
      <c r="A1" t="s">
        <v>22</v>
      </c>
      <c r="B1" t="s">
        <v>15</v>
      </c>
      <c r="C1" t="s">
        <v>19</v>
      </c>
      <c r="D1" t="s">
        <v>21</v>
      </c>
      <c r="E1" t="s">
        <v>16</v>
      </c>
      <c r="F1" t="s">
        <v>17</v>
      </c>
      <c r="G1" t="s">
        <v>18</v>
      </c>
      <c r="H1" t="s">
        <v>20</v>
      </c>
      <c r="I1" t="s">
        <v>29</v>
      </c>
    </row>
    <row r="2" spans="1:9" x14ac:dyDescent="0.45">
      <c r="A2">
        <f>'Imputed Cost of Share Issuance'!A4</f>
        <v>2006</v>
      </c>
      <c r="B2">
        <f>'Imputed Cost of Share Issuance'!G4</f>
        <v>87</v>
      </c>
      <c r="D2">
        <f t="shared" ref="D2:D4" si="0">B2+C2</f>
        <v>87</v>
      </c>
      <c r="E2">
        <f>'Imputed Cost of Share Issuance'!I4</f>
        <v>87</v>
      </c>
      <c r="F2">
        <f>'Imputed Cost of Share Issuance'!J4</f>
        <v>6</v>
      </c>
      <c r="G2">
        <f>'Imputed Cost of Share Issuance'!K4</f>
        <v>141</v>
      </c>
      <c r="H2">
        <f t="shared" ref="H2:H4" si="1">SUM(E2:G2)</f>
        <v>234</v>
      </c>
      <c r="I2" s="8">
        <v>56.133000000000003</v>
      </c>
    </row>
    <row r="3" spans="1:9" x14ac:dyDescent="0.45">
      <c r="A3">
        <f>'Imputed Cost of Share Issuance'!A5</f>
        <v>2007</v>
      </c>
      <c r="B3">
        <f>'Imputed Cost of Share Issuance'!G5</f>
        <v>106</v>
      </c>
      <c r="D3">
        <f t="shared" si="0"/>
        <v>106</v>
      </c>
      <c r="E3">
        <f>'Imputed Cost of Share Issuance'!I5</f>
        <v>106</v>
      </c>
      <c r="F3">
        <f>'Imputed Cost of Share Issuance'!J5</f>
        <v>3</v>
      </c>
      <c r="G3">
        <f>'Imputed Cost of Share Issuance'!K5</f>
        <v>0</v>
      </c>
      <c r="H3">
        <f t="shared" si="1"/>
        <v>109</v>
      </c>
      <c r="I3" s="8">
        <v>74.674000000000007</v>
      </c>
    </row>
    <row r="4" spans="1:9" x14ac:dyDescent="0.45">
      <c r="A4">
        <f>'Imputed Cost of Share Issuance'!A6</f>
        <v>2008</v>
      </c>
      <c r="B4">
        <f>'Imputed Cost of Share Issuance'!G6</f>
        <v>135</v>
      </c>
      <c r="D4">
        <f t="shared" si="0"/>
        <v>135</v>
      </c>
      <c r="E4">
        <f>'Imputed Cost of Share Issuance'!I6</f>
        <v>137</v>
      </c>
      <c r="F4">
        <f>'Imputed Cost of Share Issuance'!J6</f>
        <v>3</v>
      </c>
      <c r="G4">
        <f>'Imputed Cost of Share Issuance'!K6</f>
        <v>0</v>
      </c>
      <c r="H4">
        <f t="shared" si="1"/>
        <v>140</v>
      </c>
      <c r="I4" s="8">
        <v>84.222999999999999</v>
      </c>
    </row>
    <row r="5" spans="1:9" x14ac:dyDescent="0.45">
      <c r="A5">
        <f>'Imputed Cost of Share Issuance'!A7</f>
        <v>2009</v>
      </c>
      <c r="B5">
        <f>'Imputed Cost of Share Issuance'!G7</f>
        <v>76</v>
      </c>
      <c r="D5">
        <f>B5+C5</f>
        <v>76</v>
      </c>
      <c r="E5">
        <f>'Imputed Cost of Share Issuance'!I7</f>
        <v>76</v>
      </c>
      <c r="F5">
        <f>'Imputed Cost of Share Issuance'!J7</f>
        <v>3</v>
      </c>
      <c r="G5">
        <f>'Imputed Cost of Share Issuance'!K7</f>
        <v>2</v>
      </c>
      <c r="H5">
        <f>SUM(E5:G5)</f>
        <v>81</v>
      </c>
      <c r="I5">
        <v>86</v>
      </c>
    </row>
    <row r="6" spans="1:9" x14ac:dyDescent="0.45">
      <c r="A6">
        <f>'Imputed Cost of Share Issuance'!A8</f>
        <v>2010</v>
      </c>
      <c r="B6">
        <f>'Imputed Cost of Share Issuance'!G8</f>
        <v>60</v>
      </c>
      <c r="D6">
        <f t="shared" ref="D6:D19" si="2">B6+C6</f>
        <v>60</v>
      </c>
      <c r="E6">
        <f>'Imputed Cost of Share Issuance'!I8</f>
        <v>60</v>
      </c>
      <c r="F6">
        <f>'Imputed Cost of Share Issuance'!J8</f>
        <v>3</v>
      </c>
      <c r="G6">
        <f>'Imputed Cost of Share Issuance'!K8</f>
        <v>1</v>
      </c>
      <c r="H6">
        <f t="shared" ref="H6:H14" si="3">SUM(E6:G6)</f>
        <v>64</v>
      </c>
      <c r="I6">
        <v>105</v>
      </c>
    </row>
    <row r="7" spans="1:9" x14ac:dyDescent="0.45">
      <c r="A7">
        <f>'Imputed Cost of Share Issuance'!A9</f>
        <v>2011</v>
      </c>
      <c r="B7">
        <f>'Imputed Cost of Share Issuance'!G9</f>
        <v>78</v>
      </c>
      <c r="D7">
        <f t="shared" si="2"/>
        <v>78</v>
      </c>
      <c r="E7">
        <f>'Imputed Cost of Share Issuance'!I9</f>
        <v>78</v>
      </c>
      <c r="F7">
        <f>'Imputed Cost of Share Issuance'!J9</f>
        <v>4</v>
      </c>
      <c r="G7">
        <f>'Imputed Cost of Share Issuance'!K9</f>
        <v>0</v>
      </c>
      <c r="H7">
        <f t="shared" si="3"/>
        <v>82</v>
      </c>
      <c r="I7">
        <v>108</v>
      </c>
    </row>
    <row r="8" spans="1:9" x14ac:dyDescent="0.45">
      <c r="A8">
        <f>'Imputed Cost of Share Issuance'!A10</f>
        <v>2012</v>
      </c>
      <c r="B8">
        <f>'Imputed Cost of Share Issuance'!G10</f>
        <v>76</v>
      </c>
      <c r="D8">
        <f t="shared" si="2"/>
        <v>76</v>
      </c>
      <c r="E8">
        <f>'Imputed Cost of Share Issuance'!I10</f>
        <v>76</v>
      </c>
      <c r="F8">
        <f>'Imputed Cost of Share Issuance'!J10</f>
        <v>3</v>
      </c>
      <c r="G8">
        <f>'Imputed Cost of Share Issuance'!K10</f>
        <v>2</v>
      </c>
      <c r="H8">
        <f t="shared" si="3"/>
        <v>81</v>
      </c>
      <c r="I8">
        <v>115</v>
      </c>
    </row>
    <row r="9" spans="1:9" x14ac:dyDescent="0.45">
      <c r="A9">
        <f>'Imputed Cost of Share Issuance'!A11</f>
        <v>2013</v>
      </c>
      <c r="B9">
        <f>'Imputed Cost of Share Issuance'!G11</f>
        <v>60</v>
      </c>
      <c r="D9">
        <f t="shared" si="2"/>
        <v>60</v>
      </c>
      <c r="E9">
        <f>'Imputed Cost of Share Issuance'!I11</f>
        <v>60</v>
      </c>
      <c r="F9">
        <f>'Imputed Cost of Share Issuance'!J11</f>
        <v>3</v>
      </c>
      <c r="G9">
        <f>'Imputed Cost of Share Issuance'!K11</f>
        <v>1</v>
      </c>
      <c r="H9">
        <f t="shared" si="3"/>
        <v>64</v>
      </c>
      <c r="I9">
        <v>120</v>
      </c>
    </row>
    <row r="10" spans="1:9" x14ac:dyDescent="0.45">
      <c r="A10">
        <f>'Imputed Cost of Share Issuance'!A12</f>
        <v>2014</v>
      </c>
      <c r="B10">
        <f>'Imputed Cost of Share Issuance'!G12</f>
        <v>95</v>
      </c>
      <c r="D10">
        <f t="shared" si="2"/>
        <v>95</v>
      </c>
      <c r="E10">
        <f>'Imputed Cost of Share Issuance'!I12</f>
        <v>95</v>
      </c>
      <c r="F10">
        <f>'Imputed Cost of Share Issuance'!J12</f>
        <v>3</v>
      </c>
      <c r="G10">
        <f>'Imputed Cost of Share Issuance'!K12</f>
        <v>0</v>
      </c>
      <c r="H10">
        <f t="shared" si="3"/>
        <v>98</v>
      </c>
      <c r="I10">
        <v>122</v>
      </c>
    </row>
    <row r="11" spans="1:9" x14ac:dyDescent="0.45">
      <c r="A11">
        <f>'Imputed Cost of Share Issuance'!A13</f>
        <v>2015</v>
      </c>
      <c r="B11">
        <f>'Imputed Cost of Share Issuance'!G13</f>
        <v>70</v>
      </c>
      <c r="C11">
        <f>'Imputed Cost of Share Issuance'!H13</f>
        <v>0</v>
      </c>
      <c r="D11">
        <f t="shared" si="2"/>
        <v>70</v>
      </c>
      <c r="E11">
        <f>'Imputed Cost of Share Issuance'!I13</f>
        <v>70</v>
      </c>
      <c r="F11">
        <f>'Imputed Cost of Share Issuance'!J13</f>
        <v>3</v>
      </c>
      <c r="G11">
        <f>'Imputed Cost of Share Issuance'!K13</f>
        <v>0</v>
      </c>
      <c r="H11">
        <f t="shared" si="3"/>
        <v>73</v>
      </c>
      <c r="I11">
        <v>132</v>
      </c>
    </row>
    <row r="12" spans="1:9" x14ac:dyDescent="0.45">
      <c r="A12">
        <f>'Imputed Cost of Share Issuance'!A14</f>
        <v>2016</v>
      </c>
      <c r="B12">
        <f>'Imputed Cost of Share Issuance'!G14</f>
        <v>53</v>
      </c>
      <c r="C12">
        <f>'Imputed Cost of Share Issuance'!H14</f>
        <v>7</v>
      </c>
      <c r="D12">
        <f t="shared" si="2"/>
        <v>60</v>
      </c>
      <c r="E12">
        <f>'Imputed Cost of Share Issuance'!I14</f>
        <v>60</v>
      </c>
      <c r="F12">
        <f>'Imputed Cost of Share Issuance'!J14</f>
        <v>3</v>
      </c>
      <c r="G12">
        <f>'Imputed Cost of Share Issuance'!K14</f>
        <v>0</v>
      </c>
      <c r="H12">
        <f t="shared" si="3"/>
        <v>63</v>
      </c>
      <c r="I12">
        <v>136</v>
      </c>
    </row>
    <row r="13" spans="1:9" x14ac:dyDescent="0.45">
      <c r="A13">
        <f>'Imputed Cost of Share Issuance'!A15</f>
        <v>2017</v>
      </c>
      <c r="B13">
        <f>'Imputed Cost of Share Issuance'!G15</f>
        <v>77</v>
      </c>
      <c r="C13">
        <f>'Imputed Cost of Share Issuance'!H15</f>
        <v>18</v>
      </c>
      <c r="D13">
        <f t="shared" si="2"/>
        <v>95</v>
      </c>
      <c r="E13" s="8">
        <f>'Imputed Cost of Share Issuance'!I15</f>
        <v>95</v>
      </c>
      <c r="F13">
        <f>'Imputed Cost of Share Issuance'!J15</f>
        <v>3</v>
      </c>
      <c r="G13">
        <f>'Imputed Cost of Share Issuance'!K15</f>
        <v>0</v>
      </c>
      <c r="H13">
        <f t="shared" si="3"/>
        <v>98</v>
      </c>
      <c r="I13">
        <v>138</v>
      </c>
    </row>
    <row r="14" spans="1:9" x14ac:dyDescent="0.45">
      <c r="A14">
        <f>'Imputed Cost of Share Issuance'!A16</f>
        <v>2018</v>
      </c>
      <c r="B14">
        <f>'Imputed Cost of Share Issuance'!G16</f>
        <v>78</v>
      </c>
      <c r="C14">
        <f>'Imputed Cost of Share Issuance'!H16</f>
        <v>27</v>
      </c>
      <c r="D14">
        <f t="shared" si="2"/>
        <v>105</v>
      </c>
      <c r="E14">
        <f>'Imputed Cost of Share Issuance'!I16</f>
        <v>105</v>
      </c>
      <c r="F14">
        <f>'Imputed Cost of Share Issuance'!J16</f>
        <v>3</v>
      </c>
      <c r="G14">
        <f>'Imputed Cost of Share Issuance'!K16</f>
        <v>0</v>
      </c>
      <c r="H14">
        <f t="shared" si="3"/>
        <v>108</v>
      </c>
      <c r="I14">
        <v>137</v>
      </c>
    </row>
    <row r="15" spans="1:9" x14ac:dyDescent="0.45">
      <c r="A15">
        <v>2019</v>
      </c>
      <c r="B15">
        <f>AVERAGE(B13:B14)</f>
        <v>77.5</v>
      </c>
      <c r="C15" s="4">
        <f>-D29</f>
        <v>30.375</v>
      </c>
      <c r="D15">
        <f t="shared" si="2"/>
        <v>107.875</v>
      </c>
    </row>
    <row r="16" spans="1:9" x14ac:dyDescent="0.45">
      <c r="A16">
        <v>2020</v>
      </c>
      <c r="B16">
        <f>B15</f>
        <v>77.5</v>
      </c>
      <c r="C16" s="4">
        <f t="shared" ref="C16:C19" si="4">-D30</f>
        <v>33.375</v>
      </c>
      <c r="D16">
        <f t="shared" si="2"/>
        <v>110.875</v>
      </c>
      <c r="H16">
        <f>MEDIAN(H5:H12)</f>
        <v>77</v>
      </c>
    </row>
    <row r="17" spans="1:6" x14ac:dyDescent="0.45">
      <c r="A17">
        <v>2021</v>
      </c>
      <c r="B17">
        <f t="shared" ref="B17:B19" si="5">B16</f>
        <v>77.5</v>
      </c>
      <c r="C17" s="4">
        <f t="shared" si="4"/>
        <v>35.25</v>
      </c>
      <c r="D17">
        <f t="shared" si="2"/>
        <v>112.75</v>
      </c>
    </row>
    <row r="18" spans="1:6" x14ac:dyDescent="0.45">
      <c r="A18">
        <v>2022</v>
      </c>
      <c r="B18">
        <f t="shared" si="5"/>
        <v>77.5</v>
      </c>
      <c r="C18" s="4">
        <f t="shared" si="4"/>
        <v>33</v>
      </c>
      <c r="D18">
        <f t="shared" si="2"/>
        <v>110.5</v>
      </c>
    </row>
    <row r="19" spans="1:6" x14ac:dyDescent="0.45">
      <c r="A19">
        <v>2023</v>
      </c>
      <c r="B19">
        <f t="shared" si="5"/>
        <v>77.5</v>
      </c>
      <c r="C19" s="4">
        <f t="shared" si="4"/>
        <v>33</v>
      </c>
      <c r="D19">
        <f t="shared" si="2"/>
        <v>110.5</v>
      </c>
    </row>
    <row r="20" spans="1:6" x14ac:dyDescent="0.45">
      <c r="B20" s="7"/>
      <c r="D20">
        <f>AVERAGE(D15:D19)/MEDIAN(D5:D12)-1</f>
        <v>0.51369863013698636</v>
      </c>
    </row>
    <row r="21" spans="1:6" x14ac:dyDescent="0.45">
      <c r="D21">
        <f>MEDIAN(D5:D12)</f>
        <v>73</v>
      </c>
    </row>
    <row r="23" spans="1:6" x14ac:dyDescent="0.45">
      <c r="B23" t="s">
        <v>24</v>
      </c>
      <c r="C23" t="s">
        <v>25</v>
      </c>
      <c r="D23" t="s">
        <v>26</v>
      </c>
      <c r="E23" t="s">
        <v>27</v>
      </c>
      <c r="F23" t="s">
        <v>28</v>
      </c>
    </row>
    <row r="24" spans="1:6" x14ac:dyDescent="0.45">
      <c r="A24">
        <v>2014</v>
      </c>
      <c r="B24" s="1">
        <v>1</v>
      </c>
      <c r="C24" s="1">
        <v>0</v>
      </c>
      <c r="D24" s="1">
        <v>0</v>
      </c>
      <c r="E24" s="1">
        <f>SUM(B24:D24)</f>
        <v>1</v>
      </c>
      <c r="F24" s="3">
        <v>0.25</v>
      </c>
    </row>
    <row r="25" spans="1:6" x14ac:dyDescent="0.45">
      <c r="A25">
        <v>2015</v>
      </c>
      <c r="B25" s="1">
        <v>28</v>
      </c>
      <c r="C25" s="1">
        <v>-1</v>
      </c>
      <c r="D25" s="1">
        <v>0</v>
      </c>
      <c r="E25" s="1">
        <f>SUM(B25:D25)+E24</f>
        <v>28</v>
      </c>
      <c r="F25" s="5"/>
    </row>
    <row r="26" spans="1:6" x14ac:dyDescent="0.45">
      <c r="A26">
        <v>2016</v>
      </c>
      <c r="B26" s="1">
        <v>34</v>
      </c>
      <c r="C26" s="1">
        <v>-3</v>
      </c>
      <c r="D26" s="1">
        <v>-7</v>
      </c>
      <c r="E26" s="1">
        <f t="shared" ref="E26:E32" si="6">SUM(B26:D26)+E25</f>
        <v>52</v>
      </c>
      <c r="F26" s="5"/>
    </row>
    <row r="27" spans="1:6" x14ac:dyDescent="0.45">
      <c r="A27">
        <v>2017</v>
      </c>
      <c r="B27" s="1">
        <f>42+14</f>
        <v>56</v>
      </c>
      <c r="C27" s="1">
        <v>-7</v>
      </c>
      <c r="D27" s="1">
        <v>-18</v>
      </c>
      <c r="E27" s="1">
        <f t="shared" si="6"/>
        <v>83</v>
      </c>
      <c r="F27" s="5"/>
    </row>
    <row r="28" spans="1:6" x14ac:dyDescent="0.45">
      <c r="A28">
        <v>2018</v>
      </c>
      <c r="B28" s="1">
        <v>44</v>
      </c>
      <c r="C28" s="1">
        <v>-11</v>
      </c>
      <c r="D28" s="1">
        <v>-27</v>
      </c>
      <c r="E28" s="1">
        <f t="shared" si="6"/>
        <v>89</v>
      </c>
      <c r="F28" s="5"/>
    </row>
    <row r="29" spans="1:6" x14ac:dyDescent="0.45">
      <c r="A29" s="9">
        <v>2019</v>
      </c>
      <c r="B29" s="1">
        <f>B28</f>
        <v>44</v>
      </c>
      <c r="C29" s="1">
        <f>-(B25/4+B26/4+B27/4+B28/4)*(F$24)</f>
        <v>-10.125</v>
      </c>
      <c r="D29" s="1">
        <f>-(B25/4+B26/4+B27/4+B28/4)*(1-F$24)</f>
        <v>-30.375</v>
      </c>
      <c r="E29" s="1">
        <f t="shared" si="6"/>
        <v>92.5</v>
      </c>
    </row>
    <row r="30" spans="1:6" x14ac:dyDescent="0.45">
      <c r="A30" s="9">
        <v>2020</v>
      </c>
      <c r="B30" s="1">
        <f t="shared" ref="B30:B32" si="7">B29</f>
        <v>44</v>
      </c>
      <c r="C30" s="1">
        <f t="shared" ref="C30:C32" si="8">-(B26/4+B27/4+B28/4+B29/4)*(F$24)</f>
        <v>-11.125</v>
      </c>
      <c r="D30" s="1">
        <f t="shared" ref="D30:D32" si="9">-(B26/4+B27/4+B28/4+B29/4)*(1-F$24)</f>
        <v>-33.375</v>
      </c>
      <c r="E30" s="1">
        <f t="shared" si="6"/>
        <v>92</v>
      </c>
    </row>
    <row r="31" spans="1:6" x14ac:dyDescent="0.45">
      <c r="A31" s="9">
        <v>2021</v>
      </c>
      <c r="B31" s="1">
        <f t="shared" si="7"/>
        <v>44</v>
      </c>
      <c r="C31" s="1">
        <f t="shared" si="8"/>
        <v>-11.75</v>
      </c>
      <c r="D31" s="1">
        <f t="shared" si="9"/>
        <v>-35.25</v>
      </c>
      <c r="E31" s="1">
        <f t="shared" si="6"/>
        <v>89</v>
      </c>
    </row>
    <row r="32" spans="1:6" x14ac:dyDescent="0.45">
      <c r="A32" s="9">
        <v>2022</v>
      </c>
      <c r="B32" s="1">
        <f t="shared" si="7"/>
        <v>44</v>
      </c>
      <c r="C32" s="1">
        <f t="shared" si="8"/>
        <v>-11</v>
      </c>
      <c r="D32" s="1">
        <f t="shared" si="9"/>
        <v>-33</v>
      </c>
      <c r="E32" s="1">
        <f t="shared" si="6"/>
        <v>89</v>
      </c>
    </row>
    <row r="33" spans="1:5" x14ac:dyDescent="0.45">
      <c r="A33" s="9">
        <v>2023</v>
      </c>
      <c r="B33" s="1">
        <f t="shared" ref="B33" si="10">B32</f>
        <v>44</v>
      </c>
      <c r="C33" s="1">
        <f t="shared" ref="C33" si="11">-(B29/4+B30/4+B31/4+B32/4)*(F$24)</f>
        <v>-11</v>
      </c>
      <c r="D33" s="1">
        <f t="shared" ref="D33" si="12">-(B29/4+B30/4+B31/4+B32/4)*(1-F$24)</f>
        <v>-33</v>
      </c>
      <c r="E33" s="1">
        <f t="shared" ref="E33" si="13">SUM(B33:D33)+E32</f>
        <v>89</v>
      </c>
    </row>
    <row r="34" spans="1:5" x14ac:dyDescent="0.45">
      <c r="B34" s="1"/>
      <c r="C34" s="1"/>
      <c r="D34" s="1"/>
      <c r="E34" s="1"/>
    </row>
    <row r="35" spans="1:5" x14ac:dyDescent="0.45">
      <c r="B35" s="1"/>
      <c r="C35" s="1"/>
      <c r="D35" s="1"/>
      <c r="E35" s="1"/>
    </row>
    <row r="36" spans="1:5" x14ac:dyDescent="0.45">
      <c r="B36" s="1"/>
      <c r="C36" s="1"/>
      <c r="D36" s="1"/>
      <c r="E36" s="1"/>
    </row>
    <row r="37" spans="1:5" x14ac:dyDescent="0.45">
      <c r="B37" s="1"/>
      <c r="C37" s="1"/>
      <c r="D37" s="1"/>
      <c r="E37" s="1"/>
    </row>
    <row r="41" spans="1:5" x14ac:dyDescent="0.45">
      <c r="B41" t="s">
        <v>31</v>
      </c>
      <c r="C41" t="s">
        <v>30</v>
      </c>
    </row>
    <row r="42" spans="1:5" x14ac:dyDescent="0.45">
      <c r="A42">
        <v>2006</v>
      </c>
      <c r="B42" s="8">
        <v>56.133000000000003</v>
      </c>
      <c r="C42">
        <v>87</v>
      </c>
    </row>
    <row r="43" spans="1:5" x14ac:dyDescent="0.45">
      <c r="A43">
        <v>2007</v>
      </c>
      <c r="B43" s="8">
        <v>74.674000000000007</v>
      </c>
      <c r="C43">
        <v>106</v>
      </c>
    </row>
    <row r="44" spans="1:5" x14ac:dyDescent="0.45">
      <c r="A44">
        <v>2008</v>
      </c>
      <c r="B44" s="8">
        <v>84.222999999999999</v>
      </c>
      <c r="C44">
        <v>135</v>
      </c>
    </row>
    <row r="45" spans="1:5" x14ac:dyDescent="0.45">
      <c r="A45">
        <v>2009</v>
      </c>
      <c r="B45">
        <v>86</v>
      </c>
      <c r="C45">
        <v>76</v>
      </c>
    </row>
    <row r="46" spans="1:5" x14ac:dyDescent="0.45">
      <c r="A46">
        <v>2010</v>
      </c>
      <c r="B46">
        <v>105</v>
      </c>
      <c r="C46">
        <v>60</v>
      </c>
    </row>
    <row r="47" spans="1:5" x14ac:dyDescent="0.45">
      <c r="A47">
        <v>2011</v>
      </c>
      <c r="B47">
        <v>108</v>
      </c>
      <c r="C47">
        <v>78</v>
      </c>
    </row>
    <row r="48" spans="1:5" x14ac:dyDescent="0.45">
      <c r="A48">
        <v>2012</v>
      </c>
      <c r="B48">
        <v>115</v>
      </c>
      <c r="C48">
        <v>76</v>
      </c>
    </row>
    <row r="49" spans="1:3" x14ac:dyDescent="0.45">
      <c r="A49">
        <v>2013</v>
      </c>
      <c r="B49">
        <v>120</v>
      </c>
      <c r="C49">
        <v>60</v>
      </c>
    </row>
    <row r="50" spans="1:3" x14ac:dyDescent="0.45">
      <c r="A50">
        <v>2014</v>
      </c>
      <c r="B50">
        <v>122</v>
      </c>
      <c r="C50">
        <v>95</v>
      </c>
    </row>
    <row r="51" spans="1:3" x14ac:dyDescent="0.45">
      <c r="A51">
        <v>2015</v>
      </c>
      <c r="B51">
        <v>132</v>
      </c>
      <c r="C51">
        <v>70</v>
      </c>
    </row>
    <row r="52" spans="1:3" x14ac:dyDescent="0.45">
      <c r="A52">
        <v>2016</v>
      </c>
      <c r="B52">
        <v>136</v>
      </c>
      <c r="C52">
        <v>60</v>
      </c>
    </row>
    <row r="53" spans="1:3" x14ac:dyDescent="0.45">
      <c r="A53">
        <v>2017</v>
      </c>
      <c r="B53">
        <v>138</v>
      </c>
      <c r="C53">
        <v>95</v>
      </c>
    </row>
    <row r="54" spans="1:3" x14ac:dyDescent="0.45">
      <c r="A54">
        <v>2018</v>
      </c>
      <c r="B54">
        <v>137</v>
      </c>
      <c r="C54">
        <v>105</v>
      </c>
    </row>
    <row r="57" spans="1:3" x14ac:dyDescent="0.45">
      <c r="B57">
        <f>CORREL(B42:B54,C42:C54)</f>
        <v>-0.30346493885711123</v>
      </c>
      <c r="C57">
        <f>B57^2</f>
        <v>9.2090969115550259E-2</v>
      </c>
    </row>
    <row r="58" spans="1:3" x14ac:dyDescent="0.45">
      <c r="B58">
        <f>CORREL(B45:B54,C45:C54)</f>
        <v>0.31055611903145236</v>
      </c>
    </row>
    <row r="59" spans="1:3" x14ac:dyDescent="0.45">
      <c r="B59">
        <f>CORREL(B45:B52,C45:C52)</f>
        <v>-0.16354494676347239</v>
      </c>
      <c r="C59">
        <f>B59^2</f>
        <v>2.6746949611867018E-2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C6AD-0339-427C-99B1-40FAB0F1BA8A}">
  <dimension ref="A1:P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2" sqref="O22:P22"/>
    </sheetView>
  </sheetViews>
  <sheetFormatPr defaultRowHeight="14.25" x14ac:dyDescent="0.45"/>
  <cols>
    <col min="1" max="1" width="23.796875" bestFit="1" customWidth="1"/>
    <col min="2" max="14" width="10.86328125" bestFit="1" customWidth="1"/>
  </cols>
  <sheetData>
    <row r="1" spans="1:14" x14ac:dyDescent="0.45"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</row>
    <row r="2" spans="1:14" x14ac:dyDescent="0.45">
      <c r="A2" t="s">
        <v>32</v>
      </c>
      <c r="B2" s="1">
        <v>49</v>
      </c>
      <c r="C2" s="1">
        <f>207+338-259</f>
        <v>286</v>
      </c>
      <c r="D2" s="1">
        <f>369+588-454</f>
        <v>503</v>
      </c>
      <c r="E2" s="1">
        <f>252+355-97</f>
        <v>510</v>
      </c>
      <c r="F2" s="1">
        <f>436+203-110</f>
        <v>529</v>
      </c>
      <c r="G2" s="1">
        <f>510+325-215</f>
        <v>620</v>
      </c>
      <c r="H2" s="1">
        <f>659+182-97</f>
        <v>744</v>
      </c>
      <c r="I2" s="1">
        <f>755+410-241</f>
        <v>924</v>
      </c>
      <c r="J2" s="1">
        <f>805+480-250</f>
        <v>1035</v>
      </c>
      <c r="K2" s="1">
        <f>933+396-244</f>
        <v>1085</v>
      </c>
      <c r="L2" s="1">
        <v>1037</v>
      </c>
      <c r="M2" s="1">
        <v>1350</v>
      </c>
      <c r="N2" s="1">
        <v>1607</v>
      </c>
    </row>
    <row r="3" spans="1:14" x14ac:dyDescent="0.45">
      <c r="A3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>
        <v>2664</v>
      </c>
      <c r="M3" s="1">
        <v>3015</v>
      </c>
      <c r="N3" s="1">
        <v>3612</v>
      </c>
    </row>
    <row r="4" spans="1:14" x14ac:dyDescent="0.45">
      <c r="A4" t="s">
        <v>42</v>
      </c>
      <c r="B4" s="1"/>
      <c r="C4" s="1"/>
      <c r="D4" s="1"/>
      <c r="E4" s="1"/>
      <c r="F4" s="1"/>
      <c r="G4" s="1"/>
      <c r="H4" s="1"/>
      <c r="I4" s="1">
        <v>327</v>
      </c>
      <c r="J4" s="1">
        <v>455</v>
      </c>
      <c r="K4" s="1">
        <v>773</v>
      </c>
      <c r="L4" s="1"/>
      <c r="M4" s="1"/>
      <c r="N4" s="1"/>
    </row>
    <row r="5" spans="1:14" x14ac:dyDescent="0.45">
      <c r="A5" t="s">
        <v>43</v>
      </c>
      <c r="B5" s="1"/>
      <c r="C5" s="1"/>
      <c r="D5" s="1"/>
      <c r="E5" s="1"/>
      <c r="F5" s="1"/>
      <c r="G5" s="1"/>
      <c r="H5" s="1"/>
      <c r="I5" s="1">
        <v>304</v>
      </c>
      <c r="J5" s="1">
        <v>308</v>
      </c>
      <c r="K5" s="1">
        <v>344</v>
      </c>
      <c r="L5" s="1"/>
      <c r="M5" s="1"/>
      <c r="N5" s="1"/>
    </row>
    <row r="6" spans="1:14" x14ac:dyDescent="0.45">
      <c r="A6" t="s">
        <v>44</v>
      </c>
      <c r="B6" s="1">
        <v>719</v>
      </c>
      <c r="C6" s="1">
        <v>842</v>
      </c>
      <c r="D6" s="1">
        <v>997</v>
      </c>
      <c r="E6" s="1">
        <v>1088</v>
      </c>
      <c r="F6" s="1">
        <v>1063</v>
      </c>
      <c r="G6" s="1">
        <v>1264</v>
      </c>
      <c r="H6" s="1">
        <v>1226</v>
      </c>
      <c r="I6" s="1">
        <v>1175</v>
      </c>
      <c r="J6" s="1">
        <v>1162</v>
      </c>
      <c r="K6" s="1">
        <v>1199</v>
      </c>
      <c r="L6" s="1"/>
      <c r="M6" s="1"/>
      <c r="N6" s="1"/>
    </row>
    <row r="7" spans="1:14" x14ac:dyDescent="0.45">
      <c r="A7" t="s">
        <v>34</v>
      </c>
      <c r="B7" s="1"/>
      <c r="C7" s="1"/>
      <c r="D7" s="1"/>
      <c r="E7" s="1"/>
      <c r="F7" s="1"/>
      <c r="G7" s="1"/>
      <c r="H7" s="1"/>
      <c r="I7" s="1"/>
      <c r="J7" s="1"/>
      <c r="K7" s="1"/>
      <c r="L7" s="1">
        <v>2064</v>
      </c>
      <c r="M7" s="1">
        <v>1653</v>
      </c>
      <c r="N7" s="1">
        <v>1581</v>
      </c>
    </row>
    <row r="8" spans="1:14" x14ac:dyDescent="0.45">
      <c r="A8" t="s">
        <v>40</v>
      </c>
      <c r="B8" s="1"/>
      <c r="C8" s="1"/>
      <c r="D8" s="1"/>
      <c r="E8" s="1"/>
      <c r="F8" s="1">
        <v>880</v>
      </c>
      <c r="G8" s="1">
        <v>2057</v>
      </c>
      <c r="H8" s="1">
        <v>1843</v>
      </c>
      <c r="I8" s="1">
        <v>1501</v>
      </c>
      <c r="J8" s="1">
        <v>1521</v>
      </c>
      <c r="K8" s="1">
        <v>1471</v>
      </c>
      <c r="L8" s="1"/>
      <c r="M8" s="1"/>
      <c r="N8" s="1"/>
    </row>
    <row r="9" spans="1:14" x14ac:dyDescent="0.45">
      <c r="A9" t="s">
        <v>41</v>
      </c>
      <c r="B9" s="1"/>
      <c r="C9" s="1"/>
      <c r="D9" s="1"/>
      <c r="E9" s="1"/>
      <c r="F9" s="1">
        <v>423</v>
      </c>
      <c r="G9" s="1">
        <v>1259</v>
      </c>
      <c r="H9" s="1">
        <v>1046</v>
      </c>
      <c r="I9" s="1">
        <v>890</v>
      </c>
      <c r="J9" s="1">
        <v>836</v>
      </c>
      <c r="K9" s="1">
        <v>816</v>
      </c>
      <c r="L9" s="1"/>
      <c r="M9" s="1"/>
      <c r="N9" s="1"/>
    </row>
    <row r="10" spans="1:14" x14ac:dyDescent="0.45">
      <c r="A10" t="s">
        <v>35</v>
      </c>
      <c r="B10" s="1">
        <v>2516</v>
      </c>
      <c r="C10" s="1">
        <v>3349</v>
      </c>
      <c r="D10" s="1">
        <v>3984</v>
      </c>
      <c r="E10" s="1">
        <v>3706</v>
      </c>
      <c r="F10" s="1">
        <v>3398</v>
      </c>
      <c r="G10" s="1">
        <v>3818</v>
      </c>
      <c r="H10" s="1">
        <v>3743</v>
      </c>
      <c r="I10" s="1">
        <v>3182</v>
      </c>
      <c r="J10" s="1">
        <v>2954</v>
      </c>
      <c r="K10" s="1">
        <v>2929</v>
      </c>
      <c r="L10" s="1">
        <v>2751</v>
      </c>
      <c r="M10" s="1">
        <v>2801</v>
      </c>
      <c r="N10" s="1">
        <v>2888</v>
      </c>
    </row>
    <row r="11" spans="1:14" x14ac:dyDescent="0.45">
      <c r="A11" t="s">
        <v>36</v>
      </c>
      <c r="B11" s="1">
        <v>3177</v>
      </c>
      <c r="C11" s="1">
        <v>3907</v>
      </c>
      <c r="D11" s="1">
        <v>4679</v>
      </c>
      <c r="E11" s="1">
        <v>4638</v>
      </c>
      <c r="F11" s="1">
        <v>5080</v>
      </c>
      <c r="G11" s="1">
        <v>6579</v>
      </c>
      <c r="H11" s="1">
        <v>7127</v>
      </c>
      <c r="I11" s="1">
        <v>7062</v>
      </c>
      <c r="J11" s="1">
        <v>7567</v>
      </c>
      <c r="K11" s="1">
        <v>7655</v>
      </c>
      <c r="L11" s="1">
        <v>7884</v>
      </c>
      <c r="M11" s="1">
        <v>8197</v>
      </c>
      <c r="N11" s="1">
        <v>8431</v>
      </c>
    </row>
    <row r="12" spans="1:14" x14ac:dyDescent="0.45">
      <c r="A12" t="s">
        <v>37</v>
      </c>
      <c r="B12" s="1">
        <v>1872</v>
      </c>
      <c r="C12" s="1">
        <v>2195</v>
      </c>
      <c r="D12" s="1">
        <v>2741</v>
      </c>
      <c r="E12" s="1">
        <v>2767</v>
      </c>
      <c r="F12" s="1">
        <v>3254</v>
      </c>
      <c r="G12" s="1">
        <v>4519</v>
      </c>
      <c r="H12" s="1">
        <v>4523</v>
      </c>
      <c r="I12" s="1">
        <v>4850</v>
      </c>
      <c r="J12" s="1">
        <v>5151</v>
      </c>
      <c r="K12" s="1">
        <v>5524</v>
      </c>
      <c r="L12" s="1">
        <v>5787</v>
      </c>
      <c r="M12" s="1">
        <v>6159</v>
      </c>
      <c r="N12" s="1">
        <v>6091</v>
      </c>
    </row>
    <row r="13" spans="1:14" x14ac:dyDescent="0.45">
      <c r="A13" t="s">
        <v>38</v>
      </c>
      <c r="B13" s="1">
        <v>555</v>
      </c>
      <c r="C13" s="1">
        <v>692</v>
      </c>
      <c r="D13" s="1">
        <v>808</v>
      </c>
      <c r="E13" s="1">
        <v>785</v>
      </c>
      <c r="F13" s="1">
        <v>911</v>
      </c>
      <c r="G13" s="1">
        <v>970</v>
      </c>
      <c r="H13" s="1">
        <v>1126</v>
      </c>
      <c r="I13" s="1">
        <v>1072</v>
      </c>
      <c r="J13" s="1">
        <v>1038</v>
      </c>
      <c r="K13" s="1">
        <v>1077</v>
      </c>
      <c r="L13" s="1">
        <v>1155</v>
      </c>
      <c r="M13" s="1">
        <v>1176</v>
      </c>
      <c r="N13" s="1">
        <v>1289</v>
      </c>
    </row>
    <row r="14" spans="1:14" x14ac:dyDescent="0.45">
      <c r="A14" t="s">
        <v>45</v>
      </c>
      <c r="B14" s="1">
        <v>2422.0242202326995</v>
      </c>
      <c r="C14" s="1">
        <v>942.19787480270793</v>
      </c>
      <c r="D14" s="1">
        <v>1598.7120108493332</v>
      </c>
      <c r="E14" s="1">
        <v>703.67000000000007</v>
      </c>
      <c r="F14" s="1">
        <v>548.07999999999993</v>
      </c>
      <c r="G14" s="1">
        <v>934.75999999999976</v>
      </c>
      <c r="H14" s="1">
        <v>541.24</v>
      </c>
      <c r="I14" s="1">
        <v>1252.6500000000001</v>
      </c>
      <c r="J14" s="1">
        <v>1295</v>
      </c>
      <c r="K14" s="1">
        <v>1239.7799999999997</v>
      </c>
      <c r="L14" s="1">
        <v>1010.2890221288999</v>
      </c>
      <c r="M14" s="1">
        <v>1845.3682985984497</v>
      </c>
      <c r="N14" s="1">
        <v>3367.9419593591992</v>
      </c>
    </row>
    <row r="15" spans="1:14" x14ac:dyDescent="0.45">
      <c r="A15" t="s">
        <v>39</v>
      </c>
      <c r="B15" s="1">
        <v>56.133000000000003</v>
      </c>
      <c r="C15" s="1">
        <v>74.674000000000007</v>
      </c>
      <c r="D15" s="1">
        <v>84.222999999999999</v>
      </c>
      <c r="E15" s="1">
        <v>86</v>
      </c>
      <c r="F15" s="1">
        <v>105</v>
      </c>
      <c r="G15" s="1">
        <v>108</v>
      </c>
      <c r="H15" s="1">
        <v>115</v>
      </c>
      <c r="I15" s="1">
        <v>120</v>
      </c>
      <c r="J15" s="1">
        <v>122</v>
      </c>
      <c r="K15" s="1">
        <v>132</v>
      </c>
      <c r="L15" s="1">
        <v>136</v>
      </c>
      <c r="M15" s="1">
        <v>138</v>
      </c>
      <c r="N15" s="1">
        <v>137</v>
      </c>
    </row>
    <row r="17" spans="1:16" x14ac:dyDescent="0.45">
      <c r="A17" t="s">
        <v>46</v>
      </c>
      <c r="B17" s="1">
        <f>(SUM(B3:B14)-B2)*1000</f>
        <v>11212024.220232699</v>
      </c>
      <c r="C17" s="1">
        <f t="shared" ref="C17:N17" si="0">(SUM(C3:C14)-C2)*1000</f>
        <v>11641197.874802709</v>
      </c>
      <c r="D17" s="1">
        <f t="shared" si="0"/>
        <v>14304712.010849332</v>
      </c>
      <c r="E17" s="1">
        <f t="shared" si="0"/>
        <v>13177670</v>
      </c>
      <c r="F17" s="1">
        <f t="shared" si="0"/>
        <v>15028080</v>
      </c>
      <c r="G17" s="1">
        <f t="shared" si="0"/>
        <v>20780760</v>
      </c>
      <c r="H17" s="1">
        <f t="shared" si="0"/>
        <v>20431240</v>
      </c>
      <c r="I17" s="1">
        <f t="shared" si="0"/>
        <v>20691650</v>
      </c>
      <c r="J17" s="1">
        <f t="shared" si="0"/>
        <v>21252000</v>
      </c>
      <c r="K17" s="1">
        <f t="shared" si="0"/>
        <v>21942780</v>
      </c>
      <c r="L17" s="1">
        <f t="shared" si="0"/>
        <v>22278289.022128899</v>
      </c>
      <c r="M17" s="1">
        <f t="shared" si="0"/>
        <v>23496368.29859845</v>
      </c>
      <c r="N17" s="1">
        <f t="shared" si="0"/>
        <v>25652941.959359199</v>
      </c>
    </row>
    <row r="18" spans="1:16" x14ac:dyDescent="0.4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6" x14ac:dyDescent="0.4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45">
      <c r="B20">
        <v>2006</v>
      </c>
      <c r="C20">
        <v>2007</v>
      </c>
      <c r="D20">
        <v>2008</v>
      </c>
      <c r="E20">
        <v>2009</v>
      </c>
      <c r="F20">
        <v>2010</v>
      </c>
      <c r="G20">
        <v>2011</v>
      </c>
      <c r="H20">
        <v>2012</v>
      </c>
      <c r="I20">
        <v>2013</v>
      </c>
      <c r="J20">
        <v>2014</v>
      </c>
      <c r="K20">
        <v>2015</v>
      </c>
      <c r="L20">
        <v>2016</v>
      </c>
      <c r="M20">
        <v>2017</v>
      </c>
      <c r="N20">
        <v>2018</v>
      </c>
    </row>
    <row r="21" spans="1:16" x14ac:dyDescent="0.45">
      <c r="A21" t="s">
        <v>47</v>
      </c>
      <c r="B21" s="1">
        <f t="shared" ref="B21:E21" si="1">B17/B15</f>
        <v>199740.33492299891</v>
      </c>
      <c r="C21" s="1">
        <f t="shared" si="1"/>
        <v>155893.58913146085</v>
      </c>
      <c r="D21" s="1">
        <f t="shared" si="1"/>
        <v>169843.29709045429</v>
      </c>
      <c r="E21" s="1">
        <f t="shared" si="1"/>
        <v>153228.72093023255</v>
      </c>
      <c r="F21" s="1">
        <f>F17/F15</f>
        <v>143124.57142857142</v>
      </c>
      <c r="G21" s="1">
        <f t="shared" ref="G21:N21" si="2">G17/G15</f>
        <v>192414.44444444444</v>
      </c>
      <c r="H21" s="1">
        <f t="shared" si="2"/>
        <v>177662.95652173914</v>
      </c>
      <c r="I21" s="1">
        <f t="shared" si="2"/>
        <v>172430.41666666666</v>
      </c>
      <c r="J21" s="1">
        <f t="shared" si="2"/>
        <v>174196.72131147541</v>
      </c>
      <c r="K21" s="1">
        <f t="shared" si="2"/>
        <v>166233.18181818182</v>
      </c>
      <c r="L21" s="1">
        <f t="shared" si="2"/>
        <v>163810.94869212425</v>
      </c>
      <c r="M21" s="1">
        <f t="shared" si="2"/>
        <v>170263.53839564094</v>
      </c>
      <c r="N21" s="1">
        <f t="shared" si="2"/>
        <v>187247.75152816935</v>
      </c>
      <c r="O21" t="s">
        <v>62</v>
      </c>
    </row>
    <row r="22" spans="1:16" x14ac:dyDescent="0.45">
      <c r="A22" t="s">
        <v>48</v>
      </c>
      <c r="B22" s="1">
        <f>(SUM(B3:B13)-B2)*1000/B15</f>
        <v>156592.37881460102</v>
      </c>
      <c r="C22" s="1">
        <f t="shared" ref="C22:N22" si="3">(SUM(C3:C13)-C2)*1000/C15</f>
        <v>143276.10681093819</v>
      </c>
      <c r="D22" s="1">
        <f t="shared" si="3"/>
        <v>150861.40365458367</v>
      </c>
      <c r="E22" s="1">
        <f t="shared" si="3"/>
        <v>145046.51162790696</v>
      </c>
      <c r="F22" s="1">
        <f t="shared" si="3"/>
        <v>137904.76190476189</v>
      </c>
      <c r="G22" s="1">
        <f t="shared" si="3"/>
        <v>183759.25925925927</v>
      </c>
      <c r="H22" s="1">
        <f t="shared" si="3"/>
        <v>172956.52173913043</v>
      </c>
      <c r="I22" s="1">
        <f t="shared" si="3"/>
        <v>161991.66666666666</v>
      </c>
      <c r="J22" s="1">
        <f t="shared" si="3"/>
        <v>163581.96721311475</v>
      </c>
      <c r="K22" s="1">
        <f t="shared" si="3"/>
        <v>156840.90909090909</v>
      </c>
      <c r="L22" s="1">
        <f t="shared" si="3"/>
        <v>156382.35294117648</v>
      </c>
      <c r="M22" s="1">
        <f t="shared" si="3"/>
        <v>156891.30434782608</v>
      </c>
      <c r="N22" s="1">
        <f t="shared" si="3"/>
        <v>162664.23357664235</v>
      </c>
      <c r="O22" s="11">
        <f>(N22/B22)^(1/12)-1</f>
        <v>3.1752006169345481E-3</v>
      </c>
      <c r="P22" s="11">
        <f>(N22/F22)^(1/8)-1</f>
        <v>2.0855095964456005E-2</v>
      </c>
    </row>
    <row r="23" spans="1:16" x14ac:dyDescent="0.45">
      <c r="A23" t="s">
        <v>49</v>
      </c>
      <c r="B23" s="4">
        <f>B21-B22</f>
        <v>43147.956108397892</v>
      </c>
      <c r="C23" s="4">
        <f t="shared" ref="C23:N23" si="4">C21-C22</f>
        <v>12617.482320522657</v>
      </c>
      <c r="D23" s="4">
        <f t="shared" si="4"/>
        <v>18981.893435870617</v>
      </c>
      <c r="E23" s="4">
        <f t="shared" si="4"/>
        <v>8182.2093023255875</v>
      </c>
      <c r="F23" s="4">
        <f t="shared" si="4"/>
        <v>5219.8095238095266</v>
      </c>
      <c r="G23" s="4">
        <f t="shared" si="4"/>
        <v>8655.1851851851679</v>
      </c>
      <c r="H23" s="4">
        <f t="shared" si="4"/>
        <v>4706.4347826087032</v>
      </c>
      <c r="I23" s="4">
        <f t="shared" si="4"/>
        <v>10438.75</v>
      </c>
      <c r="J23" s="4">
        <f t="shared" si="4"/>
        <v>10614.75409836066</v>
      </c>
      <c r="K23" s="4">
        <f t="shared" si="4"/>
        <v>9392.2727272727352</v>
      </c>
      <c r="L23" s="4">
        <f t="shared" si="4"/>
        <v>7428.5957509477739</v>
      </c>
      <c r="M23" s="4">
        <f t="shared" si="4"/>
        <v>13372.234047814854</v>
      </c>
      <c r="N23" s="4">
        <f t="shared" si="4"/>
        <v>24583.517951526999</v>
      </c>
    </row>
    <row r="26" spans="1:16" x14ac:dyDescent="0.45">
      <c r="A26" t="s">
        <v>33</v>
      </c>
      <c r="B26" s="2">
        <f>B3/(SUM(B$3:B$13)-B2)</f>
        <v>0</v>
      </c>
      <c r="C26" s="2">
        <f t="shared" ref="C26:N26" si="5">C3/(SUM(C$3:C$13)-C2)</f>
        <v>0</v>
      </c>
      <c r="D26" s="2">
        <f t="shared" si="5"/>
        <v>0</v>
      </c>
      <c r="E26" s="2">
        <f t="shared" si="5"/>
        <v>0</v>
      </c>
      <c r="F26" s="2">
        <f t="shared" si="5"/>
        <v>0</v>
      </c>
      <c r="G26" s="2">
        <f t="shared" si="5"/>
        <v>0</v>
      </c>
      <c r="H26" s="2">
        <f t="shared" si="5"/>
        <v>0</v>
      </c>
      <c r="I26" s="2">
        <f t="shared" si="5"/>
        <v>0</v>
      </c>
      <c r="J26" s="2">
        <f t="shared" si="5"/>
        <v>0</v>
      </c>
      <c r="K26" s="2">
        <f t="shared" si="5"/>
        <v>0</v>
      </c>
      <c r="L26" s="2">
        <f t="shared" si="5"/>
        <v>0.1252586044762084</v>
      </c>
      <c r="M26" s="2">
        <f t="shared" si="5"/>
        <v>0.13925453789663295</v>
      </c>
      <c r="N26" s="2">
        <f t="shared" si="5"/>
        <v>0.16208211801660311</v>
      </c>
    </row>
    <row r="27" spans="1:16" x14ac:dyDescent="0.45">
      <c r="A27" t="s">
        <v>42</v>
      </c>
      <c r="B27" s="2">
        <f t="shared" ref="B27:N36" si="6">B4/(SUM(B$3:B$13)-B3)</f>
        <v>0</v>
      </c>
      <c r="C27" s="2">
        <f t="shared" si="6"/>
        <v>0</v>
      </c>
      <c r="D27" s="2">
        <f t="shared" si="6"/>
        <v>0</v>
      </c>
      <c r="E27" s="2">
        <f t="shared" si="6"/>
        <v>0</v>
      </c>
      <c r="F27" s="2">
        <f t="shared" si="6"/>
        <v>0</v>
      </c>
      <c r="G27" s="2">
        <f t="shared" si="6"/>
        <v>0</v>
      </c>
      <c r="H27" s="2">
        <f t="shared" si="6"/>
        <v>0</v>
      </c>
      <c r="I27" s="2">
        <f t="shared" si="6"/>
        <v>1.605853754358395E-2</v>
      </c>
      <c r="J27" s="2">
        <f t="shared" si="6"/>
        <v>2.1674923780487805E-2</v>
      </c>
      <c r="K27" s="2">
        <f t="shared" si="6"/>
        <v>3.5478244905452545E-2</v>
      </c>
      <c r="L27" s="2">
        <f t="shared" si="6"/>
        <v>0</v>
      </c>
      <c r="M27" s="2">
        <f t="shared" si="6"/>
        <v>0</v>
      </c>
      <c r="N27" s="2">
        <f t="shared" si="6"/>
        <v>0</v>
      </c>
    </row>
    <row r="28" spans="1:16" x14ac:dyDescent="0.45">
      <c r="A28" t="s">
        <v>43</v>
      </c>
      <c r="B28" s="2">
        <f t="shared" si="6"/>
        <v>0</v>
      </c>
      <c r="C28" s="2">
        <f t="shared" si="6"/>
        <v>0</v>
      </c>
      <c r="D28" s="2">
        <f t="shared" si="6"/>
        <v>0</v>
      </c>
      <c r="E28" s="2">
        <f t="shared" si="6"/>
        <v>0</v>
      </c>
      <c r="F28" s="2">
        <f t="shared" si="6"/>
        <v>0</v>
      </c>
      <c r="G28" s="2">
        <f t="shared" si="6"/>
        <v>0</v>
      </c>
      <c r="H28" s="2">
        <f t="shared" si="6"/>
        <v>0</v>
      </c>
      <c r="I28" s="2">
        <f t="shared" si="6"/>
        <v>1.5172689159512876E-2</v>
      </c>
      <c r="J28" s="2">
        <f t="shared" si="6"/>
        <v>1.4997321906802356E-2</v>
      </c>
      <c r="K28" s="2">
        <f t="shared" si="6"/>
        <v>1.6369260052343564E-2</v>
      </c>
      <c r="L28" s="2">
        <f t="shared" si="6"/>
        <v>0</v>
      </c>
      <c r="M28" s="2">
        <f t="shared" si="6"/>
        <v>0</v>
      </c>
      <c r="N28" s="2">
        <f t="shared" si="6"/>
        <v>0</v>
      </c>
    </row>
    <row r="29" spans="1:16" x14ac:dyDescent="0.45">
      <c r="A29" t="s">
        <v>44</v>
      </c>
      <c r="B29" s="2">
        <f t="shared" si="6"/>
        <v>8.1344043443828493E-2</v>
      </c>
      <c r="C29" s="2">
        <f t="shared" si="6"/>
        <v>7.6649977241693215E-2</v>
      </c>
      <c r="D29" s="2">
        <f t="shared" si="6"/>
        <v>7.5478840184722534E-2</v>
      </c>
      <c r="E29" s="2">
        <f t="shared" si="6"/>
        <v>8.3795440542205793E-2</v>
      </c>
      <c r="F29" s="2">
        <f t="shared" si="6"/>
        <v>7.0824172163368643E-2</v>
      </c>
      <c r="G29" s="2">
        <f t="shared" si="6"/>
        <v>6.1760969412684455E-2</v>
      </c>
      <c r="H29" s="2">
        <f t="shared" si="6"/>
        <v>5.941649704371426E-2</v>
      </c>
      <c r="I29" s="2">
        <f t="shared" si="6"/>
        <v>5.8577197268059225E-2</v>
      </c>
      <c r="J29" s="2">
        <f t="shared" si="6"/>
        <v>5.6178688841616711E-2</v>
      </c>
      <c r="K29" s="2">
        <f t="shared" si="6"/>
        <v>5.5913075918671888E-2</v>
      </c>
      <c r="L29" s="2">
        <f t="shared" si="6"/>
        <v>0</v>
      </c>
      <c r="M29" s="2">
        <f t="shared" si="6"/>
        <v>0</v>
      </c>
      <c r="N29" s="2">
        <f t="shared" si="6"/>
        <v>0</v>
      </c>
    </row>
    <row r="30" spans="1:16" x14ac:dyDescent="0.45">
      <c r="A30" t="s">
        <v>34</v>
      </c>
      <c r="B30" s="2">
        <f t="shared" si="6"/>
        <v>0</v>
      </c>
      <c r="C30" s="2">
        <f t="shared" si="6"/>
        <v>0</v>
      </c>
      <c r="D30" s="2">
        <f t="shared" si="6"/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>
        <f t="shared" si="6"/>
        <v>0</v>
      </c>
      <c r="L30" s="2">
        <f t="shared" si="6"/>
        <v>9.253530598520511E-2</v>
      </c>
      <c r="M30" s="2">
        <f t="shared" si="6"/>
        <v>7.1866440589539587E-2</v>
      </c>
      <c r="N30" s="2">
        <f t="shared" si="6"/>
        <v>6.6172777498744353E-2</v>
      </c>
    </row>
    <row r="31" spans="1:16" x14ac:dyDescent="0.45">
      <c r="A31" t="s">
        <v>40</v>
      </c>
      <c r="B31" s="2">
        <f t="shared" si="6"/>
        <v>0</v>
      </c>
      <c r="C31" s="2">
        <f t="shared" si="6"/>
        <v>0</v>
      </c>
      <c r="D31" s="2">
        <f t="shared" si="6"/>
        <v>0</v>
      </c>
      <c r="E31" s="2">
        <f t="shared" si="6"/>
        <v>0</v>
      </c>
      <c r="F31" s="2">
        <f t="shared" si="6"/>
        <v>5.8631487774002268E-2</v>
      </c>
      <c r="G31" s="2">
        <f t="shared" si="6"/>
        <v>0.10050815987491449</v>
      </c>
      <c r="H31" s="2">
        <f t="shared" si="6"/>
        <v>8.9318600368324119E-2</v>
      </c>
      <c r="I31" s="2">
        <f t="shared" si="6"/>
        <v>7.3712124932475573E-2</v>
      </c>
      <c r="J31" s="2">
        <f t="shared" si="6"/>
        <v>7.2456173780487798E-2</v>
      </c>
      <c r="K31" s="2">
        <f t="shared" si="6"/>
        <v>6.7514228015421326E-2</v>
      </c>
      <c r="L31" s="2">
        <f t="shared" si="6"/>
        <v>0</v>
      </c>
      <c r="M31" s="2">
        <f t="shared" si="6"/>
        <v>0</v>
      </c>
      <c r="N31" s="2">
        <f t="shared" si="6"/>
        <v>0</v>
      </c>
    </row>
    <row r="32" spans="1:16" x14ac:dyDescent="0.45">
      <c r="A32" t="s">
        <v>41</v>
      </c>
      <c r="B32" s="2">
        <f t="shared" si="6"/>
        <v>0</v>
      </c>
      <c r="C32" s="2">
        <f t="shared" si="6"/>
        <v>0</v>
      </c>
      <c r="D32" s="2">
        <f t="shared" si="6"/>
        <v>0</v>
      </c>
      <c r="E32" s="2">
        <f t="shared" si="6"/>
        <v>0</v>
      </c>
      <c r="F32" s="2">
        <f t="shared" si="6"/>
        <v>2.9938424516950952E-2</v>
      </c>
      <c r="G32" s="2">
        <f t="shared" si="6"/>
        <v>6.8390461187462656E-2</v>
      </c>
      <c r="H32" s="2">
        <f t="shared" si="6"/>
        <v>5.5664945984779945E-2</v>
      </c>
      <c r="I32" s="2">
        <f t="shared" si="6"/>
        <v>4.7184816032234123E-2</v>
      </c>
      <c r="J32" s="2">
        <f t="shared" si="6"/>
        <v>4.2935647886600585E-2</v>
      </c>
      <c r="K32" s="2">
        <f t="shared" si="6"/>
        <v>4.0163409952256729E-2</v>
      </c>
      <c r="L32" s="2">
        <f t="shared" si="6"/>
        <v>0</v>
      </c>
      <c r="M32" s="2">
        <f t="shared" si="6"/>
        <v>0</v>
      </c>
      <c r="N32" s="2">
        <f t="shared" si="6"/>
        <v>0</v>
      </c>
    </row>
    <row r="33" spans="1:14" x14ac:dyDescent="0.45">
      <c r="A33" t="s">
        <v>35</v>
      </c>
      <c r="B33" s="2">
        <f t="shared" si="6"/>
        <v>0.28464758456839007</v>
      </c>
      <c r="C33" s="2">
        <f t="shared" si="6"/>
        <v>0.30487027765134272</v>
      </c>
      <c r="D33" s="2">
        <f t="shared" si="6"/>
        <v>0.30161253690665457</v>
      </c>
      <c r="E33" s="2">
        <f t="shared" si="6"/>
        <v>0.2854282193468885</v>
      </c>
      <c r="F33" s="2">
        <f t="shared" si="6"/>
        <v>0.23296311531605648</v>
      </c>
      <c r="G33" s="2">
        <f t="shared" si="6"/>
        <v>0.19878169417399907</v>
      </c>
      <c r="H33" s="2">
        <f t="shared" si="6"/>
        <v>0.19108637941596895</v>
      </c>
      <c r="I33" s="2">
        <f t="shared" si="6"/>
        <v>0.16340574128280183</v>
      </c>
      <c r="J33" s="2">
        <f t="shared" si="6"/>
        <v>0.14655685651915062</v>
      </c>
      <c r="K33" s="2">
        <f t="shared" si="6"/>
        <v>0.13966240701888233</v>
      </c>
      <c r="L33" s="2">
        <f t="shared" si="6"/>
        <v>0.12333557498318763</v>
      </c>
      <c r="M33" s="2">
        <f t="shared" si="6"/>
        <v>0.12177731402982479</v>
      </c>
      <c r="N33" s="2">
        <f t="shared" si="6"/>
        <v>0.12087728109827557</v>
      </c>
    </row>
    <row r="34" spans="1:14" x14ac:dyDescent="0.45">
      <c r="A34" t="s">
        <v>36</v>
      </c>
      <c r="B34" s="2">
        <f t="shared" si="6"/>
        <v>0.5024513680215088</v>
      </c>
      <c r="C34" s="2">
        <f t="shared" si="6"/>
        <v>0.51165531691985333</v>
      </c>
      <c r="D34" s="2">
        <f t="shared" si="6"/>
        <v>0.50720867208672082</v>
      </c>
      <c r="E34" s="2">
        <f t="shared" si="6"/>
        <v>0.49989221815046347</v>
      </c>
      <c r="F34" s="2">
        <f t="shared" si="6"/>
        <v>0.43751614847988973</v>
      </c>
      <c r="G34" s="2">
        <f t="shared" si="6"/>
        <v>0.39518260451705911</v>
      </c>
      <c r="H34" s="2">
        <f t="shared" si="6"/>
        <v>0.42194067846782313</v>
      </c>
      <c r="I34" s="2">
        <f t="shared" si="6"/>
        <v>0.41103544613235549</v>
      </c>
      <c r="J34" s="2">
        <f t="shared" si="6"/>
        <v>0.41950327087260231</v>
      </c>
      <c r="K34" s="2">
        <f t="shared" si="6"/>
        <v>0.40590699400816588</v>
      </c>
      <c r="L34" s="2">
        <f t="shared" si="6"/>
        <v>0.40319116293341517</v>
      </c>
      <c r="M34" s="2">
        <f t="shared" si="6"/>
        <v>0.40579207920792082</v>
      </c>
      <c r="N34" s="2">
        <f t="shared" si="6"/>
        <v>0.40139973338411733</v>
      </c>
    </row>
    <row r="35" spans="1:14" x14ac:dyDescent="0.45">
      <c r="A35" t="s">
        <v>37</v>
      </c>
      <c r="B35" s="2">
        <f t="shared" si="6"/>
        <v>0.33062522077004591</v>
      </c>
      <c r="C35" s="2">
        <f t="shared" si="6"/>
        <v>0.310115851935575</v>
      </c>
      <c r="D35" s="2">
        <f t="shared" si="6"/>
        <v>0.32133645955451351</v>
      </c>
      <c r="E35" s="2">
        <f t="shared" si="6"/>
        <v>0.33153606518092499</v>
      </c>
      <c r="F35" s="2">
        <f t="shared" si="6"/>
        <v>0.32772686071104845</v>
      </c>
      <c r="G35" s="2">
        <f t="shared" si="6"/>
        <v>0.32541225606682511</v>
      </c>
      <c r="H35" s="2">
        <f t="shared" si="6"/>
        <v>0.33486340416080551</v>
      </c>
      <c r="I35" s="2">
        <f t="shared" si="6"/>
        <v>0.36463423802721601</v>
      </c>
      <c r="J35" s="2">
        <f t="shared" si="6"/>
        <v>0.38368715083798882</v>
      </c>
      <c r="K35" s="2">
        <f t="shared" si="6"/>
        <v>0.39085827495931508</v>
      </c>
      <c r="L35" s="2">
        <f t="shared" si="6"/>
        <v>0.40128978572914498</v>
      </c>
      <c r="M35" s="2">
        <f t="shared" si="6"/>
        <v>0.41603620643069439</v>
      </c>
      <c r="N35" s="2">
        <f t="shared" si="6"/>
        <v>0.39395899359679193</v>
      </c>
    </row>
    <row r="36" spans="1:14" x14ac:dyDescent="0.45">
      <c r="A36" t="s">
        <v>38</v>
      </c>
      <c r="B36" s="2">
        <f t="shared" si="6"/>
        <v>7.9661260226783409E-2</v>
      </c>
      <c r="C36" s="2">
        <f t="shared" si="6"/>
        <v>7.872582480091013E-2</v>
      </c>
      <c r="D36" s="2">
        <f t="shared" si="6"/>
        <v>7.7187619411539926E-2</v>
      </c>
      <c r="E36" s="2">
        <f t="shared" si="6"/>
        <v>7.6832729764118632E-2</v>
      </c>
      <c r="F36" s="2">
        <f t="shared" si="6"/>
        <v>7.7498936622713732E-2</v>
      </c>
      <c r="G36" s="2">
        <f t="shared" si="6"/>
        <v>6.0826487740640874E-2</v>
      </c>
      <c r="H36" s="2">
        <f t="shared" si="6"/>
        <v>6.9890137173359818E-2</v>
      </c>
      <c r="I36" s="2">
        <f t="shared" si="6"/>
        <v>6.9103332688712688E-2</v>
      </c>
      <c r="J36" s="2">
        <f t="shared" si="6"/>
        <v>6.5526166277381476E-2</v>
      </c>
      <c r="K36" s="2">
        <f t="shared" si="6"/>
        <v>6.6219872110182001E-2</v>
      </c>
      <c r="L36" s="2">
        <f t="shared" si="6"/>
        <v>6.9923719578641477E-2</v>
      </c>
      <c r="M36" s="2">
        <f t="shared" si="6"/>
        <v>6.9825436408977551E-2</v>
      </c>
      <c r="N36" s="2">
        <f t="shared" si="6"/>
        <v>7.2411662266164828E-2</v>
      </c>
    </row>
    <row r="37" spans="1:14" x14ac:dyDescent="0.45">
      <c r="A37" t="s">
        <v>45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F2C08-3A1F-4CAE-9E7C-14456646B09A}">
  <dimension ref="A1:W38"/>
  <sheetViews>
    <sheetView workbookViewId="0">
      <selection activeCell="F37" sqref="F37"/>
    </sheetView>
  </sheetViews>
  <sheetFormatPr defaultRowHeight="14.25" x14ac:dyDescent="0.45"/>
  <sheetData>
    <row r="1" spans="1:2" x14ac:dyDescent="0.45">
      <c r="B1" t="s">
        <v>50</v>
      </c>
    </row>
    <row r="2" spans="1:2" x14ac:dyDescent="0.45">
      <c r="A2">
        <v>2006</v>
      </c>
      <c r="B2">
        <v>150</v>
      </c>
    </row>
    <row r="3" spans="1:2" x14ac:dyDescent="0.45">
      <c r="A3">
        <v>2007</v>
      </c>
      <c r="B3">
        <f>61+25</f>
        <v>86</v>
      </c>
    </row>
    <row r="4" spans="1:2" x14ac:dyDescent="0.45">
      <c r="A4">
        <v>2008</v>
      </c>
      <c r="B4">
        <f>61+36</f>
        <v>97</v>
      </c>
    </row>
    <row r="5" spans="1:2" x14ac:dyDescent="0.45">
      <c r="A5">
        <v>2009</v>
      </c>
      <c r="B5">
        <f>69+1</f>
        <v>70</v>
      </c>
    </row>
    <row r="6" spans="1:2" x14ac:dyDescent="0.45">
      <c r="A6">
        <v>2010</v>
      </c>
      <c r="B6">
        <f>72+23</f>
        <v>95</v>
      </c>
    </row>
    <row r="7" spans="1:2" x14ac:dyDescent="0.45">
      <c r="A7">
        <v>2011</v>
      </c>
      <c r="B7">
        <f>110+1</f>
        <v>111</v>
      </c>
    </row>
    <row r="8" spans="1:2" x14ac:dyDescent="0.45">
      <c r="A8">
        <v>2012</v>
      </c>
      <c r="B8">
        <f>112+8</f>
        <v>120</v>
      </c>
    </row>
    <row r="9" spans="1:2" x14ac:dyDescent="0.45">
      <c r="A9">
        <v>2013</v>
      </c>
      <c r="B9">
        <f>119+9</f>
        <v>128</v>
      </c>
    </row>
    <row r="10" spans="1:2" x14ac:dyDescent="0.45">
      <c r="A10">
        <v>2014</v>
      </c>
      <c r="B10">
        <f>131+5</f>
        <v>136</v>
      </c>
    </row>
    <row r="11" spans="1:2" x14ac:dyDescent="0.45">
      <c r="A11">
        <v>2015</v>
      </c>
      <c r="B11">
        <f>34+3</f>
        <v>37</v>
      </c>
    </row>
    <row r="12" spans="1:2" x14ac:dyDescent="0.45">
      <c r="A12">
        <v>2016</v>
      </c>
      <c r="B12">
        <f>25+1</f>
        <v>26</v>
      </c>
    </row>
    <row r="13" spans="1:2" x14ac:dyDescent="0.45">
      <c r="A13">
        <v>2017</v>
      </c>
      <c r="B13">
        <f>18+2</f>
        <v>20</v>
      </c>
    </row>
    <row r="14" spans="1:2" x14ac:dyDescent="0.45">
      <c r="A14">
        <v>2018</v>
      </c>
      <c r="B14">
        <v>77</v>
      </c>
    </row>
    <row r="23" spans="1:23" x14ac:dyDescent="0.45">
      <c r="B23" t="s">
        <v>52</v>
      </c>
      <c r="C23" t="s">
        <v>58</v>
      </c>
      <c r="D23" t="s">
        <v>57</v>
      </c>
      <c r="E23" t="s">
        <v>51</v>
      </c>
      <c r="F23" t="s">
        <v>26</v>
      </c>
      <c r="G23" t="s">
        <v>25</v>
      </c>
      <c r="H23" t="s">
        <v>53</v>
      </c>
      <c r="O23" t="s">
        <v>56</v>
      </c>
      <c r="P23" t="s">
        <v>59</v>
      </c>
      <c r="Q23" t="s">
        <v>51</v>
      </c>
      <c r="R23" t="s">
        <v>54</v>
      </c>
      <c r="S23" t="s">
        <v>55</v>
      </c>
      <c r="T23" t="s">
        <v>53</v>
      </c>
      <c r="V23" t="s">
        <v>60</v>
      </c>
      <c r="W23" t="s">
        <v>61</v>
      </c>
    </row>
    <row r="24" spans="1:23" x14ac:dyDescent="0.45">
      <c r="A24">
        <v>2004</v>
      </c>
      <c r="B24">
        <v>455</v>
      </c>
      <c r="C24">
        <v>44</v>
      </c>
      <c r="E24">
        <v>0</v>
      </c>
      <c r="F24">
        <v>38</v>
      </c>
      <c r="G24">
        <v>21</v>
      </c>
      <c r="H24">
        <f>B24+SUM(C24:E24)-SUM(F24:G24)</f>
        <v>440</v>
      </c>
      <c r="I24" s="11">
        <f>G24/B24</f>
        <v>4.6153846153846156E-2</v>
      </c>
      <c r="K24">
        <f>0.1*C24-0.1*0.05*B24</f>
        <v>2.125</v>
      </c>
      <c r="L24">
        <v>1</v>
      </c>
      <c r="N24">
        <v>2004</v>
      </c>
      <c r="V24">
        <f>F24+R24</f>
        <v>38</v>
      </c>
      <c r="W24">
        <f>-(S24+G24)</f>
        <v>-21</v>
      </c>
    </row>
    <row r="25" spans="1:23" x14ac:dyDescent="0.45">
      <c r="A25">
        <v>2005</v>
      </c>
      <c r="B25">
        <f>H24</f>
        <v>440</v>
      </c>
      <c r="C25">
        <v>139</v>
      </c>
      <c r="E25">
        <v>0</v>
      </c>
      <c r="F25">
        <v>71</v>
      </c>
      <c r="G25">
        <v>39</v>
      </c>
      <c r="H25">
        <f>B25+SUM(C25:E25)-SUM(F25:G25)</f>
        <v>469</v>
      </c>
      <c r="I25" s="11">
        <f>G25/B25</f>
        <v>8.8636363636363638E-2</v>
      </c>
      <c r="K25">
        <f>K24+0.1*C25-0.1*0.05*B25</f>
        <v>13.824999999999998</v>
      </c>
      <c r="L25">
        <v>2</v>
      </c>
      <c r="N25">
        <v>2005</v>
      </c>
      <c r="V25">
        <f t="shared" ref="V25:V38" si="0">F25+R25</f>
        <v>71</v>
      </c>
      <c r="W25">
        <f t="shared" ref="W25:W38" si="1">-(S25+G25)</f>
        <v>-39</v>
      </c>
    </row>
    <row r="26" spans="1:23" x14ac:dyDescent="0.45">
      <c r="A26">
        <v>2006</v>
      </c>
      <c r="B26">
        <f>H25</f>
        <v>469</v>
      </c>
      <c r="C26">
        <v>150</v>
      </c>
      <c r="E26">
        <v>0</v>
      </c>
      <c r="F26">
        <v>87</v>
      </c>
      <c r="G26">
        <v>59</v>
      </c>
      <c r="H26">
        <f>B26+SUM(C26:E26)-SUM(F26:G26)</f>
        <v>473</v>
      </c>
      <c r="I26" s="11">
        <f>G26/B26</f>
        <v>0.1257995735607676</v>
      </c>
      <c r="K26">
        <f t="shared" ref="K26:K38" si="2">K25+0.1*C26-0.1*0.05*B26</f>
        <v>26.479999999999997</v>
      </c>
      <c r="L26">
        <v>3</v>
      </c>
      <c r="N26">
        <v>2006</v>
      </c>
      <c r="V26">
        <f t="shared" si="0"/>
        <v>87</v>
      </c>
      <c r="W26">
        <f t="shared" si="1"/>
        <v>-59</v>
      </c>
    </row>
    <row r="27" spans="1:23" x14ac:dyDescent="0.45">
      <c r="A27">
        <v>2007</v>
      </c>
      <c r="B27">
        <f>H26</f>
        <v>473</v>
      </c>
      <c r="C27">
        <v>61</v>
      </c>
      <c r="E27">
        <v>25</v>
      </c>
      <c r="F27">
        <v>106</v>
      </c>
      <c r="G27">
        <v>19</v>
      </c>
      <c r="H27">
        <f>B27+SUM(C27:E27)-SUM(F27:G27)</f>
        <v>434</v>
      </c>
      <c r="I27" s="11">
        <f>G27/B27</f>
        <v>4.0169133192389003E-2</v>
      </c>
      <c r="K27">
        <f t="shared" si="2"/>
        <v>30.214999999999996</v>
      </c>
      <c r="L27">
        <v>4</v>
      </c>
      <c r="N27">
        <v>2007</v>
      </c>
      <c r="V27">
        <f t="shared" si="0"/>
        <v>106</v>
      </c>
      <c r="W27">
        <f t="shared" si="1"/>
        <v>-19</v>
      </c>
    </row>
    <row r="28" spans="1:23" x14ac:dyDescent="0.45">
      <c r="A28">
        <v>2008</v>
      </c>
      <c r="B28">
        <f>H27</f>
        <v>434</v>
      </c>
      <c r="C28">
        <v>61</v>
      </c>
      <c r="E28">
        <v>36</v>
      </c>
      <c r="F28">
        <v>135</v>
      </c>
      <c r="G28">
        <v>18</v>
      </c>
      <c r="H28">
        <f>B28+SUM(C28:E28)-SUM(F28:G28)</f>
        <v>378</v>
      </c>
      <c r="I28" s="11">
        <f>G28/B28</f>
        <v>4.1474654377880185E-2</v>
      </c>
      <c r="K28">
        <f t="shared" si="2"/>
        <v>34.144999999999996</v>
      </c>
      <c r="L28">
        <v>5</v>
      </c>
      <c r="N28">
        <v>2008</v>
      </c>
      <c r="V28">
        <f t="shared" si="0"/>
        <v>135</v>
      </c>
      <c r="W28">
        <f t="shared" si="1"/>
        <v>-18</v>
      </c>
    </row>
    <row r="29" spans="1:23" x14ac:dyDescent="0.45">
      <c r="A29">
        <v>2009</v>
      </c>
      <c r="B29">
        <f>H28</f>
        <v>378</v>
      </c>
      <c r="C29">
        <v>69</v>
      </c>
      <c r="E29">
        <v>1</v>
      </c>
      <c r="F29">
        <v>76</v>
      </c>
      <c r="G29">
        <v>13</v>
      </c>
      <c r="H29">
        <f>B29+SUM(C29:E29)-SUM(F29:G29)</f>
        <v>359</v>
      </c>
      <c r="I29" s="11">
        <f>G29/B29</f>
        <v>3.439153439153439E-2</v>
      </c>
      <c r="K29">
        <f t="shared" si="2"/>
        <v>39.154999999999994</v>
      </c>
      <c r="L29">
        <v>6</v>
      </c>
      <c r="N29">
        <v>2009</v>
      </c>
      <c r="V29">
        <f t="shared" si="0"/>
        <v>76</v>
      </c>
      <c r="W29">
        <f t="shared" si="1"/>
        <v>-13</v>
      </c>
    </row>
    <row r="30" spans="1:23" x14ac:dyDescent="0.45">
      <c r="A30">
        <v>2010</v>
      </c>
      <c r="B30">
        <f>H29</f>
        <v>359</v>
      </c>
      <c r="C30">
        <v>72</v>
      </c>
      <c r="E30">
        <v>23</v>
      </c>
      <c r="F30">
        <v>60</v>
      </c>
      <c r="G30">
        <v>42</v>
      </c>
      <c r="H30">
        <f>B30+SUM(C30:E30)-SUM(F30:G30)</f>
        <v>352</v>
      </c>
      <c r="I30" s="11">
        <f>G30/B30</f>
        <v>0.11699164345403899</v>
      </c>
      <c r="K30">
        <f>K29+0.1*C30-0.1*I30*B30</f>
        <v>42.154999999999994</v>
      </c>
      <c r="L30">
        <v>7</v>
      </c>
      <c r="N30">
        <v>2010</v>
      </c>
      <c r="V30">
        <f t="shared" si="0"/>
        <v>60</v>
      </c>
      <c r="W30">
        <f t="shared" si="1"/>
        <v>-42</v>
      </c>
    </row>
    <row r="31" spans="1:23" x14ac:dyDescent="0.45">
      <c r="A31">
        <v>2011</v>
      </c>
      <c r="B31">
        <f>H30</f>
        <v>352</v>
      </c>
      <c r="C31">
        <v>110</v>
      </c>
      <c r="E31">
        <v>1</v>
      </c>
      <c r="F31">
        <v>78</v>
      </c>
      <c r="G31">
        <v>31</v>
      </c>
      <c r="H31">
        <f>B31+SUM(C31:E31)-SUM(F31:G31)</f>
        <v>354</v>
      </c>
      <c r="I31" s="11">
        <f>G31/B31</f>
        <v>8.8068181818181823E-2</v>
      </c>
      <c r="K31">
        <f t="shared" si="2"/>
        <v>51.394999999999996</v>
      </c>
      <c r="L31">
        <v>8</v>
      </c>
      <c r="N31">
        <v>2011</v>
      </c>
      <c r="V31">
        <f t="shared" si="0"/>
        <v>78</v>
      </c>
      <c r="W31">
        <f t="shared" si="1"/>
        <v>-31</v>
      </c>
    </row>
    <row r="32" spans="1:23" x14ac:dyDescent="0.45">
      <c r="A32">
        <v>2012</v>
      </c>
      <c r="B32">
        <f>H31</f>
        <v>354</v>
      </c>
      <c r="C32">
        <v>112</v>
      </c>
      <c r="E32">
        <v>8</v>
      </c>
      <c r="F32">
        <v>39</v>
      </c>
      <c r="G32">
        <v>13</v>
      </c>
      <c r="H32">
        <f>B32+SUM(C32:E32)-SUM(F32:G32)</f>
        <v>422</v>
      </c>
      <c r="I32" s="11">
        <f>G32/B32</f>
        <v>3.6723163841807911E-2</v>
      </c>
      <c r="K32">
        <f t="shared" si="2"/>
        <v>60.824999999999996</v>
      </c>
      <c r="L32">
        <v>9</v>
      </c>
      <c r="N32">
        <v>2012</v>
      </c>
      <c r="V32">
        <f t="shared" si="0"/>
        <v>39</v>
      </c>
      <c r="W32">
        <f t="shared" si="1"/>
        <v>-13</v>
      </c>
    </row>
    <row r="33" spans="1:23" x14ac:dyDescent="0.45">
      <c r="A33">
        <v>2013</v>
      </c>
      <c r="B33">
        <f>H32</f>
        <v>422</v>
      </c>
      <c r="C33">
        <v>119</v>
      </c>
      <c r="E33">
        <v>9</v>
      </c>
      <c r="F33">
        <v>83</v>
      </c>
      <c r="G33">
        <v>20</v>
      </c>
      <c r="H33">
        <f>B33+SUM(C33:E33)-SUM(F33:G33)</f>
        <v>447</v>
      </c>
      <c r="I33" s="11">
        <f>G33/B33</f>
        <v>4.7393364928909949E-2</v>
      </c>
      <c r="K33">
        <f t="shared" si="2"/>
        <v>70.614999999999995</v>
      </c>
      <c r="L33">
        <v>10</v>
      </c>
      <c r="N33">
        <v>2013</v>
      </c>
      <c r="V33">
        <f t="shared" si="0"/>
        <v>83</v>
      </c>
      <c r="W33">
        <f t="shared" si="1"/>
        <v>-20</v>
      </c>
    </row>
    <row r="34" spans="1:23" x14ac:dyDescent="0.45">
      <c r="A34">
        <v>2014</v>
      </c>
      <c r="B34">
        <f>H33</f>
        <v>447</v>
      </c>
      <c r="C34">
        <v>131</v>
      </c>
      <c r="E34">
        <v>5</v>
      </c>
      <c r="F34">
        <v>95</v>
      </c>
      <c r="G34">
        <v>26</v>
      </c>
      <c r="H34">
        <f>B34+SUM(C34:E34)-SUM(F34:G34)</f>
        <v>462</v>
      </c>
      <c r="I34" s="11">
        <f>G34/B34</f>
        <v>5.8165548098434001E-2</v>
      </c>
      <c r="K34">
        <f t="shared" si="2"/>
        <v>81.48</v>
      </c>
      <c r="N34">
        <v>2014</v>
      </c>
      <c r="O34">
        <v>0</v>
      </c>
      <c r="P34">
        <v>1</v>
      </c>
      <c r="Q34">
        <v>0</v>
      </c>
      <c r="R34">
        <v>0</v>
      </c>
      <c r="S34">
        <v>0</v>
      </c>
      <c r="T34">
        <f t="shared" ref="T34:T35" si="3">O34+SUM(P34:Q34)-SUM(R34:S34)</f>
        <v>1</v>
      </c>
      <c r="V34">
        <f t="shared" si="0"/>
        <v>95</v>
      </c>
      <c r="W34">
        <f t="shared" si="1"/>
        <v>-26</v>
      </c>
    </row>
    <row r="35" spans="1:23" x14ac:dyDescent="0.45">
      <c r="A35">
        <v>2015</v>
      </c>
      <c r="B35">
        <f>H34</f>
        <v>462</v>
      </c>
      <c r="C35">
        <v>34</v>
      </c>
      <c r="E35">
        <v>3</v>
      </c>
      <c r="F35">
        <v>70</v>
      </c>
      <c r="G35">
        <v>16</v>
      </c>
      <c r="H35">
        <f>B35+SUM(C35:E35)-SUM(F35:G35)</f>
        <v>413</v>
      </c>
      <c r="I35" s="11">
        <f>G35/B35</f>
        <v>3.4632034632034632E-2</v>
      </c>
      <c r="K35">
        <f t="shared" si="2"/>
        <v>82.570000000000007</v>
      </c>
      <c r="N35">
        <v>2015</v>
      </c>
      <c r="O35">
        <f>T34</f>
        <v>1</v>
      </c>
      <c r="P35">
        <v>28</v>
      </c>
      <c r="Q35">
        <v>0</v>
      </c>
      <c r="R35">
        <v>0</v>
      </c>
      <c r="S35">
        <v>1</v>
      </c>
      <c r="T35">
        <f t="shared" si="3"/>
        <v>28</v>
      </c>
      <c r="V35">
        <f t="shared" si="0"/>
        <v>70</v>
      </c>
      <c r="W35">
        <f t="shared" si="1"/>
        <v>-17</v>
      </c>
    </row>
    <row r="36" spans="1:23" x14ac:dyDescent="0.45">
      <c r="A36">
        <v>2016</v>
      </c>
      <c r="B36">
        <f>H35</f>
        <v>413</v>
      </c>
      <c r="C36">
        <v>18</v>
      </c>
      <c r="D36">
        <v>7</v>
      </c>
      <c r="E36">
        <v>1</v>
      </c>
      <c r="F36">
        <v>53</v>
      </c>
      <c r="G36">
        <v>11</v>
      </c>
      <c r="H36">
        <f>B36+SUM(C36:E36)-SUM(F36:G36)</f>
        <v>375</v>
      </c>
      <c r="I36" s="11">
        <f>G36/B36</f>
        <v>2.6634382566585957E-2</v>
      </c>
      <c r="K36">
        <f t="shared" si="2"/>
        <v>82.305000000000007</v>
      </c>
      <c r="N36">
        <v>2016</v>
      </c>
      <c r="O36">
        <f>T35</f>
        <v>28</v>
      </c>
      <c r="P36">
        <v>34</v>
      </c>
      <c r="Q36">
        <v>0</v>
      </c>
      <c r="R36">
        <v>7</v>
      </c>
      <c r="S36">
        <v>3</v>
      </c>
      <c r="T36">
        <f>O36+SUM(P36:Q36)-SUM(R36:S36)</f>
        <v>52</v>
      </c>
      <c r="V36">
        <f t="shared" si="0"/>
        <v>60</v>
      </c>
      <c r="W36">
        <f t="shared" si="1"/>
        <v>-14</v>
      </c>
    </row>
    <row r="37" spans="1:23" x14ac:dyDescent="0.45">
      <c r="A37">
        <v>2017</v>
      </c>
      <c r="B37">
        <f>H36</f>
        <v>375</v>
      </c>
      <c r="C37">
        <v>11</v>
      </c>
      <c r="D37">
        <v>7</v>
      </c>
      <c r="E37">
        <v>2</v>
      </c>
      <c r="F37">
        <v>77</v>
      </c>
      <c r="G37">
        <v>6</v>
      </c>
      <c r="H37">
        <f>B37+SUM(C37:E37)-SUM(F37:G37)</f>
        <v>312</v>
      </c>
      <c r="I37" s="11">
        <f>G37/B37</f>
        <v>1.6E-2</v>
      </c>
      <c r="K37">
        <f t="shared" si="2"/>
        <v>81.53</v>
      </c>
      <c r="N37">
        <v>2017</v>
      </c>
      <c r="O37">
        <f>T36</f>
        <v>52</v>
      </c>
      <c r="P37">
        <v>42</v>
      </c>
      <c r="Q37">
        <v>14</v>
      </c>
      <c r="R37">
        <v>18</v>
      </c>
      <c r="S37">
        <v>7</v>
      </c>
      <c r="T37">
        <f>O37+SUM(P37:Q37)-SUM(R37:S37)</f>
        <v>83</v>
      </c>
      <c r="V37">
        <f t="shared" si="0"/>
        <v>95</v>
      </c>
      <c r="W37">
        <f t="shared" si="1"/>
        <v>-13</v>
      </c>
    </row>
    <row r="38" spans="1:23" x14ac:dyDescent="0.45">
      <c r="A38">
        <v>2018</v>
      </c>
      <c r="B38">
        <f>H37</f>
        <v>312</v>
      </c>
      <c r="C38">
        <v>8</v>
      </c>
      <c r="D38">
        <v>69</v>
      </c>
      <c r="E38">
        <v>0</v>
      </c>
      <c r="F38">
        <v>78</v>
      </c>
      <c r="G38">
        <v>7</v>
      </c>
      <c r="H38">
        <f>B38+SUM(C38:E38)-SUM(F38:G38)</f>
        <v>304</v>
      </c>
      <c r="I38" s="11">
        <f>G38/B38</f>
        <v>2.2435897435897436E-2</v>
      </c>
      <c r="K38">
        <f>K37+0.1*C38-0.1*0.05*B38</f>
        <v>80.77</v>
      </c>
      <c r="N38">
        <v>2018</v>
      </c>
      <c r="O38">
        <f>T37</f>
        <v>83</v>
      </c>
      <c r="P38">
        <v>44</v>
      </c>
      <c r="Q38">
        <v>0</v>
      </c>
      <c r="R38">
        <v>27</v>
      </c>
      <c r="S38">
        <v>11</v>
      </c>
      <c r="T38">
        <f>O38+SUM(P38:Q38)-SUM(R38:S38)</f>
        <v>89</v>
      </c>
      <c r="V38">
        <f t="shared" si="0"/>
        <v>105</v>
      </c>
      <c r="W38">
        <f t="shared" si="1"/>
        <v>-18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Imputed Cost of Share Issuance</vt:lpstr>
      <vt:lpstr>Financial Statement Excerpt</vt:lpstr>
      <vt:lpstr>Stock Issuance Record Compariso</vt:lpstr>
      <vt:lpstr>Costs per Employee</vt:lpstr>
      <vt:lpstr>Option Grants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Kobayashi-Solomon</dc:creator>
  <cp:lastModifiedBy>Erik Kobayashi-Solomon</cp:lastModifiedBy>
  <dcterms:created xsi:type="dcterms:W3CDTF">2018-07-06T20:20:21Z</dcterms:created>
  <dcterms:modified xsi:type="dcterms:W3CDTF">2018-08-01T19:30:18Z</dcterms:modified>
</cp:coreProperties>
</file>