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dfedd50d51e5ce/Documents/Business/Content/Covered Call Corner/"/>
    </mc:Choice>
  </mc:AlternateContent>
  <xr:revisionPtr revIDLastSave="3" documentId="8_{069EEF17-8BB2-439A-A3C5-5D9AD8C6F977}" xr6:coauthVersionLast="34" xr6:coauthVersionMax="34" xr10:uidLastSave="{D5B46CE4-ED49-4E90-AA89-7923A6DE67FE}"/>
  <bookViews>
    <workbookView xWindow="0" yWindow="0" windowWidth="14400" windowHeight="6405" xr2:uid="{D4611136-E986-4427-B980-8B12D0E8F2AB}"/>
  </bookViews>
  <sheets>
    <sheet name="Monitor" sheetId="1" r:id="rId1"/>
  </sheets>
  <definedNames>
    <definedName name="_xlnm.Print_Area" localSheetId="0">Monitor!$A$1:$AB$34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L30" i="1" l="1"/>
  <c r="L28" i="1" l="1"/>
  <c r="W28" i="1" s="1"/>
  <c r="AB19" i="1" l="1"/>
  <c r="AB18" i="1"/>
  <c r="AB17" i="1"/>
  <c r="AB16" i="1"/>
  <c r="AB9" i="1"/>
  <c r="AB7" i="1"/>
  <c r="AB6" i="1"/>
  <c r="AB5" i="1"/>
  <c r="AB4" i="1"/>
  <c r="AB3" i="1"/>
  <c r="AB2" i="1"/>
  <c r="T21" i="1"/>
  <c r="Y21" i="1" s="1"/>
  <c r="T20" i="1"/>
  <c r="Y20" i="1" s="1"/>
  <c r="T15" i="1"/>
  <c r="Y15" i="1" s="1"/>
  <c r="T14" i="1"/>
  <c r="Y14" i="1" s="1"/>
  <c r="T13" i="1"/>
  <c r="Y13" i="1" s="1"/>
  <c r="T12" i="1"/>
  <c r="Y12" i="1" s="1"/>
  <c r="T11" i="1"/>
  <c r="Y11" i="1" s="1"/>
  <c r="T10" i="1"/>
  <c r="Y10" i="1" s="1"/>
  <c r="T8" i="1"/>
  <c r="Y8" i="1" s="1"/>
  <c r="S20" i="1"/>
  <c r="AB20" i="1" s="1"/>
  <c r="S15" i="1"/>
  <c r="AB15" i="1" s="1"/>
  <c r="S7" i="1"/>
  <c r="N3" i="1"/>
  <c r="N2" i="1"/>
  <c r="L2" i="1"/>
  <c r="T2" i="1" s="1"/>
  <c r="Y2" i="1" s="1"/>
  <c r="T3" i="1"/>
  <c r="Y3" i="1" s="1"/>
  <c r="T4" i="1"/>
  <c r="Y4" i="1" s="1"/>
  <c r="T5" i="1"/>
  <c r="Y5" i="1" s="1"/>
  <c r="T6" i="1"/>
  <c r="Y6" i="1" s="1"/>
  <c r="Y9" i="1"/>
  <c r="T16" i="1"/>
  <c r="Y16" i="1" s="1"/>
  <c r="T17" i="1"/>
  <c r="Y17" i="1" s="1"/>
  <c r="T18" i="1"/>
  <c r="Y18" i="1" s="1"/>
  <c r="T19" i="1"/>
  <c r="Y19" i="1" s="1"/>
  <c r="T22" i="1"/>
  <c r="Y22" i="1" s="1"/>
  <c r="T23" i="1"/>
  <c r="Y23" i="1" s="1"/>
  <c r="T24" i="1"/>
  <c r="Y24" i="1" s="1"/>
  <c r="T25" i="1"/>
  <c r="Y25" i="1" s="1"/>
  <c r="T26" i="1"/>
  <c r="Y26" i="1" s="1"/>
  <c r="T27" i="1"/>
  <c r="Y27" i="1" s="1"/>
  <c r="T28" i="1"/>
  <c r="Y28" i="1" s="1"/>
  <c r="T29" i="1"/>
  <c r="Y29" i="1" s="1"/>
  <c r="T30" i="1"/>
  <c r="Y30" i="1" s="1"/>
  <c r="T31" i="1"/>
  <c r="Y31" i="1" s="1"/>
  <c r="T32" i="1"/>
  <c r="Y32" i="1" s="1"/>
  <c r="T33" i="1"/>
  <c r="Y33" i="1" s="1"/>
  <c r="T34" i="1"/>
  <c r="Y34" i="1" s="1"/>
  <c r="L7" i="1"/>
  <c r="U15" i="1" l="1"/>
  <c r="U20" i="1"/>
  <c r="T7" i="1"/>
  <c r="Y7" i="1" s="1"/>
  <c r="Q29" i="1"/>
  <c r="Q22" i="1"/>
  <c r="Q23" i="1"/>
  <c r="Q24" i="1"/>
  <c r="Q25" i="1"/>
  <c r="Q30" i="1"/>
  <c r="Q18" i="1"/>
  <c r="Q26" i="1"/>
  <c r="U7" i="1" l="1"/>
  <c r="P23" i="1"/>
  <c r="P25" i="1"/>
  <c r="P30" i="1"/>
  <c r="P22" i="1"/>
  <c r="P18" i="1"/>
  <c r="P26" i="1"/>
  <c r="P24" i="1"/>
  <c r="P29" i="1"/>
  <c r="Q31" i="1" l="1"/>
  <c r="Q32" i="1"/>
  <c r="Q27" i="1"/>
  <c r="Q33" i="1"/>
  <c r="Q34" i="1"/>
  <c r="Q28" i="1"/>
  <c r="Q17" i="1"/>
  <c r="P34" i="1" l="1"/>
  <c r="P27" i="1"/>
  <c r="P28" i="1"/>
  <c r="P33" i="1"/>
  <c r="P32" i="1"/>
  <c r="P31" i="1"/>
  <c r="P17" i="1"/>
  <c r="W5" i="1" l="1"/>
  <c r="W6" i="1"/>
  <c r="W7" i="1"/>
  <c r="W2" i="1"/>
  <c r="W12" i="1"/>
  <c r="W3" i="1"/>
  <c r="W4" i="1"/>
  <c r="W13" i="1"/>
  <c r="W14" i="1"/>
  <c r="W19" i="1"/>
  <c r="W15" i="1"/>
  <c r="W20" i="1"/>
  <c r="W8" i="1"/>
  <c r="W9" i="1"/>
  <c r="W16" i="1"/>
  <c r="W21" i="1"/>
  <c r="W10" i="1"/>
  <c r="W11" i="1"/>
  <c r="AA5" i="1"/>
  <c r="AA6" i="1"/>
  <c r="AA7" i="1"/>
  <c r="AA12" i="1"/>
  <c r="AA4" i="1"/>
  <c r="AA13" i="1"/>
  <c r="AA14" i="1"/>
  <c r="AA19" i="1"/>
  <c r="AA15" i="1"/>
  <c r="AA20" i="1"/>
  <c r="AA8" i="1"/>
  <c r="AA9" i="1"/>
  <c r="AA16" i="1"/>
  <c r="AA21" i="1"/>
  <c r="AA10" i="1"/>
  <c r="AF8" i="1" l="1"/>
  <c r="AA11" i="1"/>
  <c r="Q19" i="1"/>
  <c r="Q15" i="1"/>
  <c r="Q20" i="1"/>
  <c r="Q8" i="1"/>
  <c r="Q9" i="1"/>
  <c r="Q16" i="1"/>
  <c r="Q21" i="1"/>
  <c r="Q10" i="1"/>
  <c r="S21" i="1" l="1"/>
  <c r="S10" i="1"/>
  <c r="S8" i="1"/>
  <c r="P21" i="1"/>
  <c r="P16" i="1"/>
  <c r="P10" i="1"/>
  <c r="P9" i="1"/>
  <c r="P15" i="1"/>
  <c r="P20" i="1"/>
  <c r="P8" i="1"/>
  <c r="P19" i="1"/>
  <c r="U8" i="1" l="1"/>
  <c r="AB8" i="1"/>
  <c r="U10" i="1"/>
  <c r="AB10" i="1"/>
  <c r="U21" i="1"/>
  <c r="AB21" i="1"/>
  <c r="AA3" i="1"/>
  <c r="AA2" i="1"/>
  <c r="Q14" i="1"/>
  <c r="Q13" i="1"/>
  <c r="Q12" i="1"/>
  <c r="Q7" i="1"/>
  <c r="Q6" i="1"/>
  <c r="Q5" i="1"/>
  <c r="Q11" i="1"/>
  <c r="H14" i="1"/>
  <c r="H13" i="1"/>
  <c r="H3" i="1"/>
  <c r="H12" i="1"/>
  <c r="H2" i="1"/>
  <c r="H7" i="1"/>
  <c r="H11" i="1"/>
  <c r="S13" i="1" l="1"/>
  <c r="S14" i="1"/>
  <c r="S12" i="1"/>
  <c r="S11" i="1"/>
  <c r="AF7" i="1"/>
  <c r="AF9" i="1" s="1"/>
  <c r="AF2" i="1"/>
  <c r="P4" i="1"/>
  <c r="P7" i="1"/>
  <c r="P2" i="1"/>
  <c r="P3" i="1"/>
  <c r="P6" i="1"/>
  <c r="P13" i="1"/>
  <c r="P14" i="1"/>
  <c r="P12" i="1"/>
  <c r="P5" i="1"/>
  <c r="P11" i="1"/>
  <c r="U12" i="1" l="1"/>
  <c r="AB12" i="1"/>
  <c r="U14" i="1"/>
  <c r="AB14" i="1"/>
  <c r="U11" i="1"/>
  <c r="AB11" i="1"/>
  <c r="U13" i="1"/>
  <c r="AB13" i="1"/>
  <c r="AF3" i="1" l="1"/>
  <c r="AF4" i="1" s="1"/>
  <c r="AF5" i="1" s="1"/>
</calcChain>
</file>

<file path=xl/sharedStrings.xml><?xml version="1.0" encoding="utf-8"?>
<sst xmlns="http://schemas.openxmlformats.org/spreadsheetml/2006/main" count="185" uniqueCount="126">
  <si>
    <t>Ticker</t>
  </si>
  <si>
    <t>Stock Name</t>
  </si>
  <si>
    <t>Industry</t>
  </si>
  <si>
    <t>Contract</t>
  </si>
  <si>
    <t>AGO</t>
  </si>
  <si>
    <t>Assured Guaranty</t>
  </si>
  <si>
    <t>Insurance - Specialty</t>
  </si>
  <si>
    <t>AMZN</t>
  </si>
  <si>
    <t>Amazon.com</t>
  </si>
  <si>
    <t>Specialty Retail</t>
  </si>
  <si>
    <t>BAM</t>
  </si>
  <si>
    <t>Brookfield Asset Mgmt</t>
  </si>
  <si>
    <t>Asset Management</t>
  </si>
  <si>
    <t>BRK.B</t>
  </si>
  <si>
    <t>Berkshire Hathaway</t>
  </si>
  <si>
    <t>Insurance - Diversified</t>
  </si>
  <si>
    <t>CVS</t>
  </si>
  <si>
    <t>CVS Health</t>
  </si>
  <si>
    <t>Healthcare Plans</t>
  </si>
  <si>
    <t>DIS</t>
  </si>
  <si>
    <t>Walt Disney</t>
  </si>
  <si>
    <t>Media - Diversified</t>
  </si>
  <si>
    <t>GSK</t>
  </si>
  <si>
    <t>GlaxoSmithKline</t>
  </si>
  <si>
    <t>Drug Manufacturers - Major</t>
  </si>
  <si>
    <t>MBI</t>
  </si>
  <si>
    <t>MBIA</t>
  </si>
  <si>
    <t>Insurance - Property &amp; Casualty</t>
  </si>
  <si>
    <t>NYCB</t>
  </si>
  <si>
    <t>New York Community Banc</t>
  </si>
  <si>
    <t>Savings &amp; Cooperative Banks</t>
  </si>
  <si>
    <t>WCC</t>
  </si>
  <si>
    <t>WESCO International</t>
  </si>
  <si>
    <t>Industrial Distribution</t>
  </si>
  <si>
    <t>ATM Option</t>
  </si>
  <si>
    <t>EBP</t>
  </si>
  <si>
    <t>Original Days</t>
  </si>
  <si>
    <t>Original Stock Px</t>
  </si>
  <si>
    <t>Return to EBP</t>
  </si>
  <si>
    <t>Days to Expiration</t>
  </si>
  <si>
    <t>Present Stock Px</t>
  </si>
  <si>
    <t>Original Option Px</t>
  </si>
  <si>
    <t>Option Ask Px</t>
  </si>
  <si>
    <t>Contract #</t>
  </si>
  <si>
    <t>Expected Return</t>
  </si>
  <si>
    <t>Realized?</t>
  </si>
  <si>
    <t>N</t>
  </si>
  <si>
    <t>Y</t>
  </si>
  <si>
    <t>CCC</t>
  </si>
  <si>
    <t>AAL</t>
  </si>
  <si>
    <t>American Airlines</t>
  </si>
  <si>
    <t>Airlines</t>
  </si>
  <si>
    <t>ADNT</t>
  </si>
  <si>
    <t>Adient</t>
  </si>
  <si>
    <t>Auto Parts</t>
  </si>
  <si>
    <t>ADT</t>
  </si>
  <si>
    <t>Security &amp; Protection Svcs</t>
  </si>
  <si>
    <t>ALEX</t>
  </si>
  <si>
    <t>Alexander &amp; Baldwin</t>
  </si>
  <si>
    <t>REIT - Diversified</t>
  </si>
  <si>
    <t>FEYE</t>
  </si>
  <si>
    <t>FireEye</t>
  </si>
  <si>
    <t>Software - Application</t>
  </si>
  <si>
    <t>OAK</t>
  </si>
  <si>
    <t>Oaktree Capital</t>
  </si>
  <si>
    <t>OI</t>
  </si>
  <si>
    <t>Owens-Illinois</t>
  </si>
  <si>
    <t>Packaging &amp; Containers</t>
  </si>
  <si>
    <t>SBUX</t>
  </si>
  <si>
    <t>Starbucks</t>
  </si>
  <si>
    <t>Restaurants</t>
  </si>
  <si>
    <t>C/P</t>
  </si>
  <si>
    <t>C</t>
  </si>
  <si>
    <t>P</t>
  </si>
  <si>
    <t>Total Realized</t>
  </si>
  <si>
    <t xml:space="preserve">Realized </t>
  </si>
  <si>
    <t>Unrealized</t>
  </si>
  <si>
    <t>Expected</t>
  </si>
  <si>
    <t>R+U</t>
  </si>
  <si>
    <t>Notional Value</t>
  </si>
  <si>
    <t>Likely Return</t>
  </si>
  <si>
    <t>KMX</t>
  </si>
  <si>
    <t>CarMax</t>
  </si>
  <si>
    <t>Auto and Truck Dealers</t>
  </si>
  <si>
    <t>EIX</t>
  </si>
  <si>
    <t>Edison International</t>
  </si>
  <si>
    <t>Utilities - Regulated Electric</t>
  </si>
  <si>
    <t>FB</t>
  </si>
  <si>
    <t>Facebook</t>
  </si>
  <si>
    <t>Internet Content and Information</t>
  </si>
  <si>
    <t>GE</t>
  </si>
  <si>
    <t>General Electric</t>
  </si>
  <si>
    <t>MET</t>
  </si>
  <si>
    <t>MetLife</t>
  </si>
  <si>
    <t>Insurance - Life</t>
  </si>
  <si>
    <t>MHK</t>
  </si>
  <si>
    <t>Mohawk Industries</t>
  </si>
  <si>
    <t>Home Furnishings</t>
  </si>
  <si>
    <t>NWL</t>
  </si>
  <si>
    <t>Newell Brands</t>
  </si>
  <si>
    <t>Household and Personal Products</t>
  </si>
  <si>
    <t>AZO</t>
  </si>
  <si>
    <t>AutoZone</t>
  </si>
  <si>
    <t>CBS</t>
  </si>
  <si>
    <t>CMCSA</t>
  </si>
  <si>
    <t>Comcast</t>
  </si>
  <si>
    <t>Pay TV</t>
  </si>
  <si>
    <t>ESRX</t>
  </si>
  <si>
    <t>Express Scripts Holding</t>
  </si>
  <si>
    <t>LLY</t>
  </si>
  <si>
    <t>Eli Lilly</t>
  </si>
  <si>
    <t>MDLZ</t>
  </si>
  <si>
    <t>Mondelez International</t>
  </si>
  <si>
    <t>Confectioners</t>
  </si>
  <si>
    <t>XOM</t>
  </si>
  <si>
    <t>Exxon Mobil</t>
  </si>
  <si>
    <t>Oil &amp; Gas Integrated</t>
  </si>
  <si>
    <t>Original P/F Size</t>
  </si>
  <si>
    <t>Unrealized G/L</t>
  </si>
  <si>
    <t>Expected G/L</t>
  </si>
  <si>
    <t>Div</t>
  </si>
  <si>
    <t>Open Date</t>
  </si>
  <si>
    <t>Close Date</t>
  </si>
  <si>
    <t>Total Unrealized</t>
  </si>
  <si>
    <t>Expected / Realized  Gain</t>
  </si>
  <si>
    <t>Contract Value %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</si>
</sst>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left"/>
    </xf>
    <xf numFmtId="166" fontId="2" fillId="0" borderId="1" xfId="0" applyNumberFormat="1" applyFont="1" applyFill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center"/>
    </xf>
    <xf numFmtId="2" fontId="3" fillId="0" borderId="1" xfId="0" quotePrefix="1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quotePrefix="1" applyNumberFormat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9" fontId="3" fillId="0" borderId="1" xfId="2" applyNumberFormat="1" applyFont="1" applyFill="1" applyBorder="1" applyAlignment="1">
      <alignment horizontal="center"/>
    </xf>
    <xf numFmtId="9" fontId="3" fillId="3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5" fontId="5" fillId="0" borderId="1" xfId="1" applyNumberFormat="1" applyFont="1" applyBorder="1"/>
    <xf numFmtId="0" fontId="5" fillId="0" borderId="0" xfId="0" applyFont="1"/>
    <xf numFmtId="165" fontId="5" fillId="0" borderId="0" xfId="1" applyNumberFormat="1" applyFont="1"/>
    <xf numFmtId="0" fontId="5" fillId="0" borderId="3" xfId="0" applyFont="1" applyBorder="1"/>
    <xf numFmtId="165" fontId="5" fillId="0" borderId="3" xfId="1" applyNumberFormat="1" applyFont="1" applyBorder="1"/>
    <xf numFmtId="165" fontId="2" fillId="0" borderId="1" xfId="1" applyNumberFormat="1" applyFon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64" fontId="5" fillId="0" borderId="0" xfId="2" applyNumberFormat="1" applyFont="1"/>
    <xf numFmtId="165" fontId="5" fillId="3" borderId="1" xfId="1" applyNumberFormat="1" applyFont="1" applyFill="1" applyBorder="1"/>
    <xf numFmtId="43" fontId="2" fillId="3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43" fontId="2" fillId="4" borderId="1" xfId="1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2" fillId="4" borderId="2" xfId="1" applyFont="1" applyFill="1" applyBorder="1" applyAlignment="1">
      <alignment horizontal="center"/>
    </xf>
    <xf numFmtId="9" fontId="2" fillId="4" borderId="1" xfId="2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center"/>
    </xf>
    <xf numFmtId="165" fontId="5" fillId="4" borderId="1" xfId="1" applyNumberFormat="1" applyFont="1" applyFill="1" applyBorder="1"/>
    <xf numFmtId="43" fontId="2" fillId="4" borderId="1" xfId="0" applyNumberFormat="1" applyFont="1" applyFill="1" applyBorder="1" applyAlignment="1">
      <alignment horizontal="center"/>
    </xf>
    <xf numFmtId="43" fontId="0" fillId="0" borderId="0" xfId="0" applyNumberFormat="1"/>
    <xf numFmtId="165" fontId="3" fillId="4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9" fontId="3" fillId="3" borderId="1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1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43" fontId="3" fillId="5" borderId="1" xfId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2" fontId="3" fillId="5" borderId="1" xfId="0" quotePrefix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9" fontId="3" fillId="5" borderId="1" xfId="2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164" fontId="3" fillId="5" borderId="1" xfId="2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65" fontId="5" fillId="5" borderId="1" xfId="1" applyNumberFormat="1" applyFont="1" applyFill="1" applyBorder="1"/>
    <xf numFmtId="0" fontId="4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77995-2AE4-4F81-803E-8F82393E0717}">
  <sheetPr>
    <pageSetUpPr fitToPage="1"/>
  </sheetPr>
  <dimension ref="A1:AF36"/>
  <sheetViews>
    <sheetView tabSelected="1" workbookViewId="0">
      <pane xSplit="4" ySplit="1" topLeftCell="G2" activePane="bottomRight" state="frozen"/>
      <selection pane="topRight" activeCell="E1" sqref="E1"/>
      <selection pane="bottomLeft" activeCell="A2" sqref="A2"/>
      <selection pane="bottomRight" activeCell="J16" sqref="J16"/>
    </sheetView>
  </sheetViews>
  <sheetFormatPr defaultRowHeight="15" outlineLevelCol="1" x14ac:dyDescent="0.25"/>
  <cols>
    <col min="2" max="2" width="4.140625" bestFit="1" customWidth="1"/>
    <col min="3" max="3" width="7.7109375" bestFit="1" customWidth="1"/>
    <col min="4" max="4" width="23" hidden="1" customWidth="1" outlineLevel="1"/>
    <col min="5" max="5" width="26.85546875" hidden="1" customWidth="1" outlineLevel="1"/>
    <col min="6" max="6" width="9.7109375" hidden="1" customWidth="1" outlineLevel="1"/>
    <col min="7" max="7" width="10.7109375" customWidth="1" collapsed="1"/>
    <col min="8" max="8" width="9" hidden="1" customWidth="1" outlineLevel="1"/>
    <col min="9" max="9" width="5.7109375" hidden="1" customWidth="1" outlineLevel="1"/>
    <col min="10" max="10" width="9.140625" collapsed="1"/>
    <col min="13" max="14" width="9.140625" bestFit="1" customWidth="1"/>
    <col min="15" max="18" width="9" customWidth="1"/>
    <col min="19" max="21" width="10" customWidth="1"/>
    <col min="22" max="23" width="9" customWidth="1"/>
    <col min="24" max="24" width="11" customWidth="1"/>
    <col min="25" max="25" width="10" customWidth="1"/>
    <col min="28" max="28" width="10.28515625" customWidth="1"/>
    <col min="31" max="31" width="14.28515625" bestFit="1" customWidth="1"/>
    <col min="32" max="32" width="10" bestFit="1" customWidth="1"/>
  </cols>
  <sheetData>
    <row r="1" spans="1:32" ht="39" x14ac:dyDescent="0.25">
      <c r="A1" s="1" t="s">
        <v>48</v>
      </c>
      <c r="B1" s="1" t="s">
        <v>71</v>
      </c>
      <c r="C1" s="1" t="s">
        <v>0</v>
      </c>
      <c r="D1" s="1" t="s">
        <v>1</v>
      </c>
      <c r="E1" s="1" t="s">
        <v>2</v>
      </c>
      <c r="F1" s="2" t="s">
        <v>37</v>
      </c>
      <c r="G1" s="2" t="s">
        <v>3</v>
      </c>
      <c r="H1" s="2" t="s">
        <v>36</v>
      </c>
      <c r="I1" s="2" t="s">
        <v>120</v>
      </c>
      <c r="J1" s="2" t="s">
        <v>34</v>
      </c>
      <c r="K1" s="2" t="s">
        <v>41</v>
      </c>
      <c r="L1" s="2" t="s">
        <v>35</v>
      </c>
      <c r="M1" s="2" t="s">
        <v>121</v>
      </c>
      <c r="N1" s="2" t="s">
        <v>122</v>
      </c>
      <c r="O1" s="2" t="s">
        <v>40</v>
      </c>
      <c r="P1" s="2" t="s">
        <v>38</v>
      </c>
      <c r="Q1" s="2" t="s">
        <v>39</v>
      </c>
      <c r="R1" s="2" t="s">
        <v>42</v>
      </c>
      <c r="S1" s="2" t="s">
        <v>118</v>
      </c>
      <c r="T1" s="2" t="s">
        <v>119</v>
      </c>
      <c r="U1" s="2" t="s">
        <v>125</v>
      </c>
      <c r="V1" s="2" t="s">
        <v>43</v>
      </c>
      <c r="W1" s="2" t="s">
        <v>79</v>
      </c>
      <c r="X1" s="2" t="s">
        <v>117</v>
      </c>
      <c r="Y1" s="2" t="s">
        <v>124</v>
      </c>
      <c r="Z1" s="2" t="s">
        <v>45</v>
      </c>
      <c r="AA1" s="37" t="s">
        <v>74</v>
      </c>
      <c r="AB1" s="37" t="s">
        <v>123</v>
      </c>
    </row>
    <row r="2" spans="1:32" x14ac:dyDescent="0.25">
      <c r="A2" s="48">
        <v>43221</v>
      </c>
      <c r="B2" s="48" t="s">
        <v>72</v>
      </c>
      <c r="C2" s="49" t="s">
        <v>16</v>
      </c>
      <c r="D2" s="49" t="s">
        <v>17</v>
      </c>
      <c r="E2" s="49" t="s">
        <v>18</v>
      </c>
      <c r="F2" s="50">
        <v>63.17</v>
      </c>
      <c r="G2" s="51">
        <v>43329</v>
      </c>
      <c r="H2" s="52">
        <f>G2-M2</f>
        <v>99</v>
      </c>
      <c r="I2" s="50">
        <v>0.5</v>
      </c>
      <c r="J2" s="50">
        <v>65</v>
      </c>
      <c r="K2" s="50">
        <v>2.61</v>
      </c>
      <c r="L2" s="50">
        <f>J2-K2-I2</f>
        <v>61.89</v>
      </c>
      <c r="M2" s="51">
        <v>43230</v>
      </c>
      <c r="N2" s="62">
        <f>G2</f>
        <v>43329</v>
      </c>
      <c r="O2" s="53">
        <v>73.56</v>
      </c>
      <c r="P2" s="54">
        <f>O2/L2-1</f>
        <v>0.18856034900630148</v>
      </c>
      <c r="Q2" s="55">
        <v>0</v>
      </c>
      <c r="R2" s="50"/>
      <c r="S2" s="55"/>
      <c r="T2" s="58">
        <f>J2-L2+I2</f>
        <v>3.6099999999999994</v>
      </c>
      <c r="U2" s="55"/>
      <c r="V2" s="55">
        <v>2</v>
      </c>
      <c r="W2" s="56">
        <f>IF(V2&lt;&gt;0,100*V2*L2,0)</f>
        <v>12378</v>
      </c>
      <c r="X2" s="56"/>
      <c r="Y2" s="60">
        <f>T2*V2*100</f>
        <v>721.99999999999989</v>
      </c>
      <c r="Z2" s="56" t="s">
        <v>47</v>
      </c>
      <c r="AA2" s="57">
        <f>IF(Z2="Y",Y2,0)</f>
        <v>721.99999999999989</v>
      </c>
      <c r="AB2" s="57">
        <f>IF(Z2="N",100*V2*S2,0)</f>
        <v>0</v>
      </c>
      <c r="AE2" s="39" t="s">
        <v>75</v>
      </c>
      <c r="AF2" s="40">
        <f>SUM(AA:AA)</f>
        <v>4052.0000000000036</v>
      </c>
    </row>
    <row r="3" spans="1:32" x14ac:dyDescent="0.25">
      <c r="A3" s="48">
        <v>43221</v>
      </c>
      <c r="B3" s="48" t="s">
        <v>72</v>
      </c>
      <c r="C3" s="49" t="s">
        <v>22</v>
      </c>
      <c r="D3" s="49" t="s">
        <v>23</v>
      </c>
      <c r="E3" s="49" t="s">
        <v>24</v>
      </c>
      <c r="F3" s="50">
        <v>39.695</v>
      </c>
      <c r="G3" s="51">
        <v>43329</v>
      </c>
      <c r="H3" s="52">
        <f>G3-M3</f>
        <v>99</v>
      </c>
      <c r="I3" s="50">
        <v>0.5</v>
      </c>
      <c r="J3" s="50">
        <v>40</v>
      </c>
      <c r="K3" s="50">
        <v>1.2</v>
      </c>
      <c r="L3" s="50">
        <v>37.994999999999997</v>
      </c>
      <c r="M3" s="51">
        <v>43230</v>
      </c>
      <c r="N3" s="51">
        <f>G3</f>
        <v>43329</v>
      </c>
      <c r="O3" s="50">
        <v>41.7</v>
      </c>
      <c r="P3" s="54">
        <f>O3/L3-1</f>
        <v>9.7512830635610115E-2</v>
      </c>
      <c r="Q3" s="55">
        <v>0</v>
      </c>
      <c r="R3" s="50"/>
      <c r="S3" s="55"/>
      <c r="T3" s="50">
        <f>J3-L3+I3</f>
        <v>2.5050000000000026</v>
      </c>
      <c r="U3" s="55"/>
      <c r="V3" s="55">
        <v>4</v>
      </c>
      <c r="W3" s="56">
        <f>IF(V3&lt;&gt;0,100*V3*L3,0)</f>
        <v>15197.999999999998</v>
      </c>
      <c r="X3" s="56"/>
      <c r="Y3" s="60">
        <f>T3*V3*100</f>
        <v>1002.000000000001</v>
      </c>
      <c r="Z3" s="56" t="s">
        <v>47</v>
      </c>
      <c r="AA3" s="57">
        <f>IF(Z3="Y",Y3,0)</f>
        <v>1002.000000000001</v>
      </c>
      <c r="AB3" s="57">
        <f>IF(Z3="N",100*V3*S3,0)</f>
        <v>0</v>
      </c>
      <c r="AE3" s="41" t="s">
        <v>76</v>
      </c>
      <c r="AF3" s="42">
        <f>SUM(AB:AB)</f>
        <v>908.60000000000514</v>
      </c>
    </row>
    <row r="4" spans="1:32" x14ac:dyDescent="0.25">
      <c r="A4" s="20">
        <v>43221</v>
      </c>
      <c r="B4" s="20" t="s">
        <v>72</v>
      </c>
      <c r="C4" s="10" t="s">
        <v>25</v>
      </c>
      <c r="D4" s="10" t="s">
        <v>26</v>
      </c>
      <c r="E4" s="10" t="s">
        <v>27</v>
      </c>
      <c r="F4" s="9">
        <v>8.59</v>
      </c>
      <c r="G4" s="14">
        <v>43329</v>
      </c>
      <c r="H4" s="8">
        <v>105</v>
      </c>
      <c r="I4" s="9">
        <v>0</v>
      </c>
      <c r="J4" s="9">
        <v>9</v>
      </c>
      <c r="K4" s="9">
        <v>0.67</v>
      </c>
      <c r="L4" s="9">
        <v>7.92</v>
      </c>
      <c r="M4" s="8"/>
      <c r="N4" s="8"/>
      <c r="O4" s="11">
        <v>10.35</v>
      </c>
      <c r="P4" s="13">
        <f>O4/L4-1</f>
        <v>0.30681818181818188</v>
      </c>
      <c r="Q4" s="16">
        <v>0</v>
      </c>
      <c r="R4" s="11"/>
      <c r="S4" s="16"/>
      <c r="T4" s="11">
        <f>J4-L4+I4</f>
        <v>1.08</v>
      </c>
      <c r="U4" s="16"/>
      <c r="V4" s="16"/>
      <c r="W4" s="43">
        <f>IF(V4&lt;&gt;0,100*V4*L4,0)</f>
        <v>0</v>
      </c>
      <c r="X4" s="8"/>
      <c r="Y4" s="44">
        <f>T4*V4*100</f>
        <v>0</v>
      </c>
      <c r="Z4" s="8" t="s">
        <v>46</v>
      </c>
      <c r="AA4" s="38">
        <f>IF(Z4="Y",Y4,0)</f>
        <v>0</v>
      </c>
      <c r="AB4" s="38">
        <f>IF(Z4="N",100*V4*S4,0)</f>
        <v>0</v>
      </c>
      <c r="AE4" s="39" t="s">
        <v>78</v>
      </c>
      <c r="AF4" s="40">
        <f>SUM(AF2:AF3)</f>
        <v>4960.6000000000085</v>
      </c>
    </row>
    <row r="5" spans="1:32" x14ac:dyDescent="0.25">
      <c r="A5" s="19">
        <v>43221</v>
      </c>
      <c r="B5" s="19" t="s">
        <v>72</v>
      </c>
      <c r="C5" s="7" t="s">
        <v>7</v>
      </c>
      <c r="D5" s="7" t="s">
        <v>8</v>
      </c>
      <c r="E5" s="7" t="s">
        <v>9</v>
      </c>
      <c r="F5" s="9">
        <v>1581.15</v>
      </c>
      <c r="G5" s="14">
        <v>43364</v>
      </c>
      <c r="H5" s="8">
        <v>140</v>
      </c>
      <c r="I5" s="9">
        <v>0</v>
      </c>
      <c r="J5" s="9">
        <v>1620</v>
      </c>
      <c r="K5" s="9">
        <v>101.15</v>
      </c>
      <c r="L5" s="9">
        <v>1480</v>
      </c>
      <c r="M5" s="8"/>
      <c r="N5" s="8"/>
      <c r="O5" s="11">
        <v>1893.85</v>
      </c>
      <c r="P5" s="13">
        <f>O5/L5-1</f>
        <v>0.27962837837837839</v>
      </c>
      <c r="Q5" s="16">
        <f ca="1">G5-TODAY()</f>
        <v>30</v>
      </c>
      <c r="R5" s="11"/>
      <c r="S5" s="16"/>
      <c r="T5" s="11">
        <f>J5-L5+I5</f>
        <v>140</v>
      </c>
      <c r="U5" s="16"/>
      <c r="V5" s="16"/>
      <c r="W5" s="43">
        <f>IF(V5&lt;&gt;0,100*V5*L5,0)</f>
        <v>0</v>
      </c>
      <c r="X5" s="8"/>
      <c r="Y5" s="44">
        <f>T5*V5*100</f>
        <v>0</v>
      </c>
      <c r="Z5" s="8" t="s">
        <v>46</v>
      </c>
      <c r="AA5" s="38">
        <f>IF(Z5="Y",Y5,0)</f>
        <v>0</v>
      </c>
      <c r="AB5" s="38">
        <f>IF(Z5="N",100*V5*S5,0)</f>
        <v>0</v>
      </c>
      <c r="AE5" s="39" t="s">
        <v>80</v>
      </c>
      <c r="AF5" s="45">
        <f>AF4/AF8</f>
        <v>2.371139835397796E-2</v>
      </c>
    </row>
    <row r="6" spans="1:32" x14ac:dyDescent="0.25">
      <c r="A6" s="19">
        <v>43221</v>
      </c>
      <c r="B6" s="19" t="s">
        <v>72</v>
      </c>
      <c r="C6" s="7" t="s">
        <v>10</v>
      </c>
      <c r="D6" s="7" t="s">
        <v>11</v>
      </c>
      <c r="E6" s="7" t="s">
        <v>12</v>
      </c>
      <c r="F6" s="9">
        <v>39.82</v>
      </c>
      <c r="G6" s="14">
        <v>43364</v>
      </c>
      <c r="H6" s="8">
        <v>140</v>
      </c>
      <c r="I6" s="9">
        <v>0.15</v>
      </c>
      <c r="J6" s="9">
        <v>40</v>
      </c>
      <c r="K6" s="9">
        <v>1.55</v>
      </c>
      <c r="L6" s="9">
        <v>38.120000000000005</v>
      </c>
      <c r="M6" s="8"/>
      <c r="N6" s="8"/>
      <c r="O6" s="11">
        <v>42.86</v>
      </c>
      <c r="P6" s="13">
        <f>O6/L6-1</f>
        <v>0.12434417628541428</v>
      </c>
      <c r="Q6" s="16">
        <f ca="1">G6-TODAY()</f>
        <v>30</v>
      </c>
      <c r="R6" s="11"/>
      <c r="S6" s="16"/>
      <c r="T6" s="11">
        <f>J6-L6+I6</f>
        <v>2.0299999999999954</v>
      </c>
      <c r="U6" s="16"/>
      <c r="V6" s="16"/>
      <c r="W6" s="43">
        <f>IF(V6&lt;&gt;0,100*V6*L6,0)</f>
        <v>0</v>
      </c>
      <c r="X6" s="8"/>
      <c r="Y6" s="44">
        <f>T6*V6*100</f>
        <v>0</v>
      </c>
      <c r="Z6" s="8" t="s">
        <v>46</v>
      </c>
      <c r="AA6" s="38">
        <f>IF(Z6="Y",Y6,0)</f>
        <v>0</v>
      </c>
      <c r="AB6" s="38">
        <f>IF(Z6="N",100*V6*S6,0)</f>
        <v>0</v>
      </c>
    </row>
    <row r="7" spans="1:32" x14ac:dyDescent="0.25">
      <c r="A7" s="48">
        <v>43221</v>
      </c>
      <c r="B7" s="48" t="s">
        <v>72</v>
      </c>
      <c r="C7" s="49" t="s">
        <v>13</v>
      </c>
      <c r="D7" s="49" t="s">
        <v>14</v>
      </c>
      <c r="E7" s="49" t="s">
        <v>15</v>
      </c>
      <c r="F7" s="50">
        <v>196.48</v>
      </c>
      <c r="G7" s="51">
        <v>43364</v>
      </c>
      <c r="H7" s="52">
        <f>G7-M7</f>
        <v>135</v>
      </c>
      <c r="I7" s="50">
        <v>0</v>
      </c>
      <c r="J7" s="50">
        <v>200</v>
      </c>
      <c r="K7" s="50">
        <v>8.1199999999999992</v>
      </c>
      <c r="L7" s="50">
        <f>F7-K7</f>
        <v>188.35999999999999</v>
      </c>
      <c r="M7" s="51">
        <v>43229</v>
      </c>
      <c r="N7" s="51">
        <v>43334</v>
      </c>
      <c r="O7" s="50">
        <v>207.24600000000001</v>
      </c>
      <c r="P7" s="54">
        <f>O7/L7-1</f>
        <v>0.10026544913994484</v>
      </c>
      <c r="Q7" s="55">
        <f ca="1">G7-TODAY()</f>
        <v>30</v>
      </c>
      <c r="R7" s="50">
        <v>8.65</v>
      </c>
      <c r="S7" s="58">
        <f>IF(B7="C",(O7-F7)+(K7-R7),K7-R7)</f>
        <v>10.236000000000018</v>
      </c>
      <c r="T7" s="50">
        <f>IF(B7="C",J7-L7+I7,J7-L7)</f>
        <v>11.640000000000015</v>
      </c>
      <c r="U7" s="54">
        <f>(T7-S7)/T7</f>
        <v>0.12061855670103046</v>
      </c>
      <c r="V7" s="55">
        <v>2</v>
      </c>
      <c r="W7" s="56">
        <f>IF(V7&lt;&gt;0,100*V7*L7,0)</f>
        <v>37672</v>
      </c>
      <c r="X7" s="56"/>
      <c r="Y7" s="60">
        <f>T7*V7*100</f>
        <v>2328.0000000000027</v>
      </c>
      <c r="Z7" s="56" t="s">
        <v>47</v>
      </c>
      <c r="AA7" s="57">
        <f>IF(Z7="Y",Y7,0)</f>
        <v>2328.0000000000027</v>
      </c>
      <c r="AB7" s="57">
        <f>IF(Z7="N",100*V7*S7,0)</f>
        <v>0</v>
      </c>
      <c r="AE7" s="39" t="s">
        <v>77</v>
      </c>
      <c r="AF7" s="40">
        <f>SUM(Y:Y)</f>
        <v>15745.600000000002</v>
      </c>
    </row>
    <row r="8" spans="1:32" x14ac:dyDescent="0.25">
      <c r="A8" s="18">
        <v>43252</v>
      </c>
      <c r="B8" s="27" t="s">
        <v>72</v>
      </c>
      <c r="C8" s="27" t="s">
        <v>57</v>
      </c>
      <c r="D8" s="27" t="s">
        <v>58</v>
      </c>
      <c r="E8" s="27" t="s">
        <v>59</v>
      </c>
      <c r="F8" s="30">
        <v>21.74</v>
      </c>
      <c r="G8" s="31">
        <v>43364</v>
      </c>
      <c r="H8" s="29">
        <v>105</v>
      </c>
      <c r="I8" s="30">
        <v>0</v>
      </c>
      <c r="J8" s="30">
        <v>22.5</v>
      </c>
      <c r="K8" s="30">
        <v>0.65</v>
      </c>
      <c r="L8" s="30">
        <v>21.09</v>
      </c>
      <c r="M8" s="31">
        <v>43259</v>
      </c>
      <c r="N8" s="31"/>
      <c r="O8" s="30">
        <v>23.86</v>
      </c>
      <c r="P8" s="35">
        <f>O8/L8-1</f>
        <v>0.13134186818397353</v>
      </c>
      <c r="Q8" s="15">
        <f ca="1">G8-TODAY()</f>
        <v>30</v>
      </c>
      <c r="R8" s="30">
        <v>1.5</v>
      </c>
      <c r="S8" s="30">
        <f>IF(B8="C",(O8-F8)+(K8-R8),K8-R8)</f>
        <v>1.2700000000000009</v>
      </c>
      <c r="T8" s="30">
        <f>IF(B8="C",J8-L8+I8,J8-L8)</f>
        <v>1.4100000000000001</v>
      </c>
      <c r="U8" s="63">
        <f>(T8-S8)/T8</f>
        <v>9.9290780141843421E-2</v>
      </c>
      <c r="V8" s="15">
        <v>7</v>
      </c>
      <c r="W8" s="17">
        <f>IF(V8&lt;&gt;0,100*V8*L8,0)</f>
        <v>14763</v>
      </c>
      <c r="X8" s="17"/>
      <c r="Y8" s="61">
        <f>T8*V8*100</f>
        <v>987.00000000000011</v>
      </c>
      <c r="Z8" s="17" t="s">
        <v>46</v>
      </c>
      <c r="AA8" s="46">
        <f>IF(Z8="Y",Y8,0)</f>
        <v>0</v>
      </c>
      <c r="AB8" s="46">
        <f>IF(Z8="N",100*V8*S8,0)</f>
        <v>889.00000000000068</v>
      </c>
      <c r="AE8" s="39" t="s">
        <v>79</v>
      </c>
      <c r="AF8" s="40">
        <f>SUM(W:W)</f>
        <v>209207.4</v>
      </c>
    </row>
    <row r="9" spans="1:32" x14ac:dyDescent="0.25">
      <c r="A9" s="19">
        <v>43252</v>
      </c>
      <c r="B9" s="21" t="s">
        <v>72</v>
      </c>
      <c r="C9" s="21" t="s">
        <v>60</v>
      </c>
      <c r="D9" s="21" t="s">
        <v>61</v>
      </c>
      <c r="E9" s="21" t="s">
        <v>62</v>
      </c>
      <c r="F9" s="23">
        <v>16.71</v>
      </c>
      <c r="G9" s="24">
        <v>43364</v>
      </c>
      <c r="H9" s="26">
        <v>112</v>
      </c>
      <c r="I9" s="23">
        <v>0</v>
      </c>
      <c r="J9" s="23">
        <v>17</v>
      </c>
      <c r="K9" s="23">
        <v>1.35</v>
      </c>
      <c r="L9" s="23">
        <v>15.360000000000001</v>
      </c>
      <c r="M9" s="22"/>
      <c r="N9" s="22"/>
      <c r="O9" s="23">
        <v>14.77</v>
      </c>
      <c r="P9" s="34">
        <f>O9/L9-1</f>
        <v>-3.8411458333333481E-2</v>
      </c>
      <c r="Q9" s="16">
        <f ca="1">G9-TODAY()</f>
        <v>30</v>
      </c>
      <c r="R9" s="23"/>
      <c r="S9" s="23"/>
      <c r="T9" s="23">
        <f>IF(B9="C",J9-L9+I9,J9-L9)</f>
        <v>1.6399999999999988</v>
      </c>
      <c r="U9" s="23"/>
      <c r="V9" s="25"/>
      <c r="W9" s="44">
        <f>IF(V9&lt;&gt;0,100*V9*L9,0)</f>
        <v>0</v>
      </c>
      <c r="X9" s="25"/>
      <c r="Y9" s="38">
        <f>T9*V9*100</f>
        <v>0</v>
      </c>
      <c r="Z9" s="36" t="s">
        <v>46</v>
      </c>
      <c r="AA9" s="38">
        <f>IF(Z9="Y",Y9,0)</f>
        <v>0</v>
      </c>
      <c r="AB9" s="38">
        <f>IF(Z9="N",100*V9*S9,0)</f>
        <v>0</v>
      </c>
      <c r="AE9" s="39" t="s">
        <v>44</v>
      </c>
      <c r="AF9" s="45">
        <f>AF7/AF8</f>
        <v>7.5263112107889121E-2</v>
      </c>
    </row>
    <row r="10" spans="1:32" x14ac:dyDescent="0.25">
      <c r="A10" s="18">
        <v>43252</v>
      </c>
      <c r="B10" s="27" t="s">
        <v>72</v>
      </c>
      <c r="C10" s="27" t="s">
        <v>68</v>
      </c>
      <c r="D10" s="27" t="s">
        <v>69</v>
      </c>
      <c r="E10" s="27" t="s">
        <v>70</v>
      </c>
      <c r="F10" s="30">
        <v>56.85</v>
      </c>
      <c r="G10" s="31">
        <v>43364</v>
      </c>
      <c r="H10" s="28">
        <v>105</v>
      </c>
      <c r="I10" s="30">
        <v>0.3</v>
      </c>
      <c r="J10" s="30">
        <v>57.5</v>
      </c>
      <c r="K10" s="30">
        <v>1.87</v>
      </c>
      <c r="L10" s="30">
        <v>54.680000000000007</v>
      </c>
      <c r="M10" s="31">
        <v>43259</v>
      </c>
      <c r="N10" s="31"/>
      <c r="O10" s="30">
        <v>53.13</v>
      </c>
      <c r="P10" s="35">
        <f>O10/L10-1</f>
        <v>-2.8346744696415627E-2</v>
      </c>
      <c r="Q10" s="15">
        <f ca="1">G10-TODAY()</f>
        <v>30</v>
      </c>
      <c r="R10" s="30">
        <v>0.06</v>
      </c>
      <c r="S10" s="47">
        <f>IF(B10="C",(O10-F10)+(K10-R10),K10-R10)</f>
        <v>-1.9099999999999988</v>
      </c>
      <c r="T10" s="30">
        <f>IF(B10="C",J10-L10+I10,J10-L10)</f>
        <v>3.119999999999993</v>
      </c>
      <c r="U10" s="63">
        <f t="shared" ref="U10:U15" si="0">(T10-S10)/T10</f>
        <v>1.6121794871794883</v>
      </c>
      <c r="V10" s="15">
        <v>3</v>
      </c>
      <c r="W10" s="17">
        <f>IF(V10&lt;&gt;0,100*V10*L10,0)</f>
        <v>16404.000000000004</v>
      </c>
      <c r="X10" s="17"/>
      <c r="Y10" s="61">
        <f>T10*V10*100</f>
        <v>935.99999999999784</v>
      </c>
      <c r="Z10" s="17" t="s">
        <v>46</v>
      </c>
      <c r="AA10" s="46">
        <f>IF(Z10="Y",Y10,0)</f>
        <v>0</v>
      </c>
      <c r="AB10" s="46">
        <f>IF(Z10="N",100*V10*S10,0)</f>
        <v>-572.99999999999966</v>
      </c>
    </row>
    <row r="11" spans="1:32" x14ac:dyDescent="0.25">
      <c r="A11" s="18">
        <v>43252</v>
      </c>
      <c r="B11" s="18" t="s">
        <v>72</v>
      </c>
      <c r="C11" s="3" t="s">
        <v>4</v>
      </c>
      <c r="D11" s="3" t="s">
        <v>5</v>
      </c>
      <c r="E11" s="3" t="s">
        <v>6</v>
      </c>
      <c r="F11" s="5">
        <v>35.116999999999997</v>
      </c>
      <c r="G11" s="6">
        <v>43392</v>
      </c>
      <c r="H11" s="4">
        <f>G11-M11</f>
        <v>162</v>
      </c>
      <c r="I11" s="5">
        <v>0.16</v>
      </c>
      <c r="J11" s="5">
        <v>35</v>
      </c>
      <c r="K11" s="5">
        <v>2.4</v>
      </c>
      <c r="L11" s="5">
        <v>32.557000000000002</v>
      </c>
      <c r="M11" s="6">
        <v>43230</v>
      </c>
      <c r="N11" s="6"/>
      <c r="O11" s="5">
        <v>41.96</v>
      </c>
      <c r="P11" s="12">
        <f>O11/L11-1</f>
        <v>0.2888165371502287</v>
      </c>
      <c r="Q11" s="15">
        <f ca="1">G11-TODAY()</f>
        <v>58</v>
      </c>
      <c r="R11" s="5">
        <v>7.5</v>
      </c>
      <c r="S11" s="47">
        <f>IF(B11="C",(O11-F11)+(K11-R11),K11-R11)</f>
        <v>1.7430000000000039</v>
      </c>
      <c r="T11" s="5">
        <f>IF(B11="C",J11-L11+I11,J11-L11)</f>
        <v>2.602999999999998</v>
      </c>
      <c r="U11" s="63">
        <f t="shared" si="0"/>
        <v>0.33038801383019389</v>
      </c>
      <c r="V11" s="15">
        <v>4</v>
      </c>
      <c r="W11" s="17">
        <f>IF(V11&lt;&gt;0,100*V11*L11,0)</f>
        <v>13022.800000000001</v>
      </c>
      <c r="X11" s="17"/>
      <c r="Y11" s="61">
        <f>T11*V11*100</f>
        <v>1041.1999999999991</v>
      </c>
      <c r="Z11" s="17" t="s">
        <v>46</v>
      </c>
      <c r="AA11" s="46">
        <f>IF(Z11="Y",Y11,0)</f>
        <v>0</v>
      </c>
      <c r="AB11" s="46">
        <f>IF(Z11="N",100*V11*S11,0)</f>
        <v>697.20000000000152</v>
      </c>
    </row>
    <row r="12" spans="1:32" x14ac:dyDescent="0.25">
      <c r="A12" s="18">
        <v>43221</v>
      </c>
      <c r="B12" s="18" t="s">
        <v>72</v>
      </c>
      <c r="C12" s="3" t="s">
        <v>19</v>
      </c>
      <c r="D12" s="3" t="s">
        <v>20</v>
      </c>
      <c r="E12" s="3" t="s">
        <v>21</v>
      </c>
      <c r="F12" s="5">
        <v>101.85</v>
      </c>
      <c r="G12" s="6">
        <v>43392</v>
      </c>
      <c r="H12" s="4">
        <f>G12-M12</f>
        <v>162</v>
      </c>
      <c r="I12" s="5">
        <v>0.84</v>
      </c>
      <c r="J12" s="5">
        <v>100</v>
      </c>
      <c r="K12" s="5">
        <v>6.65</v>
      </c>
      <c r="L12" s="5">
        <v>94.359999999999985</v>
      </c>
      <c r="M12" s="6">
        <v>43230</v>
      </c>
      <c r="N12" s="6"/>
      <c r="O12" s="5">
        <v>112.1</v>
      </c>
      <c r="P12" s="12">
        <f>O12/L12-1</f>
        <v>0.18800339126748633</v>
      </c>
      <c r="Q12" s="15">
        <f ca="1">G12-TODAY()</f>
        <v>58</v>
      </c>
      <c r="R12" s="5">
        <v>12.95</v>
      </c>
      <c r="S12" s="47">
        <f>IF(B12="C",(O12-F12)+(K12-R12),K12-R12)</f>
        <v>3.9500000000000011</v>
      </c>
      <c r="T12" s="5">
        <f>IF(B12="C",J12-L12+I12,J12-L12)</f>
        <v>6.4800000000000146</v>
      </c>
      <c r="U12" s="63">
        <f t="shared" si="0"/>
        <v>0.39043209876543333</v>
      </c>
      <c r="V12" s="15">
        <v>2</v>
      </c>
      <c r="W12" s="17">
        <f>IF(V12&lt;&gt;0,100*V12*L12,0)</f>
        <v>18871.999999999996</v>
      </c>
      <c r="X12" s="17"/>
      <c r="Y12" s="61">
        <f>T12*V12*100</f>
        <v>1296.000000000003</v>
      </c>
      <c r="Z12" s="17" t="s">
        <v>46</v>
      </c>
      <c r="AA12" s="46">
        <f>IF(Z12="Y",Y12,0)</f>
        <v>0</v>
      </c>
      <c r="AB12" s="46">
        <f>IF(Z12="N",100*V12*S12,0)</f>
        <v>790.00000000000023</v>
      </c>
    </row>
    <row r="13" spans="1:32" x14ac:dyDescent="0.25">
      <c r="A13" s="18">
        <v>43221</v>
      </c>
      <c r="B13" s="18" t="s">
        <v>72</v>
      </c>
      <c r="C13" s="3" t="s">
        <v>28</v>
      </c>
      <c r="D13" s="3" t="s">
        <v>29</v>
      </c>
      <c r="E13" s="3" t="s">
        <v>30</v>
      </c>
      <c r="F13" s="5">
        <v>11.7486</v>
      </c>
      <c r="G13" s="6">
        <v>43392</v>
      </c>
      <c r="H13" s="4">
        <f>G13-M13</f>
        <v>162</v>
      </c>
      <c r="I13" s="5">
        <v>0.17</v>
      </c>
      <c r="J13" s="5">
        <v>12</v>
      </c>
      <c r="K13" s="5">
        <v>0.5</v>
      </c>
      <c r="L13" s="5">
        <v>11.0786</v>
      </c>
      <c r="M13" s="6">
        <v>43230</v>
      </c>
      <c r="N13" s="6"/>
      <c r="O13" s="5">
        <v>11.02</v>
      </c>
      <c r="P13" s="12">
        <f>O13/L13-1</f>
        <v>-5.2894770097304811E-3</v>
      </c>
      <c r="Q13" s="15">
        <f ca="1">G13-TODAY()</f>
        <v>58</v>
      </c>
      <c r="R13" s="5">
        <v>0.1</v>
      </c>
      <c r="S13" s="47">
        <f>IF(B13="C",(O13-F13)+(K13-R13),K13-R13)</f>
        <v>-0.32860000000000011</v>
      </c>
      <c r="T13" s="5">
        <f>IF(B13="C",J13-L13+I13,J13-L13)</f>
        <v>1.0914000000000001</v>
      </c>
      <c r="U13" s="63">
        <f t="shared" si="0"/>
        <v>1.3010811801356059</v>
      </c>
      <c r="V13" s="15">
        <v>10</v>
      </c>
      <c r="W13" s="17">
        <f>IF(V13&lt;&gt;0,100*V13*L13,0)</f>
        <v>11078.6</v>
      </c>
      <c r="X13" s="17"/>
      <c r="Y13" s="61">
        <f>T13*V13*100</f>
        <v>1091.4000000000001</v>
      </c>
      <c r="Z13" s="17" t="s">
        <v>46</v>
      </c>
      <c r="AA13" s="46">
        <f>IF(Z13="Y",Y13,0)</f>
        <v>0</v>
      </c>
      <c r="AB13" s="46">
        <f>IF(Z13="N",100*V13*S13,0)</f>
        <v>-328.60000000000014</v>
      </c>
    </row>
    <row r="14" spans="1:32" x14ac:dyDescent="0.25">
      <c r="A14" s="18">
        <v>43221</v>
      </c>
      <c r="B14" s="18" t="s">
        <v>72</v>
      </c>
      <c r="C14" s="3" t="s">
        <v>31</v>
      </c>
      <c r="D14" s="3" t="s">
        <v>32</v>
      </c>
      <c r="E14" s="3" t="s">
        <v>33</v>
      </c>
      <c r="F14" s="5">
        <v>60.3</v>
      </c>
      <c r="G14" s="6">
        <v>43392</v>
      </c>
      <c r="H14" s="4">
        <f>G14-M14</f>
        <v>162</v>
      </c>
      <c r="I14" s="5">
        <v>0</v>
      </c>
      <c r="J14" s="5">
        <v>60</v>
      </c>
      <c r="K14" s="5">
        <v>4.9000000000000004</v>
      </c>
      <c r="L14" s="5">
        <v>55.4</v>
      </c>
      <c r="M14" s="6">
        <v>43230</v>
      </c>
      <c r="N14" s="6"/>
      <c r="O14" s="5">
        <v>61.7</v>
      </c>
      <c r="P14" s="12">
        <f>O14/L14-1</f>
        <v>0.11371841155234663</v>
      </c>
      <c r="Q14" s="15">
        <f ca="1">G14-TODAY()</f>
        <v>58</v>
      </c>
      <c r="R14" s="5">
        <v>3.5</v>
      </c>
      <c r="S14" s="47">
        <f>IF(B14="C",(O14-F14)+(K14-R14),K14-R14)</f>
        <v>2.800000000000006</v>
      </c>
      <c r="T14" s="5">
        <f>IF(B14="C",J14-L14+I14,J14-L14)</f>
        <v>4.6000000000000014</v>
      </c>
      <c r="U14" s="63">
        <f t="shared" si="0"/>
        <v>0.39130434782608581</v>
      </c>
      <c r="V14" s="15">
        <v>2</v>
      </c>
      <c r="W14" s="17">
        <f>IF(V14&lt;&gt;0,100*V14*L14,0)</f>
        <v>11080</v>
      </c>
      <c r="X14" s="17"/>
      <c r="Y14" s="61">
        <f>T14*V14*100</f>
        <v>920.00000000000023</v>
      </c>
      <c r="Z14" s="17" t="s">
        <v>46</v>
      </c>
      <c r="AA14" s="46">
        <f>IF(Z14="Y",Y14,0)</f>
        <v>0</v>
      </c>
      <c r="AB14" s="46">
        <f>IF(Z14="N",100*V14*S14,0)</f>
        <v>560.00000000000125</v>
      </c>
    </row>
    <row r="15" spans="1:32" x14ac:dyDescent="0.25">
      <c r="A15" s="18">
        <v>43252</v>
      </c>
      <c r="B15" s="33" t="s">
        <v>73</v>
      </c>
      <c r="C15" s="33" t="s">
        <v>52</v>
      </c>
      <c r="D15" s="33" t="s">
        <v>53</v>
      </c>
      <c r="E15" s="33" t="s">
        <v>54</v>
      </c>
      <c r="F15" s="30">
        <v>56.7</v>
      </c>
      <c r="G15" s="31">
        <v>43392</v>
      </c>
      <c r="H15" s="32">
        <v>133</v>
      </c>
      <c r="I15" s="30">
        <v>0.27500000000000002</v>
      </c>
      <c r="J15" s="30">
        <v>55</v>
      </c>
      <c r="K15" s="30">
        <v>3.1</v>
      </c>
      <c r="L15" s="30">
        <v>51.9</v>
      </c>
      <c r="M15" s="31">
        <v>43259</v>
      </c>
      <c r="N15" s="31"/>
      <c r="O15" s="30">
        <v>45.02</v>
      </c>
      <c r="P15" s="35">
        <f>O15/L15-1</f>
        <v>-0.132562620423892</v>
      </c>
      <c r="Q15" s="15">
        <f ca="1">G15-TODAY()</f>
        <v>58</v>
      </c>
      <c r="R15" s="30">
        <v>10.7</v>
      </c>
      <c r="S15" s="47">
        <f>IF(B15="C",(O15-F15)+(K15-R15),K15-R15)</f>
        <v>-7.6</v>
      </c>
      <c r="T15" s="30">
        <f>IF(B15="C",J15-L15+I15,J15-L15)</f>
        <v>3.1000000000000014</v>
      </c>
      <c r="U15" s="63">
        <f t="shared" si="0"/>
        <v>3.4516129032258052</v>
      </c>
      <c r="V15" s="15">
        <v>3</v>
      </c>
      <c r="W15" s="17">
        <f>IF(V15&lt;&gt;0,100*V15*L15,0)</f>
        <v>15570</v>
      </c>
      <c r="X15" s="17"/>
      <c r="Y15" s="61">
        <f>T15*V15*100</f>
        <v>930.00000000000045</v>
      </c>
      <c r="Z15" s="17" t="s">
        <v>46</v>
      </c>
      <c r="AA15" s="46">
        <f>IF(Z15="Y",Y15,0)</f>
        <v>0</v>
      </c>
      <c r="AB15" s="46">
        <f>IF(Z15="N",100*V15*S15,0)</f>
        <v>-2280</v>
      </c>
    </row>
    <row r="16" spans="1:32" x14ac:dyDescent="0.25">
      <c r="A16" s="19">
        <v>43252</v>
      </c>
      <c r="B16" s="21" t="s">
        <v>72</v>
      </c>
      <c r="C16" s="21" t="s">
        <v>63</v>
      </c>
      <c r="D16" s="21" t="s">
        <v>64</v>
      </c>
      <c r="E16" s="21" t="s">
        <v>12</v>
      </c>
      <c r="F16" s="23">
        <v>41.65</v>
      </c>
      <c r="G16" s="24">
        <v>43392</v>
      </c>
      <c r="H16" s="26">
        <v>140</v>
      </c>
      <c r="I16" s="23">
        <v>0.96</v>
      </c>
      <c r="J16" s="23">
        <v>40</v>
      </c>
      <c r="K16" s="23">
        <v>2.35</v>
      </c>
      <c r="L16" s="23">
        <v>38.339999999999996</v>
      </c>
      <c r="M16" s="22"/>
      <c r="N16" s="22"/>
      <c r="O16" s="23">
        <v>41.35</v>
      </c>
      <c r="P16" s="34">
        <f>O16/L16-1</f>
        <v>7.8508085550339279E-2</v>
      </c>
      <c r="Q16" s="16">
        <f ca="1">G16-TODAY()</f>
        <v>58</v>
      </c>
      <c r="R16" s="23"/>
      <c r="S16" s="23"/>
      <c r="T16" s="23">
        <f>J16-L16+I16</f>
        <v>2.6200000000000037</v>
      </c>
      <c r="U16" s="23"/>
      <c r="V16" s="25"/>
      <c r="W16" s="44">
        <f>IF(V16&lt;&gt;0,100*V16*L16,0)</f>
        <v>0</v>
      </c>
      <c r="X16" s="25"/>
      <c r="Y16" s="38">
        <f>T16*V16*100</f>
        <v>0</v>
      </c>
      <c r="Z16" s="36" t="s">
        <v>46</v>
      </c>
      <c r="AA16" s="38">
        <f>IF(Z16="Y",Y16,0)</f>
        <v>0</v>
      </c>
      <c r="AB16" s="38">
        <f>IF(Z16="N",100*V16*S16,0)</f>
        <v>0</v>
      </c>
    </row>
    <row r="17" spans="1:28" x14ac:dyDescent="0.25">
      <c r="A17" s="19">
        <v>43282</v>
      </c>
      <c r="B17" s="21" t="s">
        <v>72</v>
      </c>
      <c r="C17" s="21" t="s">
        <v>81</v>
      </c>
      <c r="D17" s="21" t="s">
        <v>82</v>
      </c>
      <c r="E17" s="21" t="s">
        <v>83</v>
      </c>
      <c r="F17" s="23">
        <v>77.14</v>
      </c>
      <c r="G17" s="24">
        <v>43392</v>
      </c>
      <c r="H17" s="26">
        <v>98</v>
      </c>
      <c r="I17" s="23">
        <v>0</v>
      </c>
      <c r="J17" s="23">
        <v>77.5</v>
      </c>
      <c r="K17" s="23">
        <v>4.4000000000000004</v>
      </c>
      <c r="L17" s="23">
        <v>72.739999999999995</v>
      </c>
      <c r="M17" s="22"/>
      <c r="N17" s="22"/>
      <c r="O17" s="23">
        <v>75.430000000000007</v>
      </c>
      <c r="P17" s="34">
        <f>O17/L17-1</f>
        <v>3.698102832004424E-2</v>
      </c>
      <c r="Q17" s="16">
        <f ca="1">G17-TODAY()</f>
        <v>58</v>
      </c>
      <c r="R17" s="23"/>
      <c r="S17" s="23"/>
      <c r="T17" s="23">
        <f>J17-L17+I17</f>
        <v>4.7600000000000051</v>
      </c>
      <c r="U17" s="23"/>
      <c r="V17" s="25"/>
      <c r="W17" s="44"/>
      <c r="X17" s="25"/>
      <c r="Y17" s="38">
        <f>T17*V17*100</f>
        <v>0</v>
      </c>
      <c r="Z17" s="36"/>
      <c r="AA17" s="38"/>
      <c r="AB17" s="38">
        <f>IF(Z17="N",100*V17*S17,0)</f>
        <v>0</v>
      </c>
    </row>
    <row r="18" spans="1:28" x14ac:dyDescent="0.25">
      <c r="A18" s="19">
        <v>43313</v>
      </c>
      <c r="B18" s="21" t="s">
        <v>72</v>
      </c>
      <c r="C18" s="21" t="s">
        <v>28</v>
      </c>
      <c r="D18" s="21" t="s">
        <v>29</v>
      </c>
      <c r="E18" s="21" t="s">
        <v>30</v>
      </c>
      <c r="F18" s="23">
        <v>10.66</v>
      </c>
      <c r="G18" s="24">
        <v>43392</v>
      </c>
      <c r="H18" s="26">
        <v>72</v>
      </c>
      <c r="I18" s="23">
        <v>0</v>
      </c>
      <c r="J18" s="23">
        <v>11</v>
      </c>
      <c r="K18" s="23">
        <v>0.2</v>
      </c>
      <c r="L18" s="23">
        <v>10.46</v>
      </c>
      <c r="M18" s="22"/>
      <c r="N18" s="22"/>
      <c r="O18" s="23">
        <v>11.02</v>
      </c>
      <c r="P18" s="34">
        <f>O18/L18-1</f>
        <v>5.3537284894837445E-2</v>
      </c>
      <c r="Q18" s="16">
        <f ca="1">G18-TODAY()</f>
        <v>58</v>
      </c>
      <c r="R18" s="23"/>
      <c r="S18" s="23"/>
      <c r="T18" s="23">
        <f>J18-L18+I18</f>
        <v>0.53999999999999915</v>
      </c>
      <c r="U18" s="23"/>
      <c r="V18" s="25"/>
      <c r="W18" s="44"/>
      <c r="X18" s="25"/>
      <c r="Y18" s="38">
        <f>T18*V18*100</f>
        <v>0</v>
      </c>
      <c r="Z18" s="36"/>
      <c r="AA18" s="38"/>
      <c r="AB18" s="38">
        <f>IF(Z18="N",100*V18*S18,0)</f>
        <v>0</v>
      </c>
    </row>
    <row r="19" spans="1:28" x14ac:dyDescent="0.25">
      <c r="A19" s="66">
        <v>43252</v>
      </c>
      <c r="B19" s="67" t="s">
        <v>72</v>
      </c>
      <c r="C19" s="67" t="s">
        <v>49</v>
      </c>
      <c r="D19" s="67" t="s">
        <v>50</v>
      </c>
      <c r="E19" s="67" t="s">
        <v>51</v>
      </c>
      <c r="F19" s="68">
        <v>43.78</v>
      </c>
      <c r="G19" s="69">
        <v>43420</v>
      </c>
      <c r="H19" s="78">
        <v>168</v>
      </c>
      <c r="I19" s="68">
        <v>0.1</v>
      </c>
      <c r="J19" s="68">
        <v>45</v>
      </c>
      <c r="K19" s="68">
        <v>3.4</v>
      </c>
      <c r="L19" s="68">
        <v>40.28</v>
      </c>
      <c r="M19" s="71"/>
      <c r="N19" s="71"/>
      <c r="O19" s="68">
        <v>39.53</v>
      </c>
      <c r="P19" s="72">
        <f>O19/L19-1</f>
        <v>-1.8619662363455802E-2</v>
      </c>
      <c r="Q19" s="73">
        <f ca="1">G19-TODAY()</f>
        <v>86</v>
      </c>
      <c r="R19" s="68"/>
      <c r="S19" s="68"/>
      <c r="T19" s="68">
        <f>J19-L19+I19</f>
        <v>4.8199999999999985</v>
      </c>
      <c r="U19" s="68"/>
      <c r="V19" s="74"/>
      <c r="W19" s="75">
        <f>IF(V19&lt;&gt;0,100*V19*L19,0)</f>
        <v>0</v>
      </c>
      <c r="X19" s="74"/>
      <c r="Y19" s="76">
        <f>T19*V19*100</f>
        <v>0</v>
      </c>
      <c r="Z19" s="77" t="s">
        <v>46</v>
      </c>
      <c r="AA19" s="76">
        <f>IF(Z19="Y",Y19,0)</f>
        <v>0</v>
      </c>
      <c r="AB19" s="76">
        <f>IF(Z19="N",100*V19*S19,0)</f>
        <v>0</v>
      </c>
    </row>
    <row r="20" spans="1:28" x14ac:dyDescent="0.25">
      <c r="A20" s="18">
        <v>43252</v>
      </c>
      <c r="B20" s="33" t="s">
        <v>73</v>
      </c>
      <c r="C20" s="33" t="s">
        <v>55</v>
      </c>
      <c r="D20" s="33" t="s">
        <v>55</v>
      </c>
      <c r="E20" s="33" t="s">
        <v>56</v>
      </c>
      <c r="F20" s="30">
        <v>8.17</v>
      </c>
      <c r="G20" s="31">
        <v>43420</v>
      </c>
      <c r="H20" s="32">
        <v>161</v>
      </c>
      <c r="I20" s="30">
        <v>3.5000000000000003E-2</v>
      </c>
      <c r="J20" s="30">
        <v>7.5</v>
      </c>
      <c r="K20" s="30">
        <v>0.8</v>
      </c>
      <c r="L20" s="30">
        <v>6.7</v>
      </c>
      <c r="M20" s="31">
        <v>43259</v>
      </c>
      <c r="N20" s="31"/>
      <c r="O20" s="30">
        <v>8.8699999999999992</v>
      </c>
      <c r="P20" s="35">
        <f>O20/L20-1</f>
        <v>0.32388059701492522</v>
      </c>
      <c r="Q20" s="15">
        <f ca="1">G20-TODAY()</f>
        <v>86</v>
      </c>
      <c r="R20" s="30">
        <v>0.25</v>
      </c>
      <c r="S20" s="30">
        <f>IF(B20="C",(O20-F20)+(K20-R20),K20-R20)</f>
        <v>0.55000000000000004</v>
      </c>
      <c r="T20" s="30">
        <f>IF(B20="C",J20-L20+I20,J20-L20)</f>
        <v>0.79999999999999982</v>
      </c>
      <c r="U20" s="63">
        <f t="shared" ref="U20:U21" si="1">(T20-S20)/T20</f>
        <v>0.31249999999999978</v>
      </c>
      <c r="V20" s="15">
        <v>20</v>
      </c>
      <c r="W20" s="17">
        <f>IF(V20&lt;&gt;0,100*V20*L20,0)</f>
        <v>13400</v>
      </c>
      <c r="X20" s="17"/>
      <c r="Y20" s="61">
        <f>T20*V20*100</f>
        <v>1599.9999999999995</v>
      </c>
      <c r="Z20" s="17" t="s">
        <v>46</v>
      </c>
      <c r="AA20" s="46">
        <f>IF(Z20="Y",Y20,0)</f>
        <v>0</v>
      </c>
      <c r="AB20" s="46">
        <f>IF(Z20="N",100*V20*S20,0)</f>
        <v>1100</v>
      </c>
    </row>
    <row r="21" spans="1:28" x14ac:dyDescent="0.25">
      <c r="A21" s="18">
        <v>43252</v>
      </c>
      <c r="B21" s="27" t="s">
        <v>72</v>
      </c>
      <c r="C21" s="27" t="s">
        <v>65</v>
      </c>
      <c r="D21" s="27" t="s">
        <v>66</v>
      </c>
      <c r="E21" s="27" t="s">
        <v>67</v>
      </c>
      <c r="F21" s="30">
        <v>18.5</v>
      </c>
      <c r="G21" s="31">
        <v>43420</v>
      </c>
      <c r="H21" s="29">
        <v>161</v>
      </c>
      <c r="I21" s="30">
        <v>0</v>
      </c>
      <c r="J21" s="30">
        <v>19</v>
      </c>
      <c r="K21" s="30">
        <v>1.22</v>
      </c>
      <c r="L21" s="30">
        <v>17.28</v>
      </c>
      <c r="M21" s="31">
        <v>43259</v>
      </c>
      <c r="N21" s="31"/>
      <c r="O21" s="30">
        <v>17.940000000000001</v>
      </c>
      <c r="P21" s="35">
        <f>O21/L21-1</f>
        <v>3.819444444444442E-2</v>
      </c>
      <c r="Q21" s="15">
        <f ca="1">G21-TODAY()</f>
        <v>86</v>
      </c>
      <c r="R21" s="30">
        <v>0.6</v>
      </c>
      <c r="S21" s="30">
        <f>IF(B21="C",(O21-F21)+(K21-R21),K21-R21)</f>
        <v>6.0000000000001275E-2</v>
      </c>
      <c r="T21" s="30">
        <f>IF(B21="C",J21-L21+I21,J21-L21)</f>
        <v>1.7199999999999989</v>
      </c>
      <c r="U21" s="63">
        <f t="shared" si="1"/>
        <v>0.9651162790697666</v>
      </c>
      <c r="V21" s="15">
        <v>9</v>
      </c>
      <c r="W21" s="17">
        <f>IF(V21&lt;&gt;0,100*V21*L21,0)</f>
        <v>15552.000000000002</v>
      </c>
      <c r="X21" s="17"/>
      <c r="Y21" s="61">
        <f>T21*V21*100</f>
        <v>1547.9999999999991</v>
      </c>
      <c r="Z21" s="17" t="s">
        <v>46</v>
      </c>
      <c r="AA21" s="46">
        <f>IF(Z21="Y",Y21,0)</f>
        <v>0</v>
      </c>
      <c r="AB21" s="46">
        <f>IF(Z21="N",100*V21*S21,0)</f>
        <v>54.000000000001144</v>
      </c>
    </row>
    <row r="22" spans="1:28" x14ac:dyDescent="0.25">
      <c r="A22" s="66">
        <v>43313</v>
      </c>
      <c r="B22" s="67" t="s">
        <v>72</v>
      </c>
      <c r="C22" s="67" t="s">
        <v>103</v>
      </c>
      <c r="D22" s="67" t="s">
        <v>103</v>
      </c>
      <c r="E22" s="67" t="s">
        <v>21</v>
      </c>
      <c r="F22" s="68">
        <v>53.2</v>
      </c>
      <c r="G22" s="69">
        <v>43420</v>
      </c>
      <c r="H22" s="70">
        <v>100</v>
      </c>
      <c r="I22" s="68">
        <v>0.18</v>
      </c>
      <c r="J22" s="68">
        <v>55</v>
      </c>
      <c r="K22" s="68">
        <v>2.31</v>
      </c>
      <c r="L22" s="68">
        <v>50.71</v>
      </c>
      <c r="M22" s="71"/>
      <c r="N22" s="71"/>
      <c r="O22" s="68">
        <v>53.69</v>
      </c>
      <c r="P22" s="72">
        <f>O22/L22-1</f>
        <v>5.8765529481364487E-2</v>
      </c>
      <c r="Q22" s="73">
        <f ca="1">G22-TODAY()</f>
        <v>86</v>
      </c>
      <c r="R22" s="68"/>
      <c r="S22" s="68"/>
      <c r="T22" s="68">
        <f>J22-L22+I22</f>
        <v>4.4699999999999989</v>
      </c>
      <c r="U22" s="68"/>
      <c r="V22" s="74"/>
      <c r="W22" s="75"/>
      <c r="X22" s="74"/>
      <c r="Y22" s="76">
        <f>T22*V22*100</f>
        <v>0</v>
      </c>
      <c r="Z22" s="77"/>
      <c r="AA22" s="76"/>
      <c r="AB22" s="76"/>
    </row>
    <row r="23" spans="1:28" x14ac:dyDescent="0.25">
      <c r="A23" s="66">
        <v>43313</v>
      </c>
      <c r="B23" s="67" t="s">
        <v>72</v>
      </c>
      <c r="C23" s="67" t="s">
        <v>104</v>
      </c>
      <c r="D23" s="67" t="s">
        <v>105</v>
      </c>
      <c r="E23" s="67" t="s">
        <v>106</v>
      </c>
      <c r="F23" s="68">
        <v>35.020000000000003</v>
      </c>
      <c r="G23" s="69">
        <v>43420</v>
      </c>
      <c r="H23" s="70">
        <v>100</v>
      </c>
      <c r="I23" s="68">
        <v>0.19</v>
      </c>
      <c r="J23" s="68">
        <v>35</v>
      </c>
      <c r="K23" s="68">
        <v>1.77</v>
      </c>
      <c r="L23" s="68">
        <v>33.06</v>
      </c>
      <c r="M23" s="71"/>
      <c r="N23" s="71"/>
      <c r="O23" s="68">
        <v>35.56</v>
      </c>
      <c r="P23" s="72">
        <f>O23/L23-1</f>
        <v>7.5620084694494771E-2</v>
      </c>
      <c r="Q23" s="73">
        <f ca="1">G23-TODAY()</f>
        <v>86</v>
      </c>
      <c r="R23" s="68"/>
      <c r="S23" s="68"/>
      <c r="T23" s="68">
        <f>J23-L23+I23</f>
        <v>2.1299999999999977</v>
      </c>
      <c r="U23" s="68"/>
      <c r="V23" s="74"/>
      <c r="W23" s="75"/>
      <c r="X23" s="74"/>
      <c r="Y23" s="76">
        <f>T23*V23*100</f>
        <v>0</v>
      </c>
      <c r="Z23" s="77"/>
      <c r="AA23" s="76"/>
      <c r="AB23" s="76"/>
    </row>
    <row r="24" spans="1:28" x14ac:dyDescent="0.25">
      <c r="A24" s="19">
        <v>43313</v>
      </c>
      <c r="B24" s="21" t="s">
        <v>72</v>
      </c>
      <c r="C24" s="21" t="s">
        <v>107</v>
      </c>
      <c r="D24" s="21" t="s">
        <v>108</v>
      </c>
      <c r="E24" s="21" t="s">
        <v>18</v>
      </c>
      <c r="F24" s="23">
        <v>78.75</v>
      </c>
      <c r="G24" s="24">
        <v>43420</v>
      </c>
      <c r="H24" s="26">
        <v>100</v>
      </c>
      <c r="I24" s="23">
        <v>0</v>
      </c>
      <c r="J24" s="23">
        <v>80</v>
      </c>
      <c r="K24" s="23">
        <v>4.95</v>
      </c>
      <c r="L24" s="23">
        <v>73.8</v>
      </c>
      <c r="M24" s="22"/>
      <c r="N24" s="22"/>
      <c r="O24" s="23">
        <v>87.81</v>
      </c>
      <c r="P24" s="34">
        <f>O24/L24-1</f>
        <v>0.18983739837398383</v>
      </c>
      <c r="Q24" s="16">
        <f ca="1">G24-TODAY()</f>
        <v>86</v>
      </c>
      <c r="R24" s="23"/>
      <c r="S24" s="23"/>
      <c r="T24" s="23">
        <f>J24-L24+I24</f>
        <v>6.2000000000000028</v>
      </c>
      <c r="U24" s="23"/>
      <c r="V24" s="25"/>
      <c r="W24" s="44"/>
      <c r="X24" s="25"/>
      <c r="Y24" s="38">
        <f>T24*V24*100</f>
        <v>0</v>
      </c>
      <c r="Z24" s="36"/>
      <c r="AA24" s="38"/>
      <c r="AB24" s="38"/>
    </row>
    <row r="25" spans="1:28" x14ac:dyDescent="0.25">
      <c r="A25" s="19">
        <v>43313</v>
      </c>
      <c r="B25" s="21" t="s">
        <v>72</v>
      </c>
      <c r="C25" s="21" t="s">
        <v>109</v>
      </c>
      <c r="D25" s="21" t="s">
        <v>110</v>
      </c>
      <c r="E25" s="21" t="s">
        <v>24</v>
      </c>
      <c r="F25" s="23">
        <v>102.24</v>
      </c>
      <c r="G25" s="24">
        <v>43420</v>
      </c>
      <c r="H25" s="26">
        <v>100</v>
      </c>
      <c r="I25" s="23">
        <v>0.5625</v>
      </c>
      <c r="J25" s="23">
        <v>105</v>
      </c>
      <c r="K25" s="23">
        <v>3.25</v>
      </c>
      <c r="L25" s="23">
        <v>98.427499999999995</v>
      </c>
      <c r="M25" s="22"/>
      <c r="N25" s="22"/>
      <c r="O25" s="23">
        <v>104.86</v>
      </c>
      <c r="P25" s="34">
        <f>O25/L25-1</f>
        <v>6.5352670747504504E-2</v>
      </c>
      <c r="Q25" s="16">
        <f ca="1">G25-TODAY()</f>
        <v>86</v>
      </c>
      <c r="R25" s="23"/>
      <c r="S25" s="23"/>
      <c r="T25" s="23">
        <f>J25-L25+I25</f>
        <v>7.1350000000000051</v>
      </c>
      <c r="U25" s="23"/>
      <c r="V25" s="25"/>
      <c r="W25" s="44"/>
      <c r="X25" s="25"/>
      <c r="Y25" s="38">
        <f>T25*V25*100</f>
        <v>0</v>
      </c>
      <c r="Z25" s="36"/>
      <c r="AA25" s="38"/>
      <c r="AB25" s="38"/>
    </row>
    <row r="26" spans="1:28" x14ac:dyDescent="0.25">
      <c r="A26" s="19">
        <v>43313</v>
      </c>
      <c r="B26" s="21" t="s">
        <v>73</v>
      </c>
      <c r="C26" s="21" t="s">
        <v>114</v>
      </c>
      <c r="D26" s="21" t="s">
        <v>115</v>
      </c>
      <c r="E26" s="21" t="s">
        <v>116</v>
      </c>
      <c r="F26" s="23">
        <v>80.62</v>
      </c>
      <c r="G26" s="24">
        <v>43420</v>
      </c>
      <c r="H26" s="26">
        <v>100</v>
      </c>
      <c r="I26" s="23">
        <v>0.82</v>
      </c>
      <c r="J26" s="23">
        <v>80</v>
      </c>
      <c r="K26" s="23">
        <v>2.97</v>
      </c>
      <c r="L26" s="23">
        <v>77.03</v>
      </c>
      <c r="M26" s="22"/>
      <c r="N26" s="22"/>
      <c r="O26" s="23">
        <v>79.790000000000006</v>
      </c>
      <c r="P26" s="34">
        <f>O26/L26-1</f>
        <v>3.5830196027521799E-2</v>
      </c>
      <c r="Q26" s="16">
        <f ca="1">G26-TODAY()</f>
        <v>86</v>
      </c>
      <c r="R26" s="23"/>
      <c r="S26" s="23"/>
      <c r="T26" s="23">
        <f>J26-L26+I26</f>
        <v>3.7899999999999987</v>
      </c>
      <c r="U26" s="23"/>
      <c r="V26" s="25"/>
      <c r="W26" s="44"/>
      <c r="X26" s="25"/>
      <c r="Y26" s="38">
        <f>T26*V26*100</f>
        <v>0</v>
      </c>
      <c r="Z26" s="36"/>
      <c r="AA26" s="38"/>
      <c r="AB26" s="38"/>
    </row>
    <row r="27" spans="1:28" x14ac:dyDescent="0.25">
      <c r="A27" s="19">
        <v>43282</v>
      </c>
      <c r="B27" s="21" t="s">
        <v>72</v>
      </c>
      <c r="C27" s="21" t="s">
        <v>90</v>
      </c>
      <c r="D27" s="21" t="s">
        <v>91</v>
      </c>
      <c r="E27" s="21" t="s">
        <v>6</v>
      </c>
      <c r="F27" s="23">
        <v>13.98</v>
      </c>
      <c r="G27" s="24">
        <v>43455</v>
      </c>
      <c r="H27" s="26">
        <v>161</v>
      </c>
      <c r="I27" s="23">
        <v>0.12</v>
      </c>
      <c r="J27" s="23">
        <v>14</v>
      </c>
      <c r="K27" s="23">
        <v>1.05</v>
      </c>
      <c r="L27" s="23">
        <v>12.81</v>
      </c>
      <c r="M27" s="22"/>
      <c r="N27" s="22"/>
      <c r="O27" s="23">
        <v>12.56</v>
      </c>
      <c r="P27" s="34">
        <f>O27/L27-1</f>
        <v>-1.9516003122560521E-2</v>
      </c>
      <c r="Q27" s="16">
        <f ca="1">G27-TODAY()</f>
        <v>121</v>
      </c>
      <c r="R27" s="23"/>
      <c r="S27" s="23"/>
      <c r="T27" s="23">
        <f>J27-L27+I27</f>
        <v>1.3099999999999996</v>
      </c>
      <c r="U27" s="23"/>
      <c r="V27" s="25"/>
      <c r="W27" s="44"/>
      <c r="X27" s="25"/>
      <c r="Y27" s="38">
        <f>T27*V27*100</f>
        <v>0</v>
      </c>
      <c r="Z27" s="36"/>
      <c r="AA27" s="38"/>
      <c r="AB27" s="38"/>
    </row>
    <row r="28" spans="1:28" x14ac:dyDescent="0.25">
      <c r="A28" s="18">
        <v>43282</v>
      </c>
      <c r="B28" s="27" t="s">
        <v>72</v>
      </c>
      <c r="C28" s="27" t="s">
        <v>98</v>
      </c>
      <c r="D28" s="27" t="s">
        <v>99</v>
      </c>
      <c r="E28" s="27" t="s">
        <v>100</v>
      </c>
      <c r="F28" s="30">
        <v>21.649000000000001</v>
      </c>
      <c r="G28" s="31">
        <v>43455</v>
      </c>
      <c r="H28" s="29">
        <v>161</v>
      </c>
      <c r="I28" s="30">
        <v>0.23</v>
      </c>
      <c r="J28" s="30">
        <v>22</v>
      </c>
      <c r="K28" s="30">
        <v>1.46</v>
      </c>
      <c r="L28" s="30">
        <f>J28-K28-I28</f>
        <v>20.309999999999999</v>
      </c>
      <c r="M28" s="28"/>
      <c r="N28" s="28"/>
      <c r="O28" s="30">
        <v>21.66</v>
      </c>
      <c r="P28" s="35">
        <f>O28/L28-1</f>
        <v>6.6469719350073841E-2</v>
      </c>
      <c r="Q28" s="15">
        <f ca="1">G28-TODAY()</f>
        <v>121</v>
      </c>
      <c r="R28" s="30"/>
      <c r="S28" s="30"/>
      <c r="T28" s="30">
        <f>J28-L28+I28</f>
        <v>1.9200000000000013</v>
      </c>
      <c r="U28" s="30"/>
      <c r="V28" s="65">
        <v>7</v>
      </c>
      <c r="W28" s="17">
        <f>IF(V28&lt;&gt;0,100*V28*L28,0)</f>
        <v>14217</v>
      </c>
      <c r="X28" s="61"/>
      <c r="Y28" s="46">
        <f>T28*V28*100</f>
        <v>1344.0000000000009</v>
      </c>
      <c r="Z28" s="64"/>
      <c r="AA28" s="46"/>
      <c r="AB28" s="46"/>
    </row>
    <row r="29" spans="1:28" x14ac:dyDescent="0.25">
      <c r="A29" s="19">
        <v>43313</v>
      </c>
      <c r="B29" s="21" t="s">
        <v>72</v>
      </c>
      <c r="C29" s="21" t="s">
        <v>101</v>
      </c>
      <c r="D29" s="21" t="s">
        <v>102</v>
      </c>
      <c r="E29" s="21" t="s">
        <v>9</v>
      </c>
      <c r="F29" s="23">
        <v>732.68</v>
      </c>
      <c r="G29" s="24">
        <v>43455</v>
      </c>
      <c r="H29" s="26">
        <v>135</v>
      </c>
      <c r="I29" s="23">
        <v>0</v>
      </c>
      <c r="J29" s="23">
        <v>740</v>
      </c>
      <c r="K29" s="23">
        <v>44.9</v>
      </c>
      <c r="L29" s="23">
        <v>687.78</v>
      </c>
      <c r="M29" s="22"/>
      <c r="N29" s="22"/>
      <c r="O29" s="23">
        <v>763</v>
      </c>
      <c r="P29" s="34">
        <f>O29/L29-1</f>
        <v>0.10936636715228709</v>
      </c>
      <c r="Q29" s="16">
        <f ca="1">G29-TODAY()</f>
        <v>121</v>
      </c>
      <c r="R29" s="23"/>
      <c r="S29" s="23"/>
      <c r="T29" s="23">
        <f>J29-L29+I29</f>
        <v>52.220000000000027</v>
      </c>
      <c r="U29" s="23"/>
      <c r="V29" s="25"/>
      <c r="W29" s="44"/>
      <c r="X29" s="25"/>
      <c r="Y29" s="38">
        <f>T29*V29*100</f>
        <v>0</v>
      </c>
      <c r="Z29" s="36"/>
      <c r="AA29" s="38"/>
      <c r="AB29" s="38"/>
    </row>
    <row r="30" spans="1:28" x14ac:dyDescent="0.25">
      <c r="A30" s="66">
        <v>43313</v>
      </c>
      <c r="B30" s="67" t="s">
        <v>72</v>
      </c>
      <c r="C30" s="67" t="s">
        <v>111</v>
      </c>
      <c r="D30" s="67" t="s">
        <v>112</v>
      </c>
      <c r="E30" s="67" t="s">
        <v>113</v>
      </c>
      <c r="F30" s="68">
        <v>42.26</v>
      </c>
      <c r="G30" s="69">
        <v>43455</v>
      </c>
      <c r="H30" s="70">
        <v>121</v>
      </c>
      <c r="I30" s="68">
        <v>0.26</v>
      </c>
      <c r="J30" s="68">
        <v>43</v>
      </c>
      <c r="K30" s="68">
        <v>1.4</v>
      </c>
      <c r="L30" s="68">
        <f>J30-K30-I30</f>
        <v>41.34</v>
      </c>
      <c r="M30" s="71"/>
      <c r="N30" s="71"/>
      <c r="O30" s="68">
        <v>42.11</v>
      </c>
      <c r="P30" s="72">
        <f>O30/L30-1</f>
        <v>1.8626028059990141E-2</v>
      </c>
      <c r="Q30" s="73">
        <f ca="1">G30-TODAY()</f>
        <v>121</v>
      </c>
      <c r="R30" s="68">
        <v>1.4</v>
      </c>
      <c r="S30" s="68"/>
      <c r="T30" s="68">
        <f>J30-L30+I30</f>
        <v>1.9199999999999966</v>
      </c>
      <c r="U30" s="68"/>
      <c r="V30" s="74"/>
      <c r="W30" s="75"/>
      <c r="X30" s="74"/>
      <c r="Y30" s="76">
        <f>T30*V30*100</f>
        <v>0</v>
      </c>
      <c r="Z30" s="77"/>
      <c r="AA30" s="76"/>
      <c r="AB30" s="76"/>
    </row>
    <row r="31" spans="1:28" x14ac:dyDescent="0.25">
      <c r="A31" s="19">
        <v>43282</v>
      </c>
      <c r="B31" s="21" t="s">
        <v>72</v>
      </c>
      <c r="C31" s="21" t="s">
        <v>84</v>
      </c>
      <c r="D31" s="21" t="s">
        <v>85</v>
      </c>
      <c r="E31" s="21" t="s">
        <v>86</v>
      </c>
      <c r="F31" s="23">
        <v>65.56</v>
      </c>
      <c r="G31" s="24">
        <v>43483</v>
      </c>
      <c r="H31" s="26">
        <v>189</v>
      </c>
      <c r="I31" s="23">
        <v>0.60499999999999998</v>
      </c>
      <c r="J31" s="23">
        <v>65</v>
      </c>
      <c r="K31" s="23">
        <v>4</v>
      </c>
      <c r="L31" s="23">
        <v>60.955000000000005</v>
      </c>
      <c r="M31" s="22"/>
      <c r="N31" s="22"/>
      <c r="O31" s="23">
        <v>68.319999999999993</v>
      </c>
      <c r="P31" s="34">
        <f>O31/L31-1</f>
        <v>0.12082683947174133</v>
      </c>
      <c r="Q31" s="16">
        <f ca="1">G31-TODAY()</f>
        <v>149</v>
      </c>
      <c r="R31" s="23"/>
      <c r="S31" s="23"/>
      <c r="T31" s="23">
        <f>J31-L31+I31</f>
        <v>4.649999999999995</v>
      </c>
      <c r="U31" s="23"/>
      <c r="V31" s="25"/>
      <c r="W31" s="44"/>
      <c r="X31" s="25"/>
      <c r="Y31" s="38">
        <f>T31*V31*100</f>
        <v>0</v>
      </c>
      <c r="Z31" s="36"/>
      <c r="AA31" s="38"/>
      <c r="AB31" s="38"/>
    </row>
    <row r="32" spans="1:28" x14ac:dyDescent="0.25">
      <c r="A32" s="19">
        <v>43282</v>
      </c>
      <c r="B32" s="21" t="s">
        <v>72</v>
      </c>
      <c r="C32" s="21" t="s">
        <v>87</v>
      </c>
      <c r="D32" s="21" t="s">
        <v>88</v>
      </c>
      <c r="E32" s="21" t="s">
        <v>89</v>
      </c>
      <c r="F32" s="23">
        <v>207.11</v>
      </c>
      <c r="G32" s="24">
        <v>43483</v>
      </c>
      <c r="H32" s="26">
        <v>189</v>
      </c>
      <c r="I32" s="23">
        <v>0</v>
      </c>
      <c r="J32" s="23">
        <v>210</v>
      </c>
      <c r="K32" s="23">
        <v>15.85</v>
      </c>
      <c r="L32" s="23">
        <v>191.26000000000002</v>
      </c>
      <c r="M32" s="22"/>
      <c r="N32" s="22"/>
      <c r="O32" s="23">
        <v>172.67</v>
      </c>
      <c r="P32" s="34">
        <f>O32/L32-1</f>
        <v>-9.7197532155181565E-2</v>
      </c>
      <c r="Q32" s="16">
        <f ca="1">G32-TODAY()</f>
        <v>149</v>
      </c>
      <c r="R32" s="23"/>
      <c r="S32" s="23"/>
      <c r="T32" s="23">
        <f>J32-L32+I32</f>
        <v>18.739999999999981</v>
      </c>
      <c r="U32" s="23"/>
      <c r="V32" s="25"/>
      <c r="W32" s="44"/>
      <c r="X32" s="25"/>
      <c r="Y32" s="38">
        <f>T32*V32*100</f>
        <v>0</v>
      </c>
      <c r="Z32" s="36"/>
      <c r="AA32" s="38"/>
      <c r="AB32" s="38"/>
    </row>
    <row r="33" spans="1:28" x14ac:dyDescent="0.25">
      <c r="A33" s="19">
        <v>43282</v>
      </c>
      <c r="B33" s="21" t="s">
        <v>72</v>
      </c>
      <c r="C33" s="21" t="s">
        <v>92</v>
      </c>
      <c r="D33" s="21" t="s">
        <v>93</v>
      </c>
      <c r="E33" s="21" t="s">
        <v>94</v>
      </c>
      <c r="F33" s="23">
        <v>44.29</v>
      </c>
      <c r="G33" s="24">
        <v>43483</v>
      </c>
      <c r="H33" s="26">
        <v>189</v>
      </c>
      <c r="I33" s="23">
        <v>0.42</v>
      </c>
      <c r="J33" s="23">
        <v>45</v>
      </c>
      <c r="K33" s="23">
        <v>3.75</v>
      </c>
      <c r="L33" s="23">
        <v>40.119999999999997</v>
      </c>
      <c r="M33" s="22"/>
      <c r="N33" s="22"/>
      <c r="O33" s="23">
        <v>46.58</v>
      </c>
      <c r="P33" s="34">
        <f>O33/L33-1</f>
        <v>0.16101694915254239</v>
      </c>
      <c r="Q33" s="16">
        <f ca="1">G33-TODAY()</f>
        <v>149</v>
      </c>
      <c r="R33" s="23"/>
      <c r="S33" s="23"/>
      <c r="T33" s="23">
        <f>J33-L33+I33</f>
        <v>5.3000000000000025</v>
      </c>
      <c r="U33" s="23"/>
      <c r="V33" s="25"/>
      <c r="W33" s="44"/>
      <c r="X33" s="25"/>
      <c r="Y33" s="38">
        <f>T33*V33*100</f>
        <v>0</v>
      </c>
      <c r="Z33" s="36"/>
      <c r="AA33" s="38"/>
      <c r="AB33" s="38"/>
    </row>
    <row r="34" spans="1:28" x14ac:dyDescent="0.25">
      <c r="A34" s="66">
        <v>43282</v>
      </c>
      <c r="B34" s="67" t="s">
        <v>72</v>
      </c>
      <c r="C34" s="67" t="s">
        <v>95</v>
      </c>
      <c r="D34" s="67" t="s">
        <v>96</v>
      </c>
      <c r="E34" s="67" t="s">
        <v>97</v>
      </c>
      <c r="F34" s="68">
        <v>223.86</v>
      </c>
      <c r="G34" s="69">
        <v>43483</v>
      </c>
      <c r="H34" s="70">
        <v>189</v>
      </c>
      <c r="I34" s="68">
        <v>0</v>
      </c>
      <c r="J34" s="68">
        <v>230</v>
      </c>
      <c r="K34" s="68">
        <v>14.5</v>
      </c>
      <c r="L34" s="68">
        <v>209.36</v>
      </c>
      <c r="M34" s="71"/>
      <c r="N34" s="71"/>
      <c r="O34" s="68">
        <v>192.8</v>
      </c>
      <c r="P34" s="72">
        <f>O34/L34-1</f>
        <v>-7.9098204050439436E-2</v>
      </c>
      <c r="Q34" s="73">
        <f ca="1">G34-TODAY()</f>
        <v>149</v>
      </c>
      <c r="R34" s="68"/>
      <c r="S34" s="68"/>
      <c r="T34" s="68">
        <f>J34-L34+I34</f>
        <v>20.639999999999986</v>
      </c>
      <c r="U34" s="68"/>
      <c r="V34" s="74"/>
      <c r="W34" s="75"/>
      <c r="X34" s="74"/>
      <c r="Y34" s="76">
        <f>T34*V34*100</f>
        <v>0</v>
      </c>
      <c r="Z34" s="77"/>
      <c r="AA34" s="76"/>
      <c r="AB34" s="76"/>
    </row>
    <row r="35" spans="1:28" x14ac:dyDescent="0.25">
      <c r="S35" s="59"/>
      <c r="T35" s="59"/>
    </row>
    <row r="36" spans="1:28" x14ac:dyDescent="0.25">
      <c r="S36" s="59"/>
      <c r="T36" s="59"/>
    </row>
  </sheetData>
  <sortState ref="A2:AB34">
    <sortCondition ref="G2"/>
  </sortState>
  <conditionalFormatting sqref="X12">
    <cfRule type="expression" dxfId="6" priority="21">
      <formula>$V$3&gt;$V$13</formula>
    </cfRule>
  </conditionalFormatting>
  <conditionalFormatting sqref="X16">
    <cfRule type="expression" dxfId="5" priority="16">
      <formula>$V$8&gt;$V$17</formula>
    </cfRule>
  </conditionalFormatting>
  <conditionalFormatting sqref="X19">
    <cfRule type="expression" dxfId="4" priority="14">
      <formula>$V$11&gt;$V$20</formula>
    </cfRule>
  </conditionalFormatting>
  <conditionalFormatting sqref="X17">
    <cfRule type="expression" dxfId="3" priority="12">
      <formula>$V$9&gt;$V$18</formula>
    </cfRule>
  </conditionalFormatting>
  <conditionalFormatting sqref="X21:X27">
    <cfRule type="expression" dxfId="2" priority="2">
      <formula>$V$9&gt;$V$18</formula>
    </cfRule>
  </conditionalFormatting>
  <conditionalFormatting sqref="X28:X34">
    <cfRule type="expression" dxfId="1" priority="1">
      <formula>$V$9&gt;$V$18</formula>
    </cfRule>
  </conditionalFormatting>
  <conditionalFormatting sqref="X15">
    <cfRule type="expression" dxfId="0" priority="22">
      <formula>$V$6&gt;#REF!</formula>
    </cfRule>
  </conditionalFormatting>
  <pageMargins left="0.7" right="0.7" top="0.75" bottom="0.75" header="0.3" footer="0.3"/>
  <pageSetup scale="58" orientation="landscape" r:id="rId1"/>
  <headerFooter>
    <oddHeader>&amp;L&amp;G&amp;R&amp;"Arial,Regular"&amp;14Covered Call Monitor</oddHeader>
    <oddFooter>&amp;L&amp;"Arial,Regular"Closing prices on August 22, 2018&amp;C&amp;"Arial,Regular"erik@FrameworkInvesting.com&amp;R&amp;"Arial,Regular"+01 646 801 2464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Monitor</vt:lpstr>
      <vt:lpstr>Monitor!Print_Area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Kobayashi-Solomon</dc:creator>
  <cp:lastModifiedBy>Erik Kobayashi-Solomon</cp:lastModifiedBy>
  <cp:lastPrinted>2018-08-22T23:58:52Z</cp:lastPrinted>
  <dcterms:created xsi:type="dcterms:W3CDTF">2018-08-09T22:49:35Z</dcterms:created>
  <dcterms:modified xsi:type="dcterms:W3CDTF">2018-08-23T00:18:15Z</dcterms:modified>
</cp:coreProperties>
</file>