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STOR - Store Capital/"/>
    </mc:Choice>
  </mc:AlternateContent>
  <xr:revisionPtr revIDLastSave="2" documentId="8_{CF5D47B3-A28F-47F9-8F4A-2A8ABAC46D23}" xr6:coauthVersionLast="32" xr6:coauthVersionMax="32" xr10:uidLastSave="{B116B1B6-CF9E-4437-87F0-1BD50DA3EF9D}"/>
  <bookViews>
    <workbookView xWindow="0" yWindow="0" windowWidth="28800" windowHeight="13013" tabRatio="825" xr2:uid="{00000000-000D-0000-FFFF-FFFF00000000}"/>
  </bookViews>
  <sheets>
    <sheet name="Valuation Model" sheetId="1" r:id="rId1"/>
    <sheet name="Company Analysis" sheetId="19" r:id="rId2"/>
    <sheet name="Rent Expirations" sheetId="31" r:id="rId3"/>
    <sheet name="Debt Schedule" sheetId="32" r:id="rId4"/>
    <sheet name="Implied G" sheetId="33" r:id="rId5"/>
    <sheet name="Graphing Data" sheetId="21" r:id="rId6"/>
    <sheet name="Revenue Chart" sheetId="22" r:id="rId7"/>
    <sheet name="Profit Chart" sheetId="23" r:id="rId8"/>
    <sheet name="ECF to OCP Chart" sheetId="25" r:id="rId9"/>
    <sheet name="ECF Breakdown Chart" sheetId="26" r:id="rId10"/>
    <sheet name="FCFO Chart" sheetId="27" r:id="rId11"/>
    <sheet name="Investment Efficacy Chart" sheetId="28" r:id="rId12"/>
    <sheet name="Valuation Histogram" sheetId="16" r:id="rId13"/>
    <sheet name="Histogram Data" sheetId="17" r:id="rId14"/>
    <sheet name="GDP Data" sheetId="20" r:id="rId15"/>
    <sheet name="Disclaimer" sheetId="18" r:id="rId16"/>
    <sheet name="PSW_Sheet" sheetId="11" state="veryHidden" r:id="rId17"/>
    <sheet name="_SSC" sheetId="12" state="veryHidden" r:id="rId18"/>
    <sheet name="_Options" sheetId="13" state="veryHidden" r:id="rId19"/>
  </sheets>
  <externalReferences>
    <externalReference r:id="rId20"/>
    <externalReference r:id="rId21"/>
    <externalReference r:id="rId22"/>
    <externalReference r:id="rId23"/>
    <externalReference r:id="rId24"/>
    <externalReference r:id="rId25"/>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3"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9017"/>
</workbook>
</file>

<file path=xl/calcChain.xml><?xml version="1.0" encoding="utf-8"?>
<calcChain xmlns="http://schemas.openxmlformats.org/spreadsheetml/2006/main">
  <c r="D15" i="33" l="1"/>
  <c r="E15" i="33" s="1"/>
  <c r="D14" i="33"/>
  <c r="E14" i="33" s="1"/>
  <c r="D13" i="33"/>
  <c r="C15" i="33" l="1"/>
  <c r="C14" i="33"/>
  <c r="B4" i="33"/>
  <c r="B3" i="33"/>
  <c r="B6" i="33" s="1"/>
  <c r="E9" i="32" l="1"/>
  <c r="C3" i="32"/>
  <c r="F7" i="32" s="1"/>
  <c r="C13" i="32"/>
  <c r="D13" i="32"/>
  <c r="E11" i="32" s="1"/>
  <c r="B13" i="32"/>
  <c r="D8" i="32"/>
  <c r="D9" i="32"/>
  <c r="D10" i="32"/>
  <c r="E10" i="32" s="1"/>
  <c r="D11" i="32"/>
  <c r="D12" i="32"/>
  <c r="E12" i="32" s="1"/>
  <c r="D7" i="32"/>
  <c r="E7" i="32" s="1"/>
  <c r="G7" i="32" s="1"/>
  <c r="F8" i="32" s="1"/>
  <c r="A9" i="32"/>
  <c r="A10" i="32" s="1"/>
  <c r="A11" i="32" s="1"/>
  <c r="A8" i="32"/>
  <c r="E8" i="32" l="1"/>
  <c r="G8" i="32" s="1"/>
  <c r="F9" i="32" s="1"/>
  <c r="G9" i="32" s="1"/>
  <c r="F10" i="32" s="1"/>
  <c r="G10" i="32" s="1"/>
  <c r="F11" i="32" s="1"/>
  <c r="G11" i="32" s="1"/>
  <c r="F12" i="32" s="1"/>
  <c r="G12" i="32" s="1"/>
  <c r="E13" i="32"/>
  <c r="C13" i="31"/>
  <c r="B13" i="31"/>
  <c r="A3" i="31"/>
  <c r="A4" i="31" s="1"/>
  <c r="A5" i="31" s="1"/>
  <c r="A6" i="31" s="1"/>
  <c r="A7" i="31" s="1"/>
  <c r="A8" i="31" s="1"/>
  <c r="A9" i="31" s="1"/>
  <c r="A10" i="31" s="1"/>
  <c r="A11" i="31" s="1"/>
  <c r="G3" i="1" l="1"/>
  <c r="C26" i="21" l="1"/>
  <c r="D26" i="21"/>
  <c r="E26" i="21"/>
  <c r="F26" i="21"/>
  <c r="G26" i="21"/>
  <c r="H26" i="21"/>
  <c r="I26" i="21"/>
  <c r="J26" i="21"/>
  <c r="K26" i="21"/>
  <c r="B26" i="2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E19" i="19"/>
  <c r="D19" i="19"/>
  <c r="C19" i="19"/>
  <c r="B19" i="19"/>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K28" i="19" l="1"/>
  <c r="K19" i="21" s="1"/>
  <c r="B28" i="19"/>
  <c r="B32" i="19" s="1"/>
  <c r="F28" i="19"/>
  <c r="F19" i="21" s="1"/>
  <c r="J28" i="19"/>
  <c r="J19" i="21" s="1"/>
  <c r="C28" i="19"/>
  <c r="C19" i="21" s="1"/>
  <c r="G28" i="19"/>
  <c r="G19" i="21" s="1"/>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22" i="21"/>
  <c r="F22" i="21"/>
  <c r="J22" i="21"/>
  <c r="C13" i="21"/>
  <c r="C18" i="21"/>
  <c r="G13" i="21"/>
  <c r="G18" i="21"/>
  <c r="K13" i="21"/>
  <c r="K15" i="21" s="1"/>
  <c r="K18" i="21"/>
  <c r="C22" i="21"/>
  <c r="G22"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7" i="17"/>
  <c r="H8" i="17"/>
  <c r="H6" i="17"/>
  <c r="G6" i="17"/>
  <c r="G7" i="17"/>
  <c r="G8" i="17"/>
  <c r="G9" i="17"/>
  <c r="G10" i="17"/>
  <c r="G11" i="17"/>
  <c r="G12" i="17"/>
  <c r="G5" i="17"/>
  <c r="H5" i="17"/>
  <c r="C2" i="1"/>
  <c r="H9" i="17"/>
  <c r="H11" i="17"/>
  <c r="H10" i="17"/>
  <c r="H12" i="17"/>
  <c r="J7" i="17"/>
  <c r="K16" i="19" l="1"/>
  <c r="J16" i="19"/>
  <c r="I16" i="19"/>
  <c r="G16" i="19"/>
  <c r="F16" i="19"/>
  <c r="H16" i="19"/>
  <c r="B19" i="21"/>
  <c r="B29" i="19"/>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F34" i="19"/>
  <c r="E33" i="19"/>
  <c r="H42" i="19"/>
  <c r="H41" i="21" s="1"/>
  <c r="E10" i="17"/>
  <c r="E6" i="17"/>
  <c r="E9" i="17"/>
  <c r="E12" i="17"/>
  <c r="E11" i="17"/>
  <c r="E8" i="17"/>
  <c r="E7" i="17"/>
  <c r="E5" i="17"/>
  <c r="J8" i="17"/>
  <c r="C34" i="19" l="1"/>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8" i="17" s="1"/>
  <c r="I7" i="1"/>
  <c r="B10" i="17" s="1"/>
  <c r="I6" i="1"/>
  <c r="B6" i="17" s="1"/>
  <c r="I2" i="1"/>
  <c r="B5" i="17" s="1"/>
  <c r="I4" i="1"/>
  <c r="B7" i="17" s="1"/>
  <c r="I5" i="1"/>
  <c r="B11" i="17" s="1"/>
  <c r="I3" i="1"/>
  <c r="B9"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10" i="17" s="1"/>
  <c r="K5" i="1"/>
  <c r="C11" i="17" s="1"/>
  <c r="G128" i="1"/>
  <c r="G129" i="1"/>
  <c r="G107" i="1"/>
  <c r="G106" i="1"/>
  <c r="G62" i="1"/>
  <c r="G66" i="1" s="1"/>
  <c r="G67" i="1" s="1"/>
  <c r="K2" i="1" s="1"/>
  <c r="C5" i="17" s="1"/>
  <c r="G85" i="1"/>
  <c r="G84" i="1"/>
  <c r="G74" i="1"/>
  <c r="G73" i="1"/>
  <c r="G132" i="1" l="1"/>
  <c r="G133" i="1" s="1"/>
  <c r="G110" i="1"/>
  <c r="G111" i="1" s="1"/>
  <c r="G88" i="1"/>
  <c r="G89" i="1" s="1"/>
  <c r="G77" i="1"/>
  <c r="G78" i="1" s="1"/>
  <c r="K8" i="1" l="1"/>
  <c r="C8" i="17" s="1"/>
  <c r="K6" i="1"/>
  <c r="C6" i="17" s="1"/>
  <c r="K4" i="1"/>
  <c r="C7" i="17" s="1"/>
  <c r="K3" i="1"/>
  <c r="C9" i="17" s="1"/>
  <c r="F29" i="1"/>
  <c r="B49" i="1" s="1"/>
  <c r="B50" i="1" s="1"/>
  <c r="D29" i="1"/>
  <c r="D43" i="1" s="1"/>
  <c r="C29" i="1"/>
  <c r="C43" i="1" s="1"/>
  <c r="B29" i="1"/>
  <c r="B43" i="1" s="1"/>
  <c r="E29" i="1"/>
  <c r="E43" i="1" s="1"/>
  <c r="B2" i="17" l="1"/>
  <c r="B1" i="17"/>
  <c r="K5" i="17" s="1"/>
  <c r="L17" i="1"/>
  <c r="F43" i="1"/>
  <c r="C21" i="1" s="1"/>
  <c r="K55" i="17" l="1"/>
  <c r="K53" i="17"/>
  <c r="K49" i="17"/>
  <c r="K45" i="17"/>
  <c r="K47" i="17"/>
  <c r="K51" i="17"/>
  <c r="K43" i="17"/>
  <c r="K41" i="17"/>
  <c r="K37" i="17"/>
  <c r="K39" i="17"/>
  <c r="K35" i="17"/>
  <c r="K33" i="17"/>
  <c r="K29" i="17"/>
  <c r="N29" i="17" s="1"/>
  <c r="O29" i="17" s="1"/>
  <c r="K25" i="17"/>
  <c r="N25" i="17" s="1"/>
  <c r="O25" i="17" s="1"/>
  <c r="K52" i="17"/>
  <c r="K48" i="17"/>
  <c r="K44" i="17"/>
  <c r="K40" i="17"/>
  <c r="K36" i="17"/>
  <c r="K32" i="17"/>
  <c r="K28" i="17"/>
  <c r="N28" i="17" s="1"/>
  <c r="O28" i="17" s="1"/>
  <c r="K24" i="17"/>
  <c r="N24" i="17" s="1"/>
  <c r="O24" i="17" s="1"/>
  <c r="K27" i="17"/>
  <c r="N27" i="17" s="1"/>
  <c r="O27" i="17" s="1"/>
  <c r="K23" i="17"/>
  <c r="N23" i="17" s="1"/>
  <c r="O23" i="17" s="1"/>
  <c r="K31" i="17"/>
  <c r="K54" i="17"/>
  <c r="K50" i="17"/>
  <c r="K46" i="17"/>
  <c r="K42" i="17"/>
  <c r="K38" i="17"/>
  <c r="K34" i="17"/>
  <c r="K30" i="17"/>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N30" i="17" l="1"/>
  <c r="O30" i="17" s="1"/>
  <c r="N46" i="17"/>
  <c r="O46" i="17" s="1"/>
  <c r="N32" i="17"/>
  <c r="O32" i="17" s="1"/>
  <c r="N48" i="17"/>
  <c r="O48" i="17" s="1"/>
  <c r="N33" i="17"/>
  <c r="O33" i="17" s="1"/>
  <c r="N41" i="17"/>
  <c r="O41" i="17" s="1"/>
  <c r="N45" i="17"/>
  <c r="O45" i="17" s="1"/>
  <c r="N34" i="17"/>
  <c r="O34" i="17" s="1"/>
  <c r="N50" i="17"/>
  <c r="O50" i="17" s="1"/>
  <c r="N36" i="17"/>
  <c r="O36" i="17" s="1"/>
  <c r="N52" i="17"/>
  <c r="O52" i="17" s="1"/>
  <c r="N35" i="17"/>
  <c r="O35" i="17" s="1"/>
  <c r="N43" i="17"/>
  <c r="O43" i="17" s="1"/>
  <c r="N49" i="17"/>
  <c r="O49" i="17" s="1"/>
  <c r="N38" i="17"/>
  <c r="O38" i="17" s="1"/>
  <c r="N54" i="17"/>
  <c r="O54" i="17" s="1"/>
  <c r="N40" i="17"/>
  <c r="O40" i="17" s="1"/>
  <c r="N39" i="17"/>
  <c r="O39" i="17" s="1"/>
  <c r="N51" i="17"/>
  <c r="O51" i="17" s="1"/>
  <c r="N53" i="17"/>
  <c r="O53" i="17" s="1"/>
  <c r="N42" i="17"/>
  <c r="O42" i="17" s="1"/>
  <c r="N31" i="17"/>
  <c r="O31" i="17" s="1"/>
  <c r="N44" i="17"/>
  <c r="O44" i="17" s="1"/>
  <c r="N37" i="17"/>
  <c r="O37" i="17" s="1"/>
  <c r="N47" i="17"/>
  <c r="O47" i="17" s="1"/>
  <c r="N55" i="17"/>
  <c r="O55" i="17" s="1"/>
  <c r="D5" i="17"/>
  <c r="D12" i="17"/>
  <c r="D7" i="17"/>
  <c r="D11" i="17"/>
  <c r="D8" i="17"/>
  <c r="D10" i="17"/>
  <c r="D9" i="17"/>
  <c r="D6" i="17"/>
  <c r="F21" i="1"/>
  <c r="L18" i="1" s="1"/>
  <c r="L30" i="17" l="1"/>
  <c r="L34" i="17"/>
  <c r="L55" i="17"/>
  <c r="L31" i="17"/>
  <c r="L39" i="17"/>
  <c r="L49" i="17"/>
  <c r="L35" i="17"/>
  <c r="L36" i="17"/>
  <c r="L41" i="17"/>
  <c r="L48" i="17"/>
  <c r="L46" i="17"/>
  <c r="L37" i="17"/>
  <c r="L53" i="17"/>
  <c r="L54" i="17"/>
  <c r="L47" i="17"/>
  <c r="L44" i="17"/>
  <c r="L42" i="17"/>
  <c r="L51" i="17"/>
  <c r="L40" i="17"/>
  <c r="L38" i="17"/>
  <c r="L43" i="17"/>
  <c r="L52" i="17"/>
  <c r="L50" i="17"/>
  <c r="L45" i="17"/>
  <c r="L33" i="17"/>
  <c r="L32" i="17"/>
  <c r="L25" i="17"/>
  <c r="M35" i="17"/>
  <c r="M51" i="17"/>
  <c r="L14" i="17"/>
  <c r="M6" i="17"/>
  <c r="L27" i="17"/>
  <c r="M8" i="17"/>
  <c r="M50" i="17"/>
  <c r="M46" i="17"/>
  <c r="L16" i="17"/>
  <c r="L10" i="17"/>
  <c r="M53" i="17"/>
  <c r="M15" i="17"/>
  <c r="M32" i="17"/>
  <c r="M30" i="17"/>
  <c r="L8" i="17"/>
  <c r="L26" i="17"/>
  <c r="M13" i="17"/>
  <c r="M7" i="17"/>
  <c r="L15" i="17"/>
  <c r="L24" i="17"/>
  <c r="M48" i="17"/>
  <c r="L11" i="17"/>
  <c r="M5" i="17"/>
  <c r="M28" i="17"/>
  <c r="M31" i="17"/>
  <c r="L17" i="17"/>
  <c r="M11" i="17"/>
  <c r="L23" i="17"/>
  <c r="M19" i="17"/>
  <c r="M10" i="17"/>
  <c r="M17" i="17"/>
  <c r="M44" i="17"/>
  <c r="M39" i="17"/>
  <c r="L21" i="17"/>
  <c r="M38" i="17"/>
  <c r="M47" i="17"/>
  <c r="L19" i="17"/>
  <c r="M21" i="17"/>
  <c r="M45" i="17"/>
  <c r="L13" i="17"/>
  <c r="M54" i="17"/>
  <c r="L5" i="17"/>
  <c r="L9" i="17"/>
  <c r="M43" i="17"/>
  <c r="M14" i="17"/>
  <c r="M37" i="17"/>
  <c r="L12" i="17"/>
  <c r="L7" i="17"/>
  <c r="M22" i="17"/>
  <c r="L28" i="17"/>
  <c r="M29" i="17"/>
  <c r="M24" i="17"/>
  <c r="M12" i="17"/>
  <c r="M23" i="17"/>
  <c r="M26" i="17"/>
  <c r="M40" i="17"/>
  <c r="M49" i="17"/>
  <c r="M52" i="17"/>
  <c r="M16" i="17"/>
  <c r="M27" i="17"/>
  <c r="L18" i="17"/>
  <c r="M20" i="17"/>
  <c r="M9" i="17"/>
  <c r="L22" i="17"/>
  <c r="M34" i="17"/>
  <c r="M36" i="17"/>
  <c r="L20" i="17"/>
  <c r="M18" i="17"/>
  <c r="M33" i="17"/>
  <c r="M41" i="17"/>
  <c r="M25" i="17"/>
  <c r="M55" i="17"/>
  <c r="L6" i="17"/>
  <c r="L29" i="17"/>
  <c r="M42" i="17"/>
  <c r="D22" i="1"/>
  <c r="C22" i="1"/>
  <c r="E22" i="1"/>
  <c r="B22"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Robert Ruggirello</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Robert Ruggirello:</t>
        </r>
        <r>
          <rPr>
            <sz val="9"/>
            <color indexed="81"/>
            <rFont val="Tahoma"/>
            <family val="2"/>
          </rPr>
          <t xml:space="preserve">
CAPM yields a 6.7% discount rate unlevering and then relevering beta.  We are using the Yield on NNN preferred plus 200 bps given that we are including growth from acquisitions in the forecast
</t>
        </r>
      </text>
    </comment>
    <comment ref="A8" authorId="0" shapeId="0" xr:uid="{00000000-0006-0000-0000-000003000000}">
      <text>
        <r>
          <rPr>
            <b/>
            <sz val="9"/>
            <color indexed="81"/>
            <rFont val="Tahoma"/>
            <family val="2"/>
          </rPr>
          <t>Robert Ruggirello:</t>
        </r>
        <r>
          <rPr>
            <sz val="9"/>
            <color indexed="81"/>
            <rFont val="Tahoma"/>
            <family val="2"/>
          </rPr>
          <t xml:space="preserve">
Revenue Growth from lease escalators, expansionary cash flow AND considerations of acquisition growth.</t>
        </r>
      </text>
    </comment>
    <comment ref="A10" authorId="1" shapeId="0" xr:uid="{B18B2DD1-C70B-4BEB-83BB-6796ECD564A7}">
      <text>
        <r>
          <rPr>
            <b/>
            <sz val="9"/>
            <color indexed="81"/>
            <rFont val="Tahoma"/>
            <family val="2"/>
          </rPr>
          <t>Robert Ruggirello:</t>
        </r>
        <r>
          <rPr>
            <sz val="9"/>
            <color indexed="81"/>
            <rFont val="Tahoma"/>
            <family val="2"/>
          </rPr>
          <t xml:space="preserve">
a 1% increase in the cost of debt porftolio wide decreases margin about 5-6%.  This assumes rental rates remain constant.  Weighted avg debt is 6 years</t>
        </r>
      </text>
    </comment>
    <comment ref="A16" authorId="0" shapeId="0" xr:uid="{00000000-0006-0000-0000-000005000000}">
      <text>
        <r>
          <rPr>
            <b/>
            <sz val="9"/>
            <color indexed="81"/>
            <rFont val="Tahoma"/>
            <family val="2"/>
          </rPr>
          <t>Robert Ruggirello:</t>
        </r>
        <r>
          <rPr>
            <sz val="9"/>
            <color indexed="81"/>
            <rFont val="Tahoma"/>
            <family val="2"/>
          </rPr>
          <t xml:space="preserve">
STOR has weighted average remaining lease term of about 14 years with only about 13% of base rent expiring in the 10 year period.  We are using a 10 year model.</t>
        </r>
      </text>
    </comment>
    <comment ref="G16" authorId="1" shapeId="0" xr:uid="{FC6808BB-819D-4D72-B1B0-EBEC2F8B964A}">
      <text>
        <r>
          <rPr>
            <b/>
            <sz val="9"/>
            <color indexed="81"/>
            <rFont val="Tahoma"/>
            <family val="2"/>
          </rPr>
          <t>Robert Ruggirello:</t>
        </r>
        <r>
          <rPr>
            <sz val="9"/>
            <color indexed="81"/>
            <rFont val="Tahoma"/>
            <family val="2"/>
          </rPr>
          <t xml:space="preserve">
With constant margins a 1.8% escalator grows at about 2.5%.  This is also a reasonable estimate of inlfationary growth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K21" authorId="0" shapeId="0" xr:uid="{205C8F09-DFEF-4F02-91AD-39709E7111F5}">
      <text>
        <r>
          <rPr>
            <b/>
            <sz val="9"/>
            <color indexed="81"/>
            <rFont val="Tahoma"/>
            <family val="2"/>
          </rPr>
          <t>Erik Kobayashi-Solomon:</t>
        </r>
        <r>
          <rPr>
            <sz val="9"/>
            <color indexed="81"/>
            <rFont val="Tahoma"/>
            <family val="2"/>
          </rPr>
          <t xml:space="preserve">
We assume that all cash not distributed in dividends is used for acquisition of new properties.</t>
        </r>
      </text>
    </comment>
    <comment ref="A25" authorId="0" shapeId="0" xr:uid="{00000000-0006-0000-0100-000006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Ruggirello</author>
  </authors>
  <commentList>
    <comment ref="A1" authorId="0" shapeId="0" xr:uid="{48C531D1-2286-49B5-8D78-B3DE1E7A6E43}">
      <text>
        <r>
          <rPr>
            <b/>
            <sz val="9"/>
            <color indexed="81"/>
            <rFont val="Tahoma"/>
            <family val="2"/>
          </rPr>
          <t>Robert Ruggirello:</t>
        </r>
        <r>
          <rPr>
            <sz val="9"/>
            <color indexed="81"/>
            <rFont val="Tahoma"/>
            <family val="2"/>
          </rPr>
          <t xml:space="preserve">
pg. 33 2017 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Ruggirello</author>
  </authors>
  <commentList>
    <comment ref="A6" authorId="0" shapeId="0" xr:uid="{5E6EB0A5-2DEC-4C95-A9F5-F95E2B113355}">
      <text>
        <r>
          <rPr>
            <b/>
            <sz val="9"/>
            <color indexed="81"/>
            <rFont val="Tahoma"/>
            <family val="2"/>
          </rPr>
          <t>Robert Ruggirello:</t>
        </r>
        <r>
          <rPr>
            <sz val="9"/>
            <color indexed="81"/>
            <rFont val="Tahoma"/>
            <family val="2"/>
          </rPr>
          <t xml:space="preserve">
Pg 75
 2017AR
</t>
        </r>
      </text>
    </comment>
  </commentList>
</comments>
</file>

<file path=xl/sharedStrings.xml><?xml version="1.0" encoding="utf-8"?>
<sst xmlns="http://schemas.openxmlformats.org/spreadsheetml/2006/main" count="404" uniqueCount="215">
  <si>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</si>
  <si>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</si>
  <si>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</si>
  <si>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</si>
  <si>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</si>
  <si>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</si>
  <si>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</si>
  <si>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</si>
  <si>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</si>
  <si>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</si>
  <si>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</si>
  <si>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</si>
  <si>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</si>
  <si>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</si>
  <si>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</si>
  <si>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</si>
  <si>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</si>
  <si>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</si>
  <si>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</si>
  <si>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</si>
  <si>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</si>
  <si>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</si>
  <si>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</si>
  <si>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</si>
  <si>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</si>
  <si>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</si>
  <si>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</si>
  <si>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</si>
  <si>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</si>
  <si>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</si>
  <si>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</si>
  <si>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</si>
  <si>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</si>
  <si>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</si>
  <si>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</si>
  <si>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</si>
  <si>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</si>
  <si>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</si>
  <si>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</si>
  <si>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</si>
  <si>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</si>
  <si>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</si>
  <si>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</si>
  <si>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</si>
  <si>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</si>
  <si>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</si>
  <si>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</si>
  <si>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</si>
  <si>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</si>
  <si>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</si>
  <si>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</si>
  <si>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</si>
  <si>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</si>
  <si>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</si>
  <si>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</si>
  <si>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</si>
  <si>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</si>
  <si>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</si>
  <si>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</si>
  <si>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</si>
  <si>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</si>
  <si>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</si>
  <si>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</si>
  <si>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</si>
  <si>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</si>
  <si>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</si>
  <si>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</si>
  <si>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</si>
  <si>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</si>
  <si>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</si>
  <si>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</si>
  <si>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</si>
  <si>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</si>
  <si>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</si>
  <si>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</si>
  <si>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</si>
  <si>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</si>
  <si>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</si>
  <si>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</si>
  <si>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</si>
  <si>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</si>
  <si>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</si>
  <si>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</si>
  <si>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</si>
  <si>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</si>
  <si>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</si>
  <si>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</si>
  <si>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</si>
  <si>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</si>
  <si>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</si>
  <si>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</si>
  <si>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</si>
  <si>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</si>
  <si>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</si>
  <si>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</si>
  <si>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</si>
  <si>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</si>
  <si>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</si>
  <si>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</si>
  <si>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</si>
  <si>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</si>
  <si>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</si>
  <si>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</si>
  <si>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</si>
  <si>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</si>
  <si>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</si>
  <si>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</si>
  <si>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</si>
  <si>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</si>
  <si>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</si>
  <si>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</si>
  <si>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</si>
  <si>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</si>
  <si>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</si>
  <si>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</si>
  <si>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</si>
  <si>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</si>
  <si>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</si>
  <si>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</si>
  <si>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</si>
  <si>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</si>
  <si>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</si>
  <si>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</si>
  <si>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</si>
  <si>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</si>
  <si>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</si>
  <si>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</si>
  <si>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</si>
  <si>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</si>
  <si>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</si>
  <si>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</si>
  <si>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</si>
  <si>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</si>
  <si>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</si>
  <si>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</si>
  <si>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</si>
  <si>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</si>
  <si>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</si>
  <si>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</si>
  <si>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</si>
  <si>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</si>
  <si>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</si>
  <si>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</si>
  <si>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</si>
  <si>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</si>
  <si>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</si>
  <si>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</si>
  <si>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</si>
  <si>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</si>
  <si>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</si>
  <si>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</si>
  <si>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</si>
  <si>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</si>
  <si>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</si>
  <si>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</si>
  <si>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</si>
  <si>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</si>
  <si>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</si>
  <si>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</si>
  <si>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</si>
  <si>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</si>
  <si>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</si>
  <si>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</si>
  <si>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</si>
  <si>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</si>
  <si>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</si>
  <si>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</si>
  <si>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</si>
  <si>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</si>
  <si>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</si>
  <si>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</si>
  <si>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</si>
  <si>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</si>
  <si>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</si>
  <si>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</si>
  <si>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</si>
  <si>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</si>
  <si>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</si>
  <si>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</si>
  <si>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</si>
  <si>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</si>
  <si>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</si>
  <si>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</si>
  <si>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</si>
  <si>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</si>
  <si>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</si>
  <si>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</si>
  <si>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</si>
  <si>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</si>
  <si>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</si>
  <si>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</si>
  <si>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Stor Capital Corp</t>
  </si>
  <si>
    <t>STOR</t>
  </si>
  <si>
    <t>Thereafter</t>
  </si>
  <si>
    <t>% of Base Rent</t>
  </si>
  <si>
    <t>Numer of Properties</t>
  </si>
  <si>
    <t>PrincipalRepayments</t>
  </si>
  <si>
    <t>Balloon Payments</t>
  </si>
  <si>
    <t>Current Weighted Avg. Cost of Debt</t>
  </si>
  <si>
    <t>Assumed Refinancing Rate</t>
  </si>
  <si>
    <t>Prior Year Weighted Avg Kd</t>
  </si>
  <si>
    <t>New Weighted Avg Kd</t>
  </si>
  <si>
    <t>% Debt Due</t>
  </si>
  <si>
    <t>The impact of the cost of debt renewal</t>
  </si>
  <si>
    <t>Price</t>
  </si>
  <si>
    <t>Ke</t>
  </si>
  <si>
    <t>Forward Div est</t>
  </si>
  <si>
    <t>Implied Growth Rate</t>
  </si>
  <si>
    <t>Implied Dividend Growth:</t>
  </si>
  <si>
    <t>Total Revenue</t>
  </si>
  <si>
    <t>SG&amp;A</t>
  </si>
  <si>
    <t>cfo</t>
  </si>
  <si>
    <t>2018 Q1</t>
  </si>
  <si>
    <t>2018Q1 TTM</t>
  </si>
  <si>
    <t>%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</si>
</sst>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0.0"/>
  </numFmts>
  <fonts count="55">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u/>
      <sz val="11"/>
      <color theme="1"/>
      <name val="Calibri"/>
      <family val="2"/>
      <scheme val="minor"/>
    </font>
    <font>
      <u val="singleAccounting"/>
      <sz val="11"/>
      <color theme="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theme="4" tint="0.39997558519241921"/>
        <bgColor indexed="64"/>
      </patternFill>
    </fill>
    <fill>
      <patternFill patternType="solid">
        <fgColor rgb="FFFFFF00"/>
        <bgColor indexed="64"/>
      </patternFill>
    </fill>
  </fills>
  <borders count="32">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203">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167" fontId="0" fillId="0" borderId="0" xfId="3" applyNumberFormat="1" applyFont="1"/>
    <xf numFmtId="208" fontId="0" fillId="0" borderId="0" xfId="0" applyNumberFormat="1"/>
    <xf numFmtId="2" fontId="0" fillId="2" borderId="1" xfId="1" applyNumberFormat="1" applyFont="1" applyFill="1" applyBorder="1" applyProtection="1">
      <protection locked="0"/>
    </xf>
    <xf numFmtId="2" fontId="0" fillId="2" borderId="0" xfId="1" applyNumberFormat="1" applyFont="1" applyFill="1" applyProtection="1">
      <protection locked="0"/>
    </xf>
    <xf numFmtId="43" fontId="0" fillId="2" borderId="0" xfId="1" applyNumberFormat="1" applyFont="1" applyFill="1"/>
    <xf numFmtId="167" fontId="0" fillId="2" borderId="4" xfId="0" applyNumberFormat="1" applyFill="1" applyBorder="1"/>
    <xf numFmtId="167" fontId="53" fillId="0" borderId="0" xfId="3" applyNumberFormat="1" applyFont="1"/>
    <xf numFmtId="0" fontId="53" fillId="0" borderId="0" xfId="0" applyFont="1"/>
    <xf numFmtId="0" fontId="0" fillId="0" borderId="24" xfId="0" applyBorder="1"/>
    <xf numFmtId="0" fontId="0" fillId="0" borderId="7" xfId="0" applyBorder="1"/>
    <xf numFmtId="0" fontId="0" fillId="0" borderId="25" xfId="0" applyBorder="1"/>
    <xf numFmtId="0" fontId="0" fillId="0" borderId="26" xfId="0" applyBorder="1"/>
    <xf numFmtId="0" fontId="0" fillId="0" borderId="27" xfId="0" applyBorder="1"/>
    <xf numFmtId="0" fontId="4" fillId="0" borderId="26" xfId="0" applyFont="1" applyBorder="1"/>
    <xf numFmtId="0" fontId="4" fillId="0" borderId="0" xfId="0" applyFont="1" applyBorder="1"/>
    <xf numFmtId="167" fontId="4" fillId="0" borderId="0" xfId="3" applyNumberFormat="1" applyFont="1" applyBorder="1"/>
    <xf numFmtId="0" fontId="0" fillId="9" borderId="26" xfId="0" applyFill="1" applyBorder="1"/>
    <xf numFmtId="0" fontId="0" fillId="9" borderId="0" xfId="0" applyFill="1" applyBorder="1"/>
    <xf numFmtId="10" fontId="0" fillId="9" borderId="0" xfId="0" applyNumberFormat="1" applyFill="1" applyBorder="1"/>
    <xf numFmtId="9" fontId="0" fillId="0" borderId="0" xfId="3" applyFont="1" applyBorder="1"/>
    <xf numFmtId="167" fontId="0" fillId="0" borderId="0" xfId="0" applyNumberFormat="1" applyBorder="1"/>
    <xf numFmtId="167" fontId="4" fillId="0" borderId="27" xfId="0" applyNumberFormat="1" applyFont="1" applyBorder="1"/>
    <xf numFmtId="165" fontId="54" fillId="0" borderId="0" xfId="1" applyNumberFormat="1" applyFont="1" applyBorder="1"/>
    <xf numFmtId="9" fontId="53" fillId="0" borderId="0" xfId="3" applyFont="1" applyBorder="1"/>
    <xf numFmtId="0" fontId="0" fillId="0" borderId="28" xfId="0" applyBorder="1"/>
    <xf numFmtId="165" fontId="0" fillId="0" borderId="4" xfId="0" applyNumberFormat="1" applyBorder="1"/>
    <xf numFmtId="9" fontId="0" fillId="0" borderId="4" xfId="3" applyFont="1" applyBorder="1"/>
    <xf numFmtId="0" fontId="0" fillId="0" borderId="29" xfId="0" applyBorder="1"/>
    <xf numFmtId="0" fontId="4" fillId="0" borderId="27" xfId="0" applyFont="1" applyBorder="1"/>
    <xf numFmtId="167" fontId="4" fillId="10" borderId="27" xfId="0" applyNumberFormat="1" applyFont="1" applyFill="1" applyBorder="1"/>
    <xf numFmtId="0" fontId="0" fillId="10" borderId="26" xfId="0" applyFill="1" applyBorder="1"/>
    <xf numFmtId="167" fontId="0" fillId="0" borderId="29" xfId="3" applyNumberFormat="1" applyFont="1" applyBorder="1"/>
    <xf numFmtId="0" fontId="0" fillId="0" borderId="30" xfId="0" applyBorder="1"/>
    <xf numFmtId="0" fontId="0" fillId="0" borderId="31" xfId="0" applyBorder="1"/>
    <xf numFmtId="0" fontId="4" fillId="0" borderId="28" xfId="0" applyFont="1" applyBorder="1"/>
    <xf numFmtId="167" fontId="4" fillId="0" borderId="29" xfId="3" applyNumberFormat="1" applyFont="1" applyBorder="1"/>
    <xf numFmtId="167" fontId="0" fillId="0" borderId="27" xfId="3" applyNumberFormat="1" applyFont="1" applyBorder="1"/>
    <xf numFmtId="165" fontId="0" fillId="0" borderId="4" xfId="1" applyNumberFormat="1" applyFont="1" applyBorder="1"/>
    <xf numFmtId="0" fontId="4" fillId="0" borderId="24" xfId="0" applyFont="1" applyBorder="1"/>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43" fontId="0" fillId="0" borderId="2" xfId="1" applyNumberFormat="1" applyFont="1" applyBorder="1"/>
    <xf numFmtId="43" fontId="0" fillId="2" borderId="0" xfId="1" applyNumberFormat="1" applyFont="1" applyFill="1" applyProtection="1">
      <protection locked="0"/>
    </xf>
    <xf numFmtId="43" fontId="2" fillId="0" borderId="0" xfId="1" applyNumberFormat="1" applyFont="1" applyFill="1"/>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7.xml"/><Relationship Id="rId18" Type="http://schemas.openxmlformats.org/officeDocument/2006/relationships/worksheet" Target="worksheets/sheet1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chartsheet" Target="chartsheets/sheet1.xml"/><Relationship Id="rId12" Type="http://schemas.openxmlformats.org/officeDocument/2006/relationships/chartsheet" Target="chartsheets/sheet6.xml"/><Relationship Id="rId17" Type="http://schemas.openxmlformats.org/officeDocument/2006/relationships/worksheet" Target="worksheets/sheet10.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5.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chartsheet" Target="chartsheets/sheet4.xml"/><Relationship Id="rId19" Type="http://schemas.openxmlformats.org/officeDocument/2006/relationships/worksheet" Target="worksheets/sheet12.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7.xml"/><Relationship Id="rId22" Type="http://schemas.openxmlformats.org/officeDocument/2006/relationships/externalLink" Target="externalLinks/externalLink3.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Data'!$B$2:$P$2</c:f>
              <c:numCache>
                <c:formatCode>_(* #,##0_);_(* \(#,##0\);_(* "-"??_);_(@_)</c:formatCode>
                <c:ptCount val="15"/>
                <c:pt idx="0">
                  <c:v>0</c:v>
                </c:pt>
                <c:pt idx="1">
                  <c:v>0</c:v>
                </c:pt>
                <c:pt idx="2">
                  <c:v>0</c:v>
                </c:pt>
                <c:pt idx="3">
                  <c:v>0</c:v>
                </c:pt>
                <c:pt idx="4">
                  <c:v>1.4854752635630366</c:v>
                </c:pt>
                <c:pt idx="5">
                  <c:v>2.1827219073715307</c:v>
                </c:pt>
                <c:pt idx="6">
                  <c:v>2.4274039052828504</c:v>
                </c:pt>
                <c:pt idx="7">
                  <c:v>2.3306636525505469</c:v>
                </c:pt>
                <c:pt idx="8">
                  <c:v>2.527853181544597</c:v>
                </c:pt>
                <c:pt idx="9">
                  <c:v>2.5357325070002865</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Data'!$B$3:$P$3</c:f>
              <c:numCache>
                <c:formatCode>General</c:formatCode>
                <c:ptCount val="15"/>
                <c:pt idx="10" formatCode="_(* #,##0_);_(* \(#,##0\);_(* &quot;-&quot;??_);_(@_)">
                  <c:v>2.7385911075603095</c:v>
                </c:pt>
                <c:pt idx="11" formatCode="_(* #,##0_);_(* \(#,##0\);_(* &quot;-&quot;??_);_(@_)">
                  <c:v>2.9576783961651345</c:v>
                </c:pt>
                <c:pt idx="12" formatCode="_(* #,##0_);_(* \(#,##0\);_(* &quot;-&quot;??_);_(@_)">
                  <c:v>3.1942926678583454</c:v>
                </c:pt>
                <c:pt idx="13" formatCode="_(* #,##0_);_(* \(#,##0\);_(* &quot;-&quot;??_);_(@_)">
                  <c:v>3.4498360812870135</c:v>
                </c:pt>
                <c:pt idx="14" formatCode="_(* #,##0_);_(* \(#,##0\);_(* &quot;-&quot;??_);_(@_)">
                  <c:v>3.7258229677899748</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Data'!$B$4:$P$4</c:f>
              <c:numCache>
                <c:formatCode>General</c:formatCode>
                <c:ptCount val="15"/>
                <c:pt idx="10" formatCode="_(* #,##0_);_(* \(#,##0\);_(* &quot;-&quot;??_);_(@_)">
                  <c:v>2.637161807280298</c:v>
                </c:pt>
                <c:pt idx="11" formatCode="_(* #,##0_);_(* \(#,##0\);_(* &quot;-&quot;??_);_(@_)">
                  <c:v>2.7426482795715099</c:v>
                </c:pt>
                <c:pt idx="12" formatCode="_(* #,##0_);_(* \(#,##0\);_(* &quot;-&quot;??_);_(@_)">
                  <c:v>2.8523542107543705</c:v>
                </c:pt>
                <c:pt idx="13" formatCode="_(* #,##0_);_(* \(#,##0\);_(* &quot;-&quot;??_);_(@_)">
                  <c:v>2.9664483791845453</c:v>
                </c:pt>
                <c:pt idx="14" formatCode="_(* #,##0_);_(* \(#,##0\);_(* &quot;-&quot;??_);_(@_)">
                  <c:v>3.0851063143519273</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Data'!$B$5:$P$5</c:f>
              <c:numCache>
                <c:formatCode>0%</c:formatCode>
                <c:ptCount val="15"/>
                <c:pt idx="1">
                  <c:v>0</c:v>
                </c:pt>
                <c:pt idx="2">
                  <c:v>0</c:v>
                </c:pt>
                <c:pt idx="3">
                  <c:v>0</c:v>
                </c:pt>
                <c:pt idx="4">
                  <c:v>0</c:v>
                </c:pt>
                <c:pt idx="5">
                  <c:v>0.46937613901162489</c:v>
                </c:pt>
                <c:pt idx="6">
                  <c:v>0.11209948325756702</c:v>
                </c:pt>
                <c:pt idx="7">
                  <c:v>-3.985338102231939E-2</c:v>
                </c:pt>
                <c:pt idx="8">
                  <c:v>8.4606600690003919E-2</c:v>
                </c:pt>
                <c:pt idx="9">
                  <c:v>3.1170028042826203E-3</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Data'!$B$6:$P$6</c:f>
              <c:numCache>
                <c:formatCode>General</c:formatCode>
                <c:ptCount val="15"/>
                <c:pt idx="9" formatCode="0%">
                  <c:v>3.1170028042826203E-3</c:v>
                </c:pt>
                <c:pt idx="10" formatCode="0%">
                  <c:v>0.08</c:v>
                </c:pt>
                <c:pt idx="11" formatCode="0%">
                  <c:v>0.08</c:v>
                </c:pt>
                <c:pt idx="12" formatCode="0%">
                  <c:v>0.08</c:v>
                </c:pt>
                <c:pt idx="13" formatCode="0%">
                  <c:v>0.08</c:v>
                </c:pt>
                <c:pt idx="14" formatCode="0%">
                  <c:v>0.08</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Data'!$B$7:$P$7</c:f>
              <c:numCache>
                <c:formatCode>General</c:formatCode>
                <c:ptCount val="15"/>
                <c:pt idx="9" formatCode="0%">
                  <c:v>3.1170028042826203E-3</c:v>
                </c:pt>
                <c:pt idx="10" formatCode="0%">
                  <c:v>0.04</c:v>
                </c:pt>
                <c:pt idx="11" formatCode="0%">
                  <c:v>0.04</c:v>
                </c:pt>
                <c:pt idx="12" formatCode="0%">
                  <c:v>0.04</c:v>
                </c:pt>
                <c:pt idx="13" formatCode="0%">
                  <c:v>0.04</c:v>
                </c:pt>
                <c:pt idx="14" formatCode="0%">
                  <c:v>0.04</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Data'!$B$10:$P$10</c:f>
              <c:numCache>
                <c:formatCode>_(* #,##0_);_(* \(#,##0\);_(* "-"??_);_(@_)</c:formatCode>
                <c:ptCount val="15"/>
                <c:pt idx="0">
                  <c:v>0</c:v>
                </c:pt>
                <c:pt idx="1">
                  <c:v>0</c:v>
                </c:pt>
                <c:pt idx="2">
                  <c:v>0</c:v>
                </c:pt>
                <c:pt idx="3">
                  <c:v>0</c:v>
                </c:pt>
                <c:pt idx="4">
                  <c:v>0.81991942951897234</c:v>
                </c:pt>
                <c:pt idx="5">
                  <c:v>1.1010214983797442</c:v>
                </c:pt>
                <c:pt idx="6">
                  <c:v>1.3075205444616447</c:v>
                </c:pt>
                <c:pt idx="7">
                  <c:v>1.530536954910618</c:v>
                </c:pt>
                <c:pt idx="8">
                  <c:v>1.6543959899005971</c:v>
                </c:pt>
                <c:pt idx="9">
                  <c:v>1.7326360359648261</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Data'!$B$11:$P$11</c:f>
              <c:numCache>
                <c:formatCode>General</c:formatCode>
                <c:ptCount val="15"/>
                <c:pt idx="10" formatCode="_(* #,##0_);_(* \(#,##0\);_(* &quot;-&quot;??_);_(@_)">
                  <c:v>1.8896278642166136</c:v>
                </c:pt>
                <c:pt idx="11" formatCode="_(* #,##0_);_(* \(#,##0\);_(* &quot;-&quot;??_);_(@_)">
                  <c:v>2.0703748773155941</c:v>
                </c:pt>
                <c:pt idx="12" formatCode="_(* #,##0_);_(* \(#,##0\);_(* &quot;-&quot;??_);_(@_)">
                  <c:v>2.2679477941794253</c:v>
                </c:pt>
                <c:pt idx="13" formatCode="_(* #,##0_);_(* \(#,##0\);_(* &quot;-&quot;??_);_(@_)">
                  <c:v>2.4838819785266497</c:v>
                </c:pt>
                <c:pt idx="14" formatCode="_(* #,##0_);_(* \(#,##0\);_(* &quot;-&quot;??_);_(@_)">
                  <c:v>2.682592536808782</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Data'!$B$12:$P$12</c:f>
              <c:numCache>
                <c:formatCode>General</c:formatCode>
                <c:ptCount val="15"/>
                <c:pt idx="10" formatCode="_(* #,##0_);_(* \(#,##0\);_(* &quot;-&quot;??_);_(@_)">
                  <c:v>1.7932700289506027</c:v>
                </c:pt>
                <c:pt idx="11" formatCode="_(* #,##0_);_(* \(#,##0\);_(* &quot;-&quot;??_);_(@_)">
                  <c:v>1.8375743473129118</c:v>
                </c:pt>
                <c:pt idx="12" formatCode="_(* #,##0_);_(* \(#,##0\);_(* &quot;-&quot;??_);_(@_)">
                  <c:v>1.8540302369903408</c:v>
                </c:pt>
                <c:pt idx="13" formatCode="_(* #,##0_);_(* \(#,##0\);_(* &quot;-&quot;??_);_(@_)">
                  <c:v>1.8688624788862636</c:v>
                </c:pt>
                <c:pt idx="14" formatCode="_(* #,##0_);_(* \(#,##0\);_(* &quot;-&quot;??_);_(@_)">
                  <c:v>1.9127659148981948</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Data'!$B$13:$P$13</c:f>
              <c:numCache>
                <c:formatCode>0%</c:formatCode>
                <c:ptCount val="15"/>
                <c:pt idx="0">
                  <c:v>0</c:v>
                </c:pt>
                <c:pt idx="1">
                  <c:v>0</c:v>
                </c:pt>
                <c:pt idx="2">
                  <c:v>0</c:v>
                </c:pt>
                <c:pt idx="3">
                  <c:v>0</c:v>
                </c:pt>
                <c:pt idx="4">
                  <c:v>0.55195764590002461</c:v>
                </c:pt>
                <c:pt idx="5">
                  <c:v>0.50442591640343781</c:v>
                </c:pt>
                <c:pt idx="6">
                  <c:v>0.53864976554418431</c:v>
                </c:pt>
                <c:pt idx="7">
                  <c:v>0.65669576699138232</c:v>
                </c:pt>
                <c:pt idx="8">
                  <c:v>0.65446680288991688</c:v>
                </c:pt>
                <c:pt idx="9">
                  <c:v>0.6832881745931848</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Data'!$B$14:$P$14</c:f>
              <c:numCache>
                <c:formatCode>General</c:formatCode>
                <c:ptCount val="15"/>
                <c:pt idx="9" formatCode="0%">
                  <c:v>0.6832881745931848</c:v>
                </c:pt>
                <c:pt idx="10" formatCode="0%">
                  <c:v>0.69</c:v>
                </c:pt>
                <c:pt idx="11" formatCode="0%">
                  <c:v>0.7</c:v>
                </c:pt>
                <c:pt idx="12" formatCode="0%">
                  <c:v>0.71</c:v>
                </c:pt>
                <c:pt idx="13" formatCode="0%">
                  <c:v>0.72</c:v>
                </c:pt>
                <c:pt idx="14" formatCode="0%">
                  <c:v>0.72</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Data'!$B$15:$P$15</c:f>
              <c:numCache>
                <c:formatCode>General</c:formatCode>
                <c:ptCount val="15"/>
                <c:pt idx="9" formatCode="0%">
                  <c:v>0.6832881745931848</c:v>
                </c:pt>
                <c:pt idx="10" formatCode="0%">
                  <c:v>0.68</c:v>
                </c:pt>
                <c:pt idx="11" formatCode="0%">
                  <c:v>0.67</c:v>
                </c:pt>
                <c:pt idx="12" formatCode="0%">
                  <c:v>0.65</c:v>
                </c:pt>
                <c:pt idx="13" formatCode="0%">
                  <c:v>0.63</c:v>
                </c:pt>
                <c:pt idx="14" formatCode="0%">
                  <c:v>0.62</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Data'!$B$18:$K$18</c:f>
              <c:numCache>
                <c:formatCode>_(* #,##0_);_(* \(#,##0\);_(* "-"??_);_(@_)</c:formatCode>
                <c:ptCount val="10"/>
                <c:pt idx="0">
                  <c:v>0</c:v>
                </c:pt>
                <c:pt idx="1">
                  <c:v>0</c:v>
                </c:pt>
                <c:pt idx="2">
                  <c:v>0</c:v>
                </c:pt>
                <c:pt idx="3">
                  <c:v>0</c:v>
                </c:pt>
                <c:pt idx="4">
                  <c:v>0.81991942951897234</c:v>
                </c:pt>
                <c:pt idx="5">
                  <c:v>1.1010214983797442</c:v>
                </c:pt>
                <c:pt idx="6">
                  <c:v>1.3075205444616447</c:v>
                </c:pt>
                <c:pt idx="7">
                  <c:v>1.530536954910618</c:v>
                </c:pt>
                <c:pt idx="8">
                  <c:v>1.6543959899005971</c:v>
                </c:pt>
                <c:pt idx="9">
                  <c:v>1.7326360359648261</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Data'!$B$19:$K$19</c:f>
              <c:numCache>
                <c:formatCode>_(* #,##0_);_(* \(#,##0\);_(* "-"??_);_(@_)</c:formatCode>
                <c:ptCount val="10"/>
                <c:pt idx="0">
                  <c:v>0</c:v>
                </c:pt>
                <c:pt idx="1">
                  <c:v>0</c:v>
                </c:pt>
                <c:pt idx="2">
                  <c:v>0</c:v>
                </c:pt>
                <c:pt idx="3">
                  <c:v>0</c:v>
                </c:pt>
                <c:pt idx="4">
                  <c:v>0</c:v>
                </c:pt>
                <c:pt idx="5">
                  <c:v>0</c:v>
                </c:pt>
                <c:pt idx="6">
                  <c:v>1.1936205444616448</c:v>
                </c:pt>
                <c:pt idx="7">
                  <c:v>0.49053695491061799</c:v>
                </c:pt>
                <c:pt idx="8">
                  <c:v>0.534395989900597</c:v>
                </c:pt>
                <c:pt idx="9">
                  <c:v>0.53263603596482612</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Data'!$B$22:$K$22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Data'!$B$24:$K$24</c:f>
              <c:numCache>
                <c:formatCode>_(* #,##0_);_(* \(#,##0\);_(* "-"??_);_(@_)</c:formatCode>
                <c:ptCount val="10"/>
                <c:pt idx="0">
                  <c:v>0</c:v>
                </c:pt>
                <c:pt idx="1">
                  <c:v>0</c:v>
                </c:pt>
                <c:pt idx="2">
                  <c:v>0</c:v>
                </c:pt>
                <c:pt idx="3">
                  <c:v>0</c:v>
                </c:pt>
                <c:pt idx="4">
                  <c:v>0</c:v>
                </c:pt>
                <c:pt idx="5">
                  <c:v>0</c:v>
                </c:pt>
                <c:pt idx="6">
                  <c:v>1.1936205444616448</c:v>
                </c:pt>
                <c:pt idx="7">
                  <c:v>0.49053695491061799</c:v>
                </c:pt>
                <c:pt idx="8">
                  <c:v>0.534395989900597</c:v>
                </c:pt>
                <c:pt idx="9">
                  <c:v>0.53263603596482612</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Data'!$B$27:$K$27</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Data'!$B$23:$K$23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0</c:v>
                </c:pt>
                <c:pt idx="1">
                  <c:v>0</c:v>
                </c:pt>
                <c:pt idx="2">
                  <c:v>0</c:v>
                </c:pt>
                <c:pt idx="3">
                  <c:v>0</c:v>
                </c:pt>
                <c:pt idx="4">
                  <c:v>0.81991942951897234</c:v>
                </c:pt>
                <c:pt idx="5">
                  <c:v>1.1010214983797442</c:v>
                </c:pt>
                <c:pt idx="6">
                  <c:v>0.11389999999999989</c:v>
                </c:pt>
                <c:pt idx="7">
                  <c:v>1.04</c:v>
                </c:pt>
                <c:pt idx="8">
                  <c:v>1.1200000000000001</c:v>
                </c:pt>
                <c:pt idx="9">
                  <c:v>1.2</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1.2552890202654219</c:v>
                </c:pt>
                <c:pt idx="11" formatCode="_(* #,##0_);_(* \(#,##0\);_(* &quot;-&quot;??_);_(@_)">
                  <c:v>1.2863020431190382</c:v>
                </c:pt>
                <c:pt idx="12" formatCode="_(* #,##0_);_(* \(#,##0\);_(* &quot;-&quot;??_);_(@_)">
                  <c:v>1.2978211658932384</c:v>
                </c:pt>
                <c:pt idx="13" formatCode="_(* #,##0_);_(* \(#,##0\);_(* &quot;-&quot;??_);_(@_)">
                  <c:v>1.3082037352203844</c:v>
                </c:pt>
                <c:pt idx="14" formatCode="_(* #,##0_);_(* \(#,##0\);_(* &quot;-&quot;??_);_(@_)">
                  <c:v>1.3389361404287363</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1.3227395049516295</c:v>
                </c:pt>
                <c:pt idx="11" formatCode="_(* #,##0_);_(* \(#,##0\);_(* &quot;-&quot;??_);_(@_)">
                  <c:v>1.4492624141209158</c:v>
                </c:pt>
                <c:pt idx="12" formatCode="_(* #,##0_);_(* \(#,##0\);_(* &quot;-&quot;??_);_(@_)">
                  <c:v>1.5875634559255976</c:v>
                </c:pt>
                <c:pt idx="13" formatCode="_(* #,##0_);_(* \(#,##0\);_(* &quot;-&quot;??_);_(@_)">
                  <c:v>1.7387173849686548</c:v>
                </c:pt>
                <c:pt idx="14" formatCode="_(* #,##0_);_(* \(#,##0\);_(* &quot;-&quot;??_);_(@_)">
                  <c:v>1.8778147757661472</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Data'!$B$33:$P$33</c:f>
              <c:numCache>
                <c:formatCode>0%</c:formatCode>
                <c:ptCount val="15"/>
                <c:pt idx="0">
                  <c:v>0</c:v>
                </c:pt>
                <c:pt idx="1">
                  <c:v>0</c:v>
                </c:pt>
                <c:pt idx="2">
                  <c:v>0</c:v>
                </c:pt>
                <c:pt idx="3">
                  <c:v>0</c:v>
                </c:pt>
                <c:pt idx="4">
                  <c:v>0.55195764590002461</c:v>
                </c:pt>
                <c:pt idx="5">
                  <c:v>0.50442591640343781</c:v>
                </c:pt>
                <c:pt idx="6">
                  <c:v>4.6922557779574728E-2</c:v>
                </c:pt>
                <c:pt idx="7">
                  <c:v>0.44622483336962099</c:v>
                </c:pt>
                <c:pt idx="8">
                  <c:v>0.44306370645926724</c:v>
                </c:pt>
                <c:pt idx="9">
                  <c:v>0.47323603601216302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Data'!$B$35:$P$35</c:f>
              <c:numCache>
                <c:formatCode>General</c:formatCode>
                <c:ptCount val="15"/>
                <c:pt idx="9" formatCode="0%">
                  <c:v>0.47323603601216302</c:v>
                </c:pt>
                <c:pt idx="10" formatCode="0.0%">
                  <c:v>0.47599999999999998</c:v>
                </c:pt>
                <c:pt idx="11" formatCode="0.0%">
                  <c:v>0.46899999999999997</c:v>
                </c:pt>
                <c:pt idx="12" formatCode="0.0%">
                  <c:v>0.45499999999999996</c:v>
                </c:pt>
                <c:pt idx="13" formatCode="0.0%">
                  <c:v>0.44099999999999995</c:v>
                </c:pt>
                <c:pt idx="14" formatCode="0.0%">
                  <c:v>0.434</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Data'!$B$34:$P$34</c:f>
              <c:numCache>
                <c:formatCode>General</c:formatCode>
                <c:ptCount val="15"/>
                <c:pt idx="9" formatCode="0%">
                  <c:v>0.47323603601216302</c:v>
                </c:pt>
                <c:pt idx="10" formatCode="0.0%">
                  <c:v>0.48299999999999993</c:v>
                </c:pt>
                <c:pt idx="11" formatCode="0.0%">
                  <c:v>0.48999999999999994</c:v>
                </c:pt>
                <c:pt idx="12" formatCode="0.0%">
                  <c:v>0.49699999999999994</c:v>
                </c:pt>
                <c:pt idx="13" formatCode="0.0%">
                  <c:v>0.504</c:v>
                </c:pt>
                <c:pt idx="14" formatCode="0.0%">
                  <c:v>0.504</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STOR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0</c:v>
                </c:pt>
                <c:pt idx="1">
                  <c:v>0</c:v>
                </c:pt>
                <c:pt idx="2">
                  <c:v>0</c:v>
                </c:pt>
                <c:pt idx="3">
                  <c:v>0</c:v>
                </c:pt>
                <c:pt idx="4">
                  <c:v>0.81991942951897234</c:v>
                </c:pt>
                <c:pt idx="5">
                  <c:v>1.1010214983797442</c:v>
                </c:pt>
                <c:pt idx="6">
                  <c:v>1.3075205444616447</c:v>
                </c:pt>
                <c:pt idx="7">
                  <c:v>1.530536954910618</c:v>
                </c:pt>
                <c:pt idx="8">
                  <c:v>1.6543959899005971</c:v>
                </c:pt>
                <c:pt idx="9">
                  <c:v>1.7326360359648261</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STOR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STOR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Data'!$B$40:$K$40</c:f>
              <c:numCache>
                <c:formatCode>0%</c:formatCode>
                <c:ptCount val="10"/>
                <c:pt idx="1">
                  <c:v>0</c:v>
                </c:pt>
                <c:pt idx="2">
                  <c:v>0</c:v>
                </c:pt>
                <c:pt idx="3">
                  <c:v>0</c:v>
                </c:pt>
                <c:pt idx="4">
                  <c:v>0</c:v>
                </c:pt>
                <c:pt idx="5">
                  <c:v>0.29717753321520535</c:v>
                </c:pt>
                <c:pt idx="6">
                  <c:v>0.1509326681134795</c:v>
                </c:pt>
                <c:pt idx="7">
                  <c:v>0.17275034800078981</c:v>
                </c:pt>
                <c:pt idx="8">
                  <c:v>8.0925216861041038E-2</c:v>
                </c:pt>
                <c:pt idx="9">
                  <c:v>4.729221210753165E-2</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STOR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Data'!$B$41:$K$41</c:f>
              <c:numCache>
                <c:formatCode>0%</c:formatCode>
                <c:ptCount val="10"/>
                <c:pt idx="3">
                  <c:v>0</c:v>
                </c:pt>
                <c:pt idx="4">
                  <c:v>0</c:v>
                </c:pt>
                <c:pt idx="5">
                  <c:v>1.3038088157877159</c:v>
                </c:pt>
                <c:pt idx="6">
                  <c:v>0.64167175056056291</c:v>
                </c:pt>
                <c:pt idx="7">
                  <c:v>0.19404134600732004</c:v>
                </c:pt>
                <c:pt idx="8">
                  <c:v>0.1292966863174283</c:v>
                </c:pt>
                <c:pt idx="9">
                  <c:v>9.5358526633868346E-2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Stor Capital Corp (STOR)</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0.9</c:v>
                </c:pt>
                <c:pt idx="2">
                  <c:v>1.8</c:v>
                </c:pt>
                <c:pt idx="3">
                  <c:v>2.6999999999999997</c:v>
                </c:pt>
                <c:pt idx="4">
                  <c:v>3.6</c:v>
                </c:pt>
                <c:pt idx="5">
                  <c:v>4.5</c:v>
                </c:pt>
                <c:pt idx="6">
                  <c:v>5.4</c:v>
                </c:pt>
                <c:pt idx="7">
                  <c:v>6.3000000000000007</c:v>
                </c:pt>
                <c:pt idx="8">
                  <c:v>7.2</c:v>
                </c:pt>
                <c:pt idx="9">
                  <c:v>8.1</c:v>
                </c:pt>
                <c:pt idx="10">
                  <c:v>9</c:v>
                </c:pt>
                <c:pt idx="11">
                  <c:v>9.8999999999999986</c:v>
                </c:pt>
                <c:pt idx="12">
                  <c:v>10.799999999999999</c:v>
                </c:pt>
                <c:pt idx="13">
                  <c:v>11.699999999999998</c:v>
                </c:pt>
                <c:pt idx="14">
                  <c:v>12.599999999999998</c:v>
                </c:pt>
                <c:pt idx="15">
                  <c:v>13.5</c:v>
                </c:pt>
                <c:pt idx="16">
                  <c:v>14.4</c:v>
                </c:pt>
                <c:pt idx="17">
                  <c:v>15.3</c:v>
                </c:pt>
                <c:pt idx="18">
                  <c:v>16.200000000000003</c:v>
                </c:pt>
                <c:pt idx="19">
                  <c:v>17.100000000000001</c:v>
                </c:pt>
                <c:pt idx="20">
                  <c:v>18.000000000000004</c:v>
                </c:pt>
                <c:pt idx="21">
                  <c:v>18.900000000000006</c:v>
                </c:pt>
                <c:pt idx="22">
                  <c:v>19.800000000000004</c:v>
                </c:pt>
                <c:pt idx="23">
                  <c:v>20.700000000000006</c:v>
                </c:pt>
                <c:pt idx="24">
                  <c:v>21.600000000000005</c:v>
                </c:pt>
                <c:pt idx="25">
                  <c:v>22.500000000000004</c:v>
                </c:pt>
                <c:pt idx="26">
                  <c:v>23.400000000000006</c:v>
                </c:pt>
                <c:pt idx="27">
                  <c:v>24.300000000000008</c:v>
                </c:pt>
                <c:pt idx="28">
                  <c:v>25.200000000000006</c:v>
                </c:pt>
                <c:pt idx="29">
                  <c:v>26.100000000000009</c:v>
                </c:pt>
                <c:pt idx="30">
                  <c:v>27.000000000000011</c:v>
                </c:pt>
                <c:pt idx="31">
                  <c:v>27.900000000000009</c:v>
                </c:pt>
                <c:pt idx="32">
                  <c:v>28.800000000000011</c:v>
                </c:pt>
                <c:pt idx="33">
                  <c:v>29.70000000000001</c:v>
                </c:pt>
                <c:pt idx="34">
                  <c:v>30.600000000000012</c:v>
                </c:pt>
                <c:pt idx="35">
                  <c:v>31.500000000000014</c:v>
                </c:pt>
                <c:pt idx="36">
                  <c:v>32.400000000000013</c:v>
                </c:pt>
                <c:pt idx="37">
                  <c:v>33.300000000000011</c:v>
                </c:pt>
                <c:pt idx="38">
                  <c:v>34.200000000000017</c:v>
                </c:pt>
                <c:pt idx="39">
                  <c:v>35.100000000000016</c:v>
                </c:pt>
                <c:pt idx="40">
                  <c:v>36.000000000000014</c:v>
                </c:pt>
                <c:pt idx="41">
                  <c:v>36.90000000000002</c:v>
                </c:pt>
                <c:pt idx="42">
                  <c:v>37.800000000000018</c:v>
                </c:pt>
                <c:pt idx="43">
                  <c:v>38.700000000000017</c:v>
                </c:pt>
                <c:pt idx="44">
                  <c:v>39.600000000000023</c:v>
                </c:pt>
                <c:pt idx="45">
                  <c:v>40.500000000000021</c:v>
                </c:pt>
                <c:pt idx="46">
                  <c:v>41.40000000000002</c:v>
                </c:pt>
                <c:pt idx="47">
                  <c:v>42.300000000000026</c:v>
                </c:pt>
                <c:pt idx="48">
                  <c:v>43.200000000000024</c:v>
                </c:pt>
                <c:pt idx="49">
                  <c:v>44.100000000000023</c:v>
                </c:pt>
                <c:pt idx="50">
                  <c:v>45.000000000000021</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6.25E-2</c:v>
                </c:pt>
                <c:pt idx="27">
                  <c:v>0</c:v>
                </c:pt>
                <c:pt idx="28">
                  <c:v>0</c:v>
                </c:pt>
                <c:pt idx="29">
                  <c:v>6.25E-2</c:v>
                </c:pt>
                <c:pt idx="30">
                  <c:v>6.25E-2</c:v>
                </c:pt>
                <c:pt idx="31">
                  <c:v>0</c:v>
                </c:pt>
                <c:pt idx="32">
                  <c:v>6.25E-2</c:v>
                </c:pt>
                <c:pt idx="33">
                  <c:v>0</c:v>
                </c:pt>
                <c:pt idx="34">
                  <c:v>6.25E-2</c:v>
                </c:pt>
                <c:pt idx="35">
                  <c:v>0</c:v>
                </c:pt>
                <c:pt idx="36">
                  <c:v>0</c:v>
                </c:pt>
                <c:pt idx="37">
                  <c:v>0</c:v>
                </c:pt>
                <c:pt idx="38">
                  <c:v>0</c:v>
                </c:pt>
                <c:pt idx="39">
                  <c:v>6.25E-2</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0.9</c:v>
                </c:pt>
                <c:pt idx="2">
                  <c:v>1.8</c:v>
                </c:pt>
                <c:pt idx="3">
                  <c:v>2.6999999999999997</c:v>
                </c:pt>
                <c:pt idx="4">
                  <c:v>3.6</c:v>
                </c:pt>
                <c:pt idx="5">
                  <c:v>4.5</c:v>
                </c:pt>
                <c:pt idx="6">
                  <c:v>5.4</c:v>
                </c:pt>
                <c:pt idx="7">
                  <c:v>6.3000000000000007</c:v>
                </c:pt>
                <c:pt idx="8">
                  <c:v>7.2</c:v>
                </c:pt>
                <c:pt idx="9">
                  <c:v>8.1</c:v>
                </c:pt>
                <c:pt idx="10">
                  <c:v>9</c:v>
                </c:pt>
                <c:pt idx="11">
                  <c:v>9.8999999999999986</c:v>
                </c:pt>
                <c:pt idx="12">
                  <c:v>10.799999999999999</c:v>
                </c:pt>
                <c:pt idx="13">
                  <c:v>11.699999999999998</c:v>
                </c:pt>
                <c:pt idx="14">
                  <c:v>12.599999999999998</c:v>
                </c:pt>
                <c:pt idx="15">
                  <c:v>13.5</c:v>
                </c:pt>
                <c:pt idx="16">
                  <c:v>14.4</c:v>
                </c:pt>
                <c:pt idx="17">
                  <c:v>15.3</c:v>
                </c:pt>
                <c:pt idx="18">
                  <c:v>16.200000000000003</c:v>
                </c:pt>
                <c:pt idx="19">
                  <c:v>17.100000000000001</c:v>
                </c:pt>
                <c:pt idx="20">
                  <c:v>18.000000000000004</c:v>
                </c:pt>
                <c:pt idx="21">
                  <c:v>18.900000000000006</c:v>
                </c:pt>
                <c:pt idx="22">
                  <c:v>19.800000000000004</c:v>
                </c:pt>
                <c:pt idx="23">
                  <c:v>20.700000000000006</c:v>
                </c:pt>
                <c:pt idx="24">
                  <c:v>21.600000000000005</c:v>
                </c:pt>
                <c:pt idx="25">
                  <c:v>22.500000000000004</c:v>
                </c:pt>
                <c:pt idx="26">
                  <c:v>23.400000000000006</c:v>
                </c:pt>
                <c:pt idx="27">
                  <c:v>24.300000000000008</c:v>
                </c:pt>
                <c:pt idx="28">
                  <c:v>25.200000000000006</c:v>
                </c:pt>
                <c:pt idx="29">
                  <c:v>26.100000000000009</c:v>
                </c:pt>
                <c:pt idx="30">
                  <c:v>27.000000000000011</c:v>
                </c:pt>
                <c:pt idx="31">
                  <c:v>27.900000000000009</c:v>
                </c:pt>
                <c:pt idx="32">
                  <c:v>28.800000000000011</c:v>
                </c:pt>
                <c:pt idx="33">
                  <c:v>29.70000000000001</c:v>
                </c:pt>
                <c:pt idx="34">
                  <c:v>30.600000000000012</c:v>
                </c:pt>
                <c:pt idx="35">
                  <c:v>31.500000000000014</c:v>
                </c:pt>
                <c:pt idx="36">
                  <c:v>32.400000000000013</c:v>
                </c:pt>
                <c:pt idx="37">
                  <c:v>33.300000000000011</c:v>
                </c:pt>
                <c:pt idx="38">
                  <c:v>34.200000000000017</c:v>
                </c:pt>
                <c:pt idx="39">
                  <c:v>35.100000000000016</c:v>
                </c:pt>
                <c:pt idx="40">
                  <c:v>36.000000000000014</c:v>
                </c:pt>
                <c:pt idx="41">
                  <c:v>36.90000000000002</c:v>
                </c:pt>
                <c:pt idx="42">
                  <c:v>37.800000000000018</c:v>
                </c:pt>
                <c:pt idx="43">
                  <c:v>38.700000000000017</c:v>
                </c:pt>
                <c:pt idx="44">
                  <c:v>39.600000000000023</c:v>
                </c:pt>
                <c:pt idx="45">
                  <c:v>40.500000000000021</c:v>
                </c:pt>
                <c:pt idx="46">
                  <c:v>41.40000000000002</c:v>
                </c:pt>
                <c:pt idx="47">
                  <c:v>42.300000000000026</c:v>
                </c:pt>
                <c:pt idx="48">
                  <c:v>43.200000000000024</c:v>
                </c:pt>
                <c:pt idx="49">
                  <c:v>44.100000000000023</c:v>
                </c:pt>
                <c:pt idx="50">
                  <c:v>45.000000000000021</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1.2769819131267493E-211</c:v>
                </c:pt>
                <c:pt idx="1">
                  <c:v>1.2636972987936931E-39</c:v>
                </c:pt>
                <c:pt idx="2">
                  <c:v>1.5623820543554571E-25</c:v>
                </c:pt>
                <c:pt idx="3">
                  <c:v>9.3586260077272085E-19</c:v>
                </c:pt>
                <c:pt idx="4">
                  <c:v>1.302331643322195E-14</c:v>
                </c:pt>
                <c:pt idx="5">
                  <c:v>8.8387964186130956E-12</c:v>
                </c:pt>
                <c:pt idx="6">
                  <c:v>1.0265665149571851E-9</c:v>
                </c:pt>
                <c:pt idx="7">
                  <c:v>3.8241837686347975E-8</c:v>
                </c:pt>
                <c:pt idx="8">
                  <c:v>6.5152051381544985E-7</c:v>
                </c:pt>
                <c:pt idx="9">
                  <c:v>6.3115285912357366E-6</c:v>
                </c:pt>
                <c:pt idx="10">
                  <c:v>4.0075824081988689E-5</c:v>
                </c:pt>
                <c:pt idx="11">
                  <c:v>1.838208457758419E-4</c:v>
                </c:pt>
                <c:pt idx="12">
                  <c:v>6.5260818488405733E-4</c:v>
                </c:pt>
                <c:pt idx="13">
                  <c:v>1.8862543994584689E-3</c:v>
                </c:pt>
                <c:pt idx="14">
                  <c:v>4.6100947095344489E-3</c:v>
                </c:pt>
                <c:pt idx="15">
                  <c:v>9.8086814979921437E-3</c:v>
                </c:pt>
                <c:pt idx="16">
                  <c:v>1.8585032270408371E-2</c:v>
                </c:pt>
                <c:pt idx="17">
                  <c:v>3.1929254188473005E-2</c:v>
                </c:pt>
                <c:pt idx="18">
                  <c:v>5.0463305282841243E-2</c:v>
                </c:pt>
                <c:pt idx="19">
                  <c:v>7.4240735527061702E-2</c:v>
                </c:pt>
                <c:pt idx="20">
                  <c:v>0.10265946313697812</c:v>
                </c:pt>
                <c:pt idx="21">
                  <c:v>0.13450642170166677</c:v>
                </c:pt>
                <c:pt idx="22">
                  <c:v>0.16811411698477474</c:v>
                </c:pt>
                <c:pt idx="23">
                  <c:v>0.20158407281223395</c:v>
                </c:pt>
                <c:pt idx="24">
                  <c:v>0.23302503764607901</c:v>
                </c:pt>
                <c:pt idx="25">
                  <c:v>0.26076152357510296</c:v>
                </c:pt>
                <c:pt idx="26">
                  <c:v>0.28348415376051384</c:v>
                </c:pt>
                <c:pt idx="27">
                  <c:v>0.30033082512828885</c:v>
                </c:pt>
                <c:pt idx="28">
                  <c:v>0.31090225781298975</c:v>
                </c:pt>
                <c:pt idx="29">
                  <c:v>0.31522496503913955</c:v>
                </c:pt>
                <c:pt idx="30">
                  <c:v>0.31367889615948652</c:v>
                </c:pt>
                <c:pt idx="31">
                  <c:v>0.30690703445187928</c:v>
                </c:pt>
                <c:pt idx="32">
                  <c:v>0.29572156871422001</c:v>
                </c:pt>
                <c:pt idx="33">
                  <c:v>0.2810173315443163</c:v>
                </c:pt>
                <c:pt idx="34">
                  <c:v>0.26369909985588719</c:v>
                </c:pt>
                <c:pt idx="35">
                  <c:v>0.24462577131948282</c:v>
                </c:pt>
                <c:pt idx="36">
                  <c:v>0.22457169113019387</c:v>
                </c:pt>
                <c:pt idx="37">
                  <c:v>0.20420357061514749</c:v>
                </c:pt>
                <c:pt idx="38">
                  <c:v>0.1840704153145187</c:v>
                </c:pt>
                <c:pt idx="39">
                  <c:v>0.16460349139698124</c:v>
                </c:pt>
                <c:pt idx="40">
                  <c:v>0.14612341465886203</c:v>
                </c:pt>
                <c:pt idx="41">
                  <c:v>0.12885177332875536</c:v>
                </c:pt>
                <c:pt idx="42">
                  <c:v>0.11292515681965225</c:v>
                </c:pt>
                <c:pt idx="43">
                  <c:v>9.8409958594058183E-2</c:v>
                </c:pt>
                <c:pt idx="44">
                  <c:v>8.5316788870540228E-2</c:v>
                </c:pt>
                <c:pt idx="45">
                  <c:v>7.3613736835500584E-2</c:v>
                </c:pt>
                <c:pt idx="46">
                  <c:v>6.3238047898921845E-2</c:v>
                </c:pt>
                <c:pt idx="47">
                  <c:v>5.4106028670944231E-2</c:v>
                </c:pt>
                <c:pt idx="48">
                  <c:v>4.6121168175070136E-2</c:v>
                </c:pt>
                <c:pt idx="49">
                  <c:v>3.9180579742771303E-2</c:v>
                </c:pt>
                <c:pt idx="50">
                  <c:v>3.317993657513283E-2</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6"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6"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6"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6"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6"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126"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zoomScale="126" workbookViewId="0" zoomToFit="1"/>
  </sheetViews>
  <pageMargins left="0.7" right="0.7" top="0.75" bottom="0.75" header="0.3" footer="0.3"/>
  <pageSetup paperSize="5"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sheetData sheetId="1"/>
      <sheetData sheetId="2"/>
      <sheetData sheetId="3"/>
      <sheetData sheetId="4"/>
      <sheetData sheetId="5"/>
      <sheetData sheetId="6">
        <row r="3">
          <cell r="B3" t="b">
            <v>0</v>
          </cell>
        </row>
        <row r="5">
          <cell r="B5" t="b">
            <v>0</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A157" sqref="A157"/>
    </sheetView>
  </sheetViews>
  <sheetFormatPr defaultRowHeight="14.25"/>
  <cols>
    <col min="1" max="1" width="38.73046875" bestFit="1" customWidth="1"/>
    <col min="2" max="7" width="11.73046875" customWidth="1"/>
    <col min="8" max="9" width="10.59765625" bestFit="1" customWidth="1"/>
    <col min="10" max="10" width="11.3984375" customWidth="1"/>
    <col min="11" max="11" width="10.59765625" bestFit="1" customWidth="1"/>
    <col min="12" max="13" width="9.59765625" bestFit="1" customWidth="1"/>
    <col min="14" max="14" width="10.59765625" bestFit="1" customWidth="1"/>
    <col min="15" max="15" width="11.59765625" bestFit="1" customWidth="1"/>
  </cols>
  <sheetData>
    <row r="1" spans="1:13" ht="14.65" thickBot="1">
      <c r="A1" s="177" t="s">
        <v>61</v>
      </c>
      <c r="B1" s="177"/>
      <c r="C1" s="177"/>
      <c r="D1" s="177"/>
      <c r="E1" s="177"/>
      <c r="F1" s="177"/>
      <c r="G1" s="177"/>
      <c r="I1" s="186" t="s">
        <v>51</v>
      </c>
      <c r="J1" s="187"/>
      <c r="K1" s="89" t="s">
        <v>58</v>
      </c>
      <c r="L1" s="61" t="s">
        <v>108</v>
      </c>
    </row>
    <row r="2" spans="1:13">
      <c r="A2" s="50" t="s">
        <v>191</v>
      </c>
      <c r="B2" s="43" t="s">
        <v>192</v>
      </c>
      <c r="C2" s="96" t="str">
        <f>A2&amp;" ("&amp;ticker&amp;")"</f>
        <v>Stor Capital Corp (STOR)</v>
      </c>
      <c r="E2" s="3" t="s">
        <v>57</v>
      </c>
      <c r="F2" s="3"/>
      <c r="G2" s="49">
        <v>26.31</v>
      </c>
      <c r="I2" s="182" t="str">
        <f>(ROUND(AVERAGE(C9:G9)*100,0)&amp;"% | "&amp;ROUND(AVERAGE(C11:G11)*100,0)&amp;"% | "&amp;ROUND(C18*100,0)&amp;"%")</f>
        <v>4% | 65% | 4%</v>
      </c>
      <c r="J2" s="183"/>
      <c r="K2" s="90">
        <f ca="1">TRUNC(Scenario1)+B13/G4</f>
        <v>23</v>
      </c>
      <c r="L2" s="92" t="s">
        <v>53</v>
      </c>
      <c r="M2" s="44"/>
    </row>
    <row r="3" spans="1:13">
      <c r="A3" t="s">
        <v>0</v>
      </c>
      <c r="B3" s="13">
        <v>43100</v>
      </c>
      <c r="E3" t="s">
        <v>60</v>
      </c>
      <c r="G3" s="142">
        <f>'Company Analysis'!K3</f>
        <v>2.5357325070002865</v>
      </c>
      <c r="I3" s="182" t="str">
        <f>(ROUND(AVERAGE(C9:G9)*100,0)&amp;"% | "&amp;ROUND(AVERAGE(C11:G11)*100,0)&amp;"% | "&amp;ROUND(C17*100,0)&amp;"%")</f>
        <v>4% | 65% | 7%</v>
      </c>
      <c r="J3" s="183"/>
      <c r="K3" s="90">
        <f ca="1">TRUNC(Scenario2)+B13/G4</f>
        <v>26</v>
      </c>
      <c r="L3" s="92" t="s">
        <v>53</v>
      </c>
      <c r="M3" s="45"/>
    </row>
    <row r="4" spans="1:13" ht="14.65" thickBot="1">
      <c r="A4" s="66" t="s">
        <v>1</v>
      </c>
      <c r="B4" s="143">
        <v>0.08</v>
      </c>
      <c r="C4" s="12"/>
      <c r="D4" s="12"/>
      <c r="E4" s="12" t="s">
        <v>6</v>
      </c>
      <c r="F4" s="12"/>
      <c r="G4" s="51">
        <v>1</v>
      </c>
      <c r="I4" s="182" t="str">
        <f>(ROUND(AVERAGE(C9:G9)*100,0)&amp;"% | "&amp;ROUND(AVERAGE(C10:G10)*100,0)&amp;"% | "&amp;ROUND(C18*100,0)&amp;"%")</f>
        <v>4% | 71% | 4%</v>
      </c>
      <c r="J4" s="183"/>
      <c r="K4" s="90">
        <f ca="1">TRUNC(Scenario3)+B13/G4</f>
        <v>26</v>
      </c>
      <c r="L4" s="93" t="s">
        <v>53</v>
      </c>
      <c r="M4" s="46"/>
    </row>
    <row r="5" spans="1:13">
      <c r="B5" s="2"/>
      <c r="I5" s="182" t="str">
        <f>(ROUND(AVERAGE(C9:G9)*100,0)&amp;"% | "&amp;ROUND(AVERAGE(C10:G10)*100,0)&amp;"% | "&amp;ROUND(C17*100,0)&amp;"%")</f>
        <v>4% | 71% | 7%</v>
      </c>
      <c r="J5" s="183"/>
      <c r="K5" s="90">
        <f ca="1">TRUNC(Scenario4)+B13/G4</f>
        <v>29</v>
      </c>
      <c r="L5" s="93" t="s">
        <v>53</v>
      </c>
      <c r="M5" s="46"/>
    </row>
    <row r="6" spans="1:13" s="9" customFormat="1" ht="14.65" thickBot="1">
      <c r="A6" s="177" t="s">
        <v>96</v>
      </c>
      <c r="B6" s="177"/>
      <c r="C6" s="177"/>
      <c r="D6" s="177"/>
      <c r="E6" s="177"/>
      <c r="F6" s="177"/>
      <c r="G6" s="177"/>
      <c r="H6" s="8"/>
      <c r="I6" s="182" t="str">
        <f>(ROUND(AVERAGE(C8:G8)*100,0)&amp;"% | "&amp;ROUND(AVERAGE(C11:G11)*100,0)&amp;"% | "&amp;ROUND(C18*100,0)&amp;"%")</f>
        <v>8% | 65% | 4%</v>
      </c>
      <c r="J6" s="183"/>
      <c r="K6" s="90">
        <f ca="1">TRUNC(Scenario5)+B13/G4</f>
        <v>27</v>
      </c>
      <c r="L6" s="92" t="s">
        <v>53</v>
      </c>
      <c r="M6" s="47"/>
    </row>
    <row r="7" spans="1:13">
      <c r="A7" s="7"/>
      <c r="B7" s="7" t="s">
        <v>2</v>
      </c>
      <c r="C7" s="39">
        <v>1</v>
      </c>
      <c r="D7" s="39">
        <v>2</v>
      </c>
      <c r="E7" s="39">
        <v>3</v>
      </c>
      <c r="F7" s="39">
        <v>4</v>
      </c>
      <c r="G7" s="39">
        <v>5</v>
      </c>
      <c r="I7" s="182" t="str">
        <f>(ROUND(AVERAGE(C8:G8)*100,0)&amp;"% | "&amp;ROUND(AVERAGE(C11:G11)*100,0)&amp;"% | "&amp;ROUND(C17*100,0)&amp;"%")</f>
        <v>8% | 65% | 7%</v>
      </c>
      <c r="J7" s="183"/>
      <c r="K7" s="90">
        <f ca="1">TRUNC(Scenario6)+B13/G4</f>
        <v>31</v>
      </c>
      <c r="L7" s="94" t="s">
        <v>53</v>
      </c>
    </row>
    <row r="8" spans="1:13">
      <c r="A8" s="180" t="s">
        <v>5</v>
      </c>
      <c r="B8" s="22" t="s">
        <v>3</v>
      </c>
      <c r="C8" s="23">
        <v>0.08</v>
      </c>
      <c r="D8" s="23">
        <v>0.08</v>
      </c>
      <c r="E8" s="23">
        <v>0.08</v>
      </c>
      <c r="F8" s="23">
        <v>0.08</v>
      </c>
      <c r="G8" s="23">
        <v>0.08</v>
      </c>
      <c r="I8" s="182" t="str">
        <f>(ROUND(AVERAGE(C8:G8)*100,0)&amp;"% | "&amp;ROUND(AVERAGE(C10:G10)*100,0)&amp;"% | "&amp;ROUND(C18*100,0)&amp;"%")</f>
        <v>8% | 71% | 4%</v>
      </c>
      <c r="J8" s="183"/>
      <c r="K8" s="90">
        <f ca="1">TRUNC(Scenario7)+B13/G4</f>
        <v>31</v>
      </c>
      <c r="L8" s="94" t="s">
        <v>53</v>
      </c>
    </row>
    <row r="9" spans="1:13">
      <c r="A9" s="181"/>
      <c r="B9" s="14" t="s">
        <v>4</v>
      </c>
      <c r="C9" s="24">
        <v>0.04</v>
      </c>
      <c r="D9" s="24">
        <v>0.04</v>
      </c>
      <c r="E9" s="24">
        <v>0.04</v>
      </c>
      <c r="F9" s="24">
        <v>0.04</v>
      </c>
      <c r="G9" s="24">
        <v>0.04</v>
      </c>
      <c r="I9" s="184" t="str">
        <f>(ROUND(AVERAGE(C8:G8)*100,0)&amp;"% | "&amp;ROUND(AVERAGE(C10:G10)*100,0)&amp;"% | "&amp;ROUND(C17*100,0)&amp;"%")</f>
        <v>8% | 71% | 7%</v>
      </c>
      <c r="J9" s="185"/>
      <c r="K9" s="91">
        <f ca="1">TRUNC(Scenario8)+B13/G4</f>
        <v>35</v>
      </c>
      <c r="L9" s="95" t="s">
        <v>53</v>
      </c>
    </row>
    <row r="10" spans="1:13">
      <c r="A10" s="178" t="s">
        <v>124</v>
      </c>
      <c r="B10" s="22" t="s">
        <v>3</v>
      </c>
      <c r="C10" s="136">
        <v>0.69</v>
      </c>
      <c r="D10" s="136">
        <v>0.7</v>
      </c>
      <c r="E10" s="136">
        <v>0.71</v>
      </c>
      <c r="F10" s="136">
        <v>0.72</v>
      </c>
      <c r="G10" s="136">
        <v>0.72</v>
      </c>
    </row>
    <row r="11" spans="1:13">
      <c r="A11" s="179"/>
      <c r="B11" s="14" t="s">
        <v>4</v>
      </c>
      <c r="C11" s="137">
        <v>0.68</v>
      </c>
      <c r="D11" s="137">
        <v>0.67</v>
      </c>
      <c r="E11" s="137">
        <v>0.65</v>
      </c>
      <c r="F11" s="137">
        <v>0.63</v>
      </c>
      <c r="G11" s="137">
        <v>0.62</v>
      </c>
      <c r="I11" s="188" t="str">
        <f>A2&amp;" ("&amp;B2&amp;")"</f>
        <v>Stor Capital Corp (STOR)</v>
      </c>
      <c r="J11" s="189"/>
      <c r="K11" s="189"/>
      <c r="L11" s="190"/>
    </row>
    <row r="12" spans="1:13">
      <c r="A12" s="1" t="s">
        <v>62</v>
      </c>
      <c r="B12" s="14"/>
      <c r="C12" s="25">
        <v>0.3</v>
      </c>
      <c r="D12" s="25">
        <v>0.3</v>
      </c>
      <c r="E12" s="25">
        <v>0.3</v>
      </c>
      <c r="F12" s="25">
        <v>0.3</v>
      </c>
      <c r="G12" s="25">
        <v>0.3</v>
      </c>
      <c r="I12" s="191" t="str">
        <f ca="1">"$"&amp;ROUND(F21/G4,0)&amp;" Scenario"</f>
        <v>$27 Scenario</v>
      </c>
      <c r="J12" s="192"/>
      <c r="K12" s="192"/>
      <c r="L12" s="193"/>
    </row>
    <row r="13" spans="1:13">
      <c r="A13" s="65" t="s">
        <v>10</v>
      </c>
      <c r="B13" s="26">
        <v>0</v>
      </c>
      <c r="I13" s="71" t="s">
        <v>16</v>
      </c>
      <c r="K13" s="72"/>
      <c r="L13" s="63" t="s">
        <v>4</v>
      </c>
    </row>
    <row r="14" spans="1:13">
      <c r="B14" s="2"/>
      <c r="I14" s="69" t="s">
        <v>17</v>
      </c>
      <c r="K14" s="70"/>
      <c r="L14" s="63" t="s">
        <v>3</v>
      </c>
    </row>
    <row r="15" spans="1:13" ht="14.65" thickBot="1">
      <c r="A15" s="177" t="s">
        <v>97</v>
      </c>
      <c r="B15" s="177"/>
      <c r="C15" s="177"/>
      <c r="D15" s="3"/>
      <c r="E15" s="177" t="s">
        <v>98</v>
      </c>
      <c r="F15" s="177"/>
      <c r="G15" s="177"/>
      <c r="I15" s="73" t="s">
        <v>118</v>
      </c>
      <c r="J15" s="74"/>
      <c r="K15" s="74"/>
      <c r="L15" s="64" t="s">
        <v>4</v>
      </c>
    </row>
    <row r="16" spans="1:13">
      <c r="A16" s="65" t="s">
        <v>11</v>
      </c>
      <c r="B16" s="27">
        <v>5</v>
      </c>
      <c r="C16" t="s">
        <v>12</v>
      </c>
      <c r="E16" s="28" t="s">
        <v>14</v>
      </c>
      <c r="G16" s="31">
        <v>2.5000000000000001E-2</v>
      </c>
      <c r="I16" s="48" t="s">
        <v>117</v>
      </c>
      <c r="K16" s="3"/>
      <c r="L16" s="55">
        <f>(F26/G3)^0.2-1</f>
        <v>4.0000000000000036E-2</v>
      </c>
    </row>
    <row r="17" spans="1:12">
      <c r="A17" s="198" t="s">
        <v>59</v>
      </c>
      <c r="B17" s="21" t="s">
        <v>3</v>
      </c>
      <c r="C17" s="23">
        <v>7.0000000000000007E-2</v>
      </c>
      <c r="D17" s="36">
        <f>IF(C17=B$4,C17-0.0001,C17)</f>
        <v>7.0000000000000007E-2</v>
      </c>
      <c r="E17" s="28" t="s">
        <v>15</v>
      </c>
      <c r="G17" s="31"/>
      <c r="I17" s="69" t="s">
        <v>116</v>
      </c>
      <c r="K17" s="70"/>
      <c r="L17" s="52">
        <f>SUM(B29:F29)/SUM(B26:F26)</f>
        <v>0.49603681104250918</v>
      </c>
    </row>
    <row r="18" spans="1:12">
      <c r="A18" s="199"/>
      <c r="B18" s="15" t="s">
        <v>4</v>
      </c>
      <c r="C18" s="24">
        <v>0.04</v>
      </c>
      <c r="D18" s="36">
        <f>IF(C18=B$4,C18-0.0001,C18)</f>
        <v>0.04</v>
      </c>
      <c r="G18" s="11"/>
      <c r="I18" s="73" t="s">
        <v>119</v>
      </c>
      <c r="K18" s="28"/>
      <c r="L18" s="54">
        <f ca="1">(F21/G4)/G2-1</f>
        <v>2.2725499539234972E-2</v>
      </c>
    </row>
    <row r="19" spans="1:12">
      <c r="C19" s="3"/>
      <c r="D19" s="3"/>
      <c r="E19" s="3"/>
      <c r="F19" s="3"/>
      <c r="J19" s="53"/>
      <c r="K19" s="53"/>
      <c r="L19" s="53"/>
    </row>
    <row r="20" spans="1:12" ht="14.65" thickBot="1">
      <c r="A20" s="57" t="s">
        <v>7</v>
      </c>
      <c r="B20" s="62" t="s">
        <v>92</v>
      </c>
      <c r="C20" s="62" t="s">
        <v>93</v>
      </c>
      <c r="D20" s="62" t="s">
        <v>94</v>
      </c>
      <c r="E20" s="62" t="s">
        <v>95</v>
      </c>
      <c r="F20" s="62" t="s">
        <v>8</v>
      </c>
      <c r="I20" s="194" t="s">
        <v>123</v>
      </c>
      <c r="J20" s="195"/>
      <c r="K20" s="195"/>
      <c r="L20" s="196"/>
    </row>
    <row r="21" spans="1:12">
      <c r="A21" s="16" t="s">
        <v>13</v>
      </c>
      <c r="B21" s="17">
        <f ca="1">SUM(B43:F43)</f>
        <v>5.7300026761100007</v>
      </c>
      <c r="C21" s="17">
        <f ca="1">B54*F43</f>
        <v>4.7992154015508737</v>
      </c>
      <c r="D21" s="17">
        <f ca="1">B51*B50</f>
        <v>16.378689815216397</v>
      </c>
      <c r="E21" s="17">
        <f>B13</f>
        <v>0</v>
      </c>
      <c r="F21" s="17">
        <f ca="1">B21+C21+D21+E21</f>
        <v>26.907907892877272</v>
      </c>
      <c r="I21" s="99"/>
      <c r="J21" s="100"/>
      <c r="K21" s="67" t="s">
        <v>120</v>
      </c>
      <c r="L21" s="68" t="s">
        <v>121</v>
      </c>
    </row>
    <row r="22" spans="1:12">
      <c r="A22" s="16" t="s">
        <v>9</v>
      </c>
      <c r="B22" s="58">
        <f ca="1">IFERROR(B21/$F21,"")</f>
        <v>0.21294865059452564</v>
      </c>
      <c r="C22" s="58">
        <f ca="1">IFERROR(C21/$F21,"")</f>
        <v>0.17835706219364839</v>
      </c>
      <c r="D22" s="58">
        <f ca="1">IFERROR(D21/$F21,"")</f>
        <v>0.60869428721182595</v>
      </c>
      <c r="E22" s="58">
        <f ca="1">IFERROR(E21/$F21,"")</f>
        <v>0</v>
      </c>
      <c r="F22" s="58">
        <v>1</v>
      </c>
      <c r="I22" s="98" t="s">
        <v>122</v>
      </c>
      <c r="J22" s="15"/>
      <c r="K22" s="101">
        <v>0.25</v>
      </c>
      <c r="L22" s="102">
        <v>0.25600000000000001</v>
      </c>
    </row>
    <row r="23" spans="1:12">
      <c r="A23" s="16"/>
      <c r="B23" s="20"/>
      <c r="C23" s="20"/>
      <c r="D23" s="20"/>
      <c r="E23" s="20"/>
      <c r="F23" s="20"/>
    </row>
    <row r="24" spans="1:12" ht="15.75" hidden="1" customHeight="1" thickBot="1">
      <c r="A24" s="57" t="s">
        <v>74</v>
      </c>
      <c r="B24" s="59">
        <v>1</v>
      </c>
      <c r="C24" s="59">
        <v>2</v>
      </c>
      <c r="D24" s="59">
        <v>3</v>
      </c>
      <c r="E24" s="59">
        <v>4</v>
      </c>
      <c r="F24" s="59">
        <v>5</v>
      </c>
      <c r="I24" t="s">
        <v>115</v>
      </c>
      <c r="K24" s="97">
        <v>0.25</v>
      </c>
      <c r="L24" s="97">
        <v>0.25</v>
      </c>
    </row>
    <row r="25" spans="1:12" s="9" customFormat="1" ht="12" hidden="1" customHeight="1">
      <c r="B25" s="32">
        <f>DATE(YEAR($B$3)+B24,MONTH($B$3),DAY($B$3))</f>
        <v>43465</v>
      </c>
      <c r="C25" s="32">
        <f>DATE(YEAR($B$3)+C24,MONTH($B$3),DAY($B$3))</f>
        <v>43830</v>
      </c>
      <c r="D25" s="32">
        <f>DATE(YEAR($B$3)+D24,MONTH($B$3),DAY($B$3))</f>
        <v>44196</v>
      </c>
      <c r="E25" s="32">
        <f>DATE(YEAR($B$3)+E24,MONTH($B$3),DAY($B$3))</f>
        <v>44561</v>
      </c>
      <c r="F25" s="32">
        <f>DATE(YEAR($B$3)+F24,MONTH($B$3),DAY($B$3))</f>
        <v>44926</v>
      </c>
      <c r="I25" s="9" t="s">
        <v>57</v>
      </c>
      <c r="L25" s="9">
        <v>26.29</v>
      </c>
    </row>
    <row r="26" spans="1:12" hidden="1">
      <c r="A26" t="s">
        <v>37</v>
      </c>
      <c r="B26" s="30">
        <f>(CHOOSE($B36,C8,C9)+1)*G3</f>
        <v>2.637161807280298</v>
      </c>
      <c r="C26" s="30">
        <f>(CHOOSE($B36,D8,D9)+1)*B26</f>
        <v>2.7426482795715099</v>
      </c>
      <c r="D26" s="30">
        <f>(CHOOSE($B36,E8,E9)+1)*C26</f>
        <v>2.8523542107543705</v>
      </c>
      <c r="E26" s="30">
        <f>(CHOOSE($B36,F8,F9)+1)*D26</f>
        <v>2.9664483791845453</v>
      </c>
      <c r="F26" s="30">
        <f>(CHOOSE($B36,G8,G9)+1)*E26</f>
        <v>3.0851063143519273</v>
      </c>
    </row>
    <row r="27" spans="1:12" hidden="1">
      <c r="A27" t="s">
        <v>71</v>
      </c>
      <c r="B27" s="56">
        <f>CHOOSE($B37,C10,C11)*B26</f>
        <v>1.8196416470234056</v>
      </c>
      <c r="C27" s="5">
        <f>CHOOSE($B37,D10,D11)*C26</f>
        <v>1.9198537957000568</v>
      </c>
      <c r="D27" s="5">
        <f>CHOOSE($B37,E10,E11)*D26</f>
        <v>2.025171489635603</v>
      </c>
      <c r="E27" s="5">
        <f>CHOOSE($B37,F10,F11)*E26</f>
        <v>2.1358428330128727</v>
      </c>
      <c r="F27" s="5">
        <f>CHOOSE($B37,G10,G11)*F26</f>
        <v>2.2212765463333874</v>
      </c>
    </row>
    <row r="28" spans="1:12" hidden="1">
      <c r="A28" t="s">
        <v>72</v>
      </c>
      <c r="B28" s="56">
        <f>-C12*B27</f>
        <v>-0.54589249410702168</v>
      </c>
      <c r="C28" s="56">
        <f>-D12*C27</f>
        <v>-0.57595613871001705</v>
      </c>
      <c r="D28" s="56">
        <f>-E12*D27</f>
        <v>-0.60755144689068086</v>
      </c>
      <c r="E28" s="56">
        <f>-F12*E27</f>
        <v>-0.64075284990386183</v>
      </c>
      <c r="F28" s="56">
        <f>-G12*F27</f>
        <v>-0.66638296390001617</v>
      </c>
    </row>
    <row r="29" spans="1:12" ht="14.65" hidden="1" thickBot="1">
      <c r="A29" t="s">
        <v>73</v>
      </c>
      <c r="B29" s="4">
        <f>B27+B28</f>
        <v>1.273749152916384</v>
      </c>
      <c r="C29" s="4">
        <f>C27+C28</f>
        <v>1.3438976569900398</v>
      </c>
      <c r="D29" s="4">
        <f>D27+D28</f>
        <v>1.4176200427449221</v>
      </c>
      <c r="E29" s="4">
        <f>E27+E28</f>
        <v>1.4950899831090108</v>
      </c>
      <c r="F29" s="4">
        <f>F27+F28</f>
        <v>1.5548935824333712</v>
      </c>
    </row>
    <row r="30" spans="1:12" ht="14.65" hidden="1" thickTop="1">
      <c r="B30" s="60"/>
      <c r="C30" s="60"/>
      <c r="D30" s="60"/>
      <c r="E30" s="60"/>
      <c r="F30" s="60"/>
    </row>
    <row r="31" spans="1:12" hidden="1">
      <c r="B31" s="34" t="s">
        <v>20</v>
      </c>
      <c r="E31" s="34"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97" t="s">
        <v>35</v>
      </c>
      <c r="B41" s="197"/>
      <c r="C41" s="197"/>
      <c r="D41" s="197"/>
      <c r="E41" s="197"/>
      <c r="F41" s="197"/>
    </row>
    <row r="42" spans="1:16" hidden="1">
      <c r="A42" t="s">
        <v>21</v>
      </c>
      <c r="B42" s="19">
        <f ca="1">B25-TODAY()</f>
        <v>231</v>
      </c>
      <c r="C42" s="19">
        <f ca="1">C25-TODAY()</f>
        <v>596</v>
      </c>
      <c r="D42" s="19">
        <f ca="1">D25-TODAY()</f>
        <v>962</v>
      </c>
      <c r="E42" s="19">
        <f ca="1">E25-TODAY()</f>
        <v>1327</v>
      </c>
      <c r="F42" s="19">
        <f ca="1">F25-TODAY()</f>
        <v>1692</v>
      </c>
      <c r="P42" s="37"/>
    </row>
    <row r="43" spans="1:16" hidden="1">
      <c r="A43" t="s">
        <v>22</v>
      </c>
      <c r="B43" s="17">
        <f ca="1">B29*EXP(-$B$4*B42/365.25)</f>
        <v>1.2109063853333757</v>
      </c>
      <c r="C43" s="17">
        <f ca="1">C29*EXP(-$B$4*C42/365.25)</f>
        <v>1.1794324705248047</v>
      </c>
      <c r="D43" s="17">
        <f ca="1">D29*EXP(-$B$4*D42/365.25)</f>
        <v>1.1482906470154013</v>
      </c>
      <c r="E43" s="17">
        <f ca="1">E29*EXP(-$B$4*E42/365.25)</f>
        <v>1.1179941641749318</v>
      </c>
      <c r="F43" s="17">
        <f ca="1">F29*EXP(-$B$4*F42/365.25)</f>
        <v>1.073379009061487</v>
      </c>
      <c r="O43" s="38"/>
    </row>
    <row r="44" spans="1:16" hidden="1"/>
    <row r="45" spans="1:16" hidden="1">
      <c r="A45" s="6" t="s">
        <v>26</v>
      </c>
      <c r="B45">
        <f>MONTH(B3)</f>
        <v>12</v>
      </c>
    </row>
    <row r="46" spans="1:16" hidden="1">
      <c r="A46" s="6" t="s">
        <v>27</v>
      </c>
      <c r="B46">
        <f>DAY(B3)</f>
        <v>31</v>
      </c>
    </row>
    <row r="47" spans="1:16" hidden="1">
      <c r="A47" s="6" t="s">
        <v>23</v>
      </c>
      <c r="B47">
        <f>YEAR(F25)+B16</f>
        <v>2027</v>
      </c>
    </row>
    <row r="48" spans="1:16" hidden="1">
      <c r="A48" s="6" t="s">
        <v>28</v>
      </c>
      <c r="B48">
        <f ca="1">DATE(B47,B45,B46)-TODAY()</f>
        <v>3518</v>
      </c>
      <c r="C48" s="33"/>
    </row>
    <row r="49" spans="1:7" hidden="1">
      <c r="A49" s="6" t="s">
        <v>24</v>
      </c>
      <c r="B49" s="17">
        <f>F29*EXP(CHOOSE(B38,C17,C18)*B16)</f>
        <v>1.8991513102296669</v>
      </c>
    </row>
    <row r="50" spans="1:7" hidden="1">
      <c r="A50" s="6" t="s">
        <v>29</v>
      </c>
      <c r="B50" s="17">
        <f ca="1">B49*EXP(-B4*B48/365.25)</f>
        <v>0.87885652667014835</v>
      </c>
    </row>
    <row r="51" spans="1:7" hidden="1">
      <c r="A51" s="6" t="s">
        <v>31</v>
      </c>
      <c r="B51" s="17">
        <f>(1+SUM(G16,G17))/(B4-SUM(G16,G17))</f>
        <v>18.636363636363633</v>
      </c>
    </row>
    <row r="52" spans="1:7" hidden="1">
      <c r="A52" s="6" t="s">
        <v>32</v>
      </c>
      <c r="B52" s="18">
        <f>(1+CHOOSE(B38,D17,D18))/(B4-(CHOOSE(B38,D17,D18)))</f>
        <v>26</v>
      </c>
      <c r="F52" s="37"/>
    </row>
    <row r="53" spans="1:7" hidden="1">
      <c r="A53" s="6" t="s">
        <v>33</v>
      </c>
      <c r="B53" s="37">
        <f>1-(((1+CHOOSE(B38,D17,D18))/(1+B4))^B16)</f>
        <v>0.1719664780042135</v>
      </c>
      <c r="F53" s="38"/>
    </row>
    <row r="54" spans="1:7" hidden="1">
      <c r="A54" s="6" t="s">
        <v>30</v>
      </c>
      <c r="B54" s="35">
        <f>B52*B53</f>
        <v>4.4711284281095507</v>
      </c>
    </row>
    <row r="55" spans="1:7" hidden="1"/>
    <row r="56" spans="1:7" hidden="1"/>
    <row r="57" spans="1:7" hidden="1">
      <c r="A57" s="40" t="s">
        <v>36</v>
      </c>
    </row>
    <row r="58" spans="1:7" hidden="1">
      <c r="A58" t="s">
        <v>37</v>
      </c>
      <c r="B58" s="18">
        <f>$G$3*(1+C$9)</f>
        <v>2.637161807280298</v>
      </c>
      <c r="C58" s="18">
        <f>B58*(1+D$9)</f>
        <v>2.7426482795715099</v>
      </c>
      <c r="D58" s="18">
        <f>C58*(1+E$9)</f>
        <v>2.8523542107543705</v>
      </c>
      <c r="E58" s="18">
        <f>D58*(1+F$9)</f>
        <v>2.9664483791845453</v>
      </c>
      <c r="F58" s="18">
        <f>E58*(1+G$9)</f>
        <v>3.0851063143519273</v>
      </c>
    </row>
    <row r="59" spans="1:7" hidden="1">
      <c r="A59" t="s">
        <v>38</v>
      </c>
      <c r="B59" s="18">
        <f>B58*C$11</f>
        <v>1.7932700289506027</v>
      </c>
      <c r="C59" s="18">
        <f>C58*D$11</f>
        <v>1.8375743473129118</v>
      </c>
      <c r="D59" s="18">
        <f>D58*E$11</f>
        <v>1.8540302369903408</v>
      </c>
      <c r="E59" s="18">
        <f>E58*F$11</f>
        <v>1.8688624788862636</v>
      </c>
      <c r="F59" s="18">
        <f>F58*G$11</f>
        <v>1.9127659148981948</v>
      </c>
    </row>
    <row r="60" spans="1:7" hidden="1">
      <c r="B60" s="20">
        <f>B59/B58</f>
        <v>0.68</v>
      </c>
      <c r="C60" s="20">
        <f>C59/C58</f>
        <v>0.67</v>
      </c>
      <c r="D60" s="20">
        <f>D59/D58</f>
        <v>0.65</v>
      </c>
      <c r="E60" s="20">
        <f>E59/E58</f>
        <v>0.63</v>
      </c>
      <c r="F60" s="20">
        <f>F59/F58</f>
        <v>0.62</v>
      </c>
    </row>
    <row r="61" spans="1:7" hidden="1">
      <c r="A61" t="s">
        <v>39</v>
      </c>
      <c r="B61" s="37">
        <f>B59-(C$12*B59)</f>
        <v>1.2552890202654219</v>
      </c>
      <c r="C61" s="37">
        <f>C59-(D$12*C59)</f>
        <v>1.2863020431190382</v>
      </c>
      <c r="D61" s="37">
        <f>D59-(E$12*D59)</f>
        <v>1.2978211658932386</v>
      </c>
      <c r="E61" s="37">
        <f>E59-(F$12*E59)</f>
        <v>1.3082037352203844</v>
      </c>
      <c r="F61" s="37">
        <f>F59-(G$12*F59)</f>
        <v>1.3389361404287365</v>
      </c>
    </row>
    <row r="62" spans="1:7" hidden="1">
      <c r="A62" t="s">
        <v>42</v>
      </c>
      <c r="B62" s="18">
        <f ca="1">B61*EXP(-$B$4*B$42/365.25)</f>
        <v>1.1933570174299934</v>
      </c>
      <c r="C62" s="18">
        <f ca="1">C61*EXP(-$B$4*C$42/365.25)</f>
        <v>1.1288853646451702</v>
      </c>
      <c r="D62" s="18">
        <f ca="1">D61*EXP(-$B$4*D$42/365.25)</f>
        <v>1.0512520007887478</v>
      </c>
      <c r="E62" s="18">
        <f ca="1">E61*EXP(-$B$4*E$42/365.25)</f>
        <v>0.97824489365306533</v>
      </c>
      <c r="F62" s="18">
        <f ca="1">F61*EXP(-$B$4*F$42/365.25)</f>
        <v>0.92429859113628077</v>
      </c>
      <c r="G62" s="18">
        <f ca="1">SUM(B62:F62)</f>
        <v>5.2760378676532573</v>
      </c>
    </row>
    <row r="63" spans="1:7" hidden="1">
      <c r="A63" t="s">
        <v>41</v>
      </c>
      <c r="F63" s="37">
        <f>((1+$D$18)/($B$4-$D$18)*(1-(((1+$D$18)/(1+$B$4))^$B$16)))</f>
        <v>4.4711284281095507</v>
      </c>
      <c r="G63" s="18">
        <f ca="1">F63*F62</f>
        <v>4.1326577068910311</v>
      </c>
    </row>
    <row r="64" spans="1:7" hidden="1">
      <c r="A64" t="s">
        <v>40</v>
      </c>
      <c r="B64" s="37"/>
      <c r="F64" s="18">
        <f>F61*EXP($C$18*$B$16)</f>
        <v>1.6353802949199914</v>
      </c>
    </row>
    <row r="65" spans="1:7" hidden="1">
      <c r="A65" t="s">
        <v>43</v>
      </c>
      <c r="F65" s="18">
        <f ca="1">F64*EXP(-$B$4*B$48/365.25)</f>
        <v>0.75679312018818357</v>
      </c>
      <c r="G65" s="41">
        <f ca="1">F65*B$51</f>
        <v>14.103871785325238</v>
      </c>
    </row>
    <row r="66" spans="1:7" hidden="1">
      <c r="A66" t="s">
        <v>44</v>
      </c>
      <c r="G66" s="18">
        <f ca="1">SUM(G62:G63,G65)</f>
        <v>23.512567359869529</v>
      </c>
    </row>
    <row r="67" spans="1:7" hidden="1">
      <c r="A67" t="s">
        <v>25</v>
      </c>
      <c r="G67" s="42">
        <f ca="1">G66/$G$4</f>
        <v>23.512567359869529</v>
      </c>
    </row>
    <row r="68" spans="1:7" hidden="1">
      <c r="G68" s="37"/>
    </row>
    <row r="69" spans="1:7" hidden="1">
      <c r="A69" s="40" t="s">
        <v>45</v>
      </c>
    </row>
    <row r="70" spans="1:7" hidden="1">
      <c r="A70" t="s">
        <v>37</v>
      </c>
      <c r="B70" s="18">
        <f>$G$3*(1+C$9)</f>
        <v>2.637161807280298</v>
      </c>
      <c r="C70" s="18">
        <f>B70*(1+D$9)</f>
        <v>2.7426482795715099</v>
      </c>
      <c r="D70" s="18">
        <f>C70*(1+E$9)</f>
        <v>2.8523542107543705</v>
      </c>
      <c r="E70" s="18">
        <f>D70*(1+F$9)</f>
        <v>2.9664483791845453</v>
      </c>
      <c r="F70" s="18">
        <f>E70*(1+G$9)</f>
        <v>3.0851063143519273</v>
      </c>
    </row>
    <row r="71" spans="1:7" hidden="1">
      <c r="A71" t="s">
        <v>38</v>
      </c>
      <c r="B71" s="18">
        <f>B70*C$11</f>
        <v>1.7932700289506027</v>
      </c>
      <c r="C71" s="18">
        <f>C70*D$11</f>
        <v>1.8375743473129118</v>
      </c>
      <c r="D71" s="18">
        <f>D70*E$11</f>
        <v>1.8540302369903408</v>
      </c>
      <c r="E71" s="18">
        <f>E70*F$11</f>
        <v>1.8688624788862636</v>
      </c>
      <c r="F71" s="18">
        <f>F70*G$11</f>
        <v>1.9127659148981948</v>
      </c>
    </row>
    <row r="72" spans="1:7" hidden="1">
      <c r="A72" t="s">
        <v>39</v>
      </c>
      <c r="B72" s="37">
        <f>B71-(C$12*B71)</f>
        <v>1.2552890202654219</v>
      </c>
      <c r="C72" s="37">
        <f>C71-(D$12*C71)</f>
        <v>1.2863020431190382</v>
      </c>
      <c r="D72" s="37">
        <f>D71-(E$12*D71)</f>
        <v>1.2978211658932386</v>
      </c>
      <c r="E72" s="37">
        <f>E71-(F$12*E71)</f>
        <v>1.3082037352203844</v>
      </c>
      <c r="F72" s="37">
        <f>F71-(G$12*F71)</f>
        <v>1.3389361404287365</v>
      </c>
    </row>
    <row r="73" spans="1:7" hidden="1">
      <c r="A73" t="s">
        <v>42</v>
      </c>
      <c r="B73" s="18">
        <f ca="1">B72*EXP(-$B$4*B$42/365.25)</f>
        <v>1.1933570174299934</v>
      </c>
      <c r="C73" s="18">
        <f ca="1">C72*EXP(-$B$4*C$42/365.25)</f>
        <v>1.1288853646451702</v>
      </c>
      <c r="D73" s="18">
        <f ca="1">D72*EXP(-$B$4*D$42/365.25)</f>
        <v>1.0512520007887478</v>
      </c>
      <c r="E73" s="18">
        <f ca="1">E72*EXP(-$B$4*E$42/365.25)</f>
        <v>0.97824489365306533</v>
      </c>
      <c r="F73" s="18">
        <f ca="1">F72*EXP(-$B$4*F$42/365.25)</f>
        <v>0.92429859113628077</v>
      </c>
      <c r="G73" s="18">
        <f ca="1">SUM(B73:F73)</f>
        <v>5.2760378676532573</v>
      </c>
    </row>
    <row r="74" spans="1:7" hidden="1">
      <c r="A74" t="s">
        <v>41</v>
      </c>
      <c r="F74" s="37">
        <f>((1+$D$17)/($B$4-$D$17)*(1-(((1+$D$17)/(1+$B$4))^$B$16)))</f>
        <v>4.8628139253018565</v>
      </c>
      <c r="G74" s="18">
        <f ca="1">F74*F73</f>
        <v>4.4946920601143932</v>
      </c>
    </row>
    <row r="75" spans="1:7" hidden="1">
      <c r="A75" t="s">
        <v>40</v>
      </c>
      <c r="B75" s="37"/>
      <c r="F75" s="18">
        <f>F72*EXP($C$17*$B$16)</f>
        <v>1.9000408265211246</v>
      </c>
    </row>
    <row r="76" spans="1:7" hidden="1">
      <c r="A76" t="s">
        <v>43</v>
      </c>
      <c r="F76" s="18">
        <f ca="1">F75*EXP(-$B$4*B$48/365.25)</f>
        <v>0.8792681616958129</v>
      </c>
      <c r="G76" s="41">
        <f ca="1">F76*B$51</f>
        <v>16.386361195240145</v>
      </c>
    </row>
    <row r="77" spans="1:7" hidden="1">
      <c r="A77" t="s">
        <v>44</v>
      </c>
      <c r="G77" s="18">
        <f ca="1">SUM(G73:G74,G76)</f>
        <v>26.157091123007795</v>
      </c>
    </row>
    <row r="78" spans="1:7" hidden="1">
      <c r="A78" t="s">
        <v>25</v>
      </c>
      <c r="G78" s="42">
        <f ca="1">G77/$G$4</f>
        <v>26.157091123007795</v>
      </c>
    </row>
    <row r="79" spans="1:7" hidden="1"/>
    <row r="80" spans="1:7" hidden="1">
      <c r="A80" s="40" t="s">
        <v>46</v>
      </c>
    </row>
    <row r="81" spans="1:7" hidden="1">
      <c r="A81" t="s">
        <v>37</v>
      </c>
      <c r="B81" s="18">
        <f>$G$3*(1+C$9)</f>
        <v>2.637161807280298</v>
      </c>
      <c r="C81" s="18">
        <f>B81*(1+D$9)</f>
        <v>2.7426482795715099</v>
      </c>
      <c r="D81" s="18">
        <f>C81*(1+E$9)</f>
        <v>2.8523542107543705</v>
      </c>
      <c r="E81" s="18">
        <f>D81*(1+F$9)</f>
        <v>2.9664483791845453</v>
      </c>
      <c r="F81" s="18">
        <f>E81*(1+G$9)</f>
        <v>3.0851063143519273</v>
      </c>
    </row>
    <row r="82" spans="1:7" hidden="1">
      <c r="A82" t="s">
        <v>38</v>
      </c>
      <c r="B82" s="18">
        <f>B81*C$10</f>
        <v>1.8196416470234056</v>
      </c>
      <c r="C82" s="18">
        <f>C81*D$10</f>
        <v>1.9198537957000568</v>
      </c>
      <c r="D82" s="18">
        <f>D81*E$10</f>
        <v>2.025171489635603</v>
      </c>
      <c r="E82" s="18">
        <f>E81*F$10</f>
        <v>2.1358428330128727</v>
      </c>
      <c r="F82" s="18">
        <f>F81*G$10</f>
        <v>2.2212765463333874</v>
      </c>
    </row>
    <row r="83" spans="1:7" hidden="1">
      <c r="A83" t="s">
        <v>39</v>
      </c>
      <c r="B83" s="37">
        <f>B82-(C$12*B82)</f>
        <v>1.273749152916384</v>
      </c>
      <c r="C83" s="37">
        <f>C82-(D$12*C82)</f>
        <v>1.3438976569900398</v>
      </c>
      <c r="D83" s="37">
        <f>D82-(E$12*D82)</f>
        <v>1.4176200427449221</v>
      </c>
      <c r="E83" s="37">
        <f>E82-(F$12*E82)</f>
        <v>1.4950899831090108</v>
      </c>
      <c r="F83" s="37">
        <f>F82-(G$12*F82)</f>
        <v>1.5548935824333712</v>
      </c>
    </row>
    <row r="84" spans="1:7" hidden="1">
      <c r="A84" t="s">
        <v>42</v>
      </c>
      <c r="B84" s="18">
        <f ca="1">B83*EXP(-$B$4*B$42/365.25)</f>
        <v>1.2109063853333757</v>
      </c>
      <c r="C84" s="18">
        <f ca="1">C83*EXP(-$B$4*C$42/365.25)</f>
        <v>1.1794324705248047</v>
      </c>
      <c r="D84" s="18">
        <f ca="1">D83*EXP(-$B$4*D$42/365.25)</f>
        <v>1.1482906470154013</v>
      </c>
      <c r="E84" s="18">
        <f ca="1">E83*EXP(-$B$4*E$42/365.25)</f>
        <v>1.1179941641749318</v>
      </c>
      <c r="F84" s="18">
        <f ca="1">F83*EXP(-$B$4*F$42/365.25)</f>
        <v>1.073379009061487</v>
      </c>
      <c r="G84" s="18">
        <f ca="1">SUM(B84:F84)</f>
        <v>5.7300026761100007</v>
      </c>
    </row>
    <row r="85" spans="1:7" hidden="1">
      <c r="A85" t="s">
        <v>41</v>
      </c>
      <c r="F85" s="37">
        <f>((1+$D$18)/($B$4-$D$18)*(1-(((1+$D$18)/(1+$B$4))^$B$16)))</f>
        <v>4.4711284281095507</v>
      </c>
      <c r="G85" s="18">
        <f ca="1">F85*F84</f>
        <v>4.7992154015508737</v>
      </c>
    </row>
    <row r="86" spans="1:7" hidden="1">
      <c r="A86" t="s">
        <v>40</v>
      </c>
      <c r="B86" s="37"/>
      <c r="F86" s="18">
        <f>F83*EXP($C$18*$B$16)</f>
        <v>1.8991513102296669</v>
      </c>
    </row>
    <row r="87" spans="1:7" hidden="1">
      <c r="A87" t="s">
        <v>43</v>
      </c>
      <c r="F87" s="18">
        <f ca="1">F86*EXP(-$B$4*B$48/365.25)</f>
        <v>0.87885652667014835</v>
      </c>
      <c r="G87" s="41">
        <f ca="1">F87*B$51</f>
        <v>16.378689815216397</v>
      </c>
    </row>
    <row r="88" spans="1:7" hidden="1">
      <c r="A88" t="s">
        <v>44</v>
      </c>
      <c r="G88" s="18">
        <f ca="1">SUM(G84:G85,G87)</f>
        <v>26.907907892877272</v>
      </c>
    </row>
    <row r="89" spans="1:7" hidden="1">
      <c r="A89" t="s">
        <v>25</v>
      </c>
      <c r="G89" s="42">
        <f ca="1">G88/$G$4</f>
        <v>26.907907892877272</v>
      </c>
    </row>
    <row r="90" spans="1:7" hidden="1"/>
    <row r="91" spans="1:7" hidden="1">
      <c r="A91" s="40" t="s">
        <v>47</v>
      </c>
    </row>
    <row r="92" spans="1:7" hidden="1">
      <c r="A92" t="s">
        <v>37</v>
      </c>
      <c r="B92" s="18">
        <f>$G$3*(1+C$9)</f>
        <v>2.637161807280298</v>
      </c>
      <c r="C92" s="18">
        <f>B92*(1+D$9)</f>
        <v>2.7426482795715099</v>
      </c>
      <c r="D92" s="18">
        <f>C92*(1+E$9)</f>
        <v>2.8523542107543705</v>
      </c>
      <c r="E92" s="18">
        <f>D92*(1+F$9)</f>
        <v>2.9664483791845453</v>
      </c>
      <c r="F92" s="18">
        <f>E92*(1+G$9)</f>
        <v>3.0851063143519273</v>
      </c>
    </row>
    <row r="93" spans="1:7" hidden="1">
      <c r="A93" t="s">
        <v>38</v>
      </c>
      <c r="B93" s="18">
        <f>B92*C$10</f>
        <v>1.8196416470234056</v>
      </c>
      <c r="C93" s="18">
        <f>C92*D$10</f>
        <v>1.9198537957000568</v>
      </c>
      <c r="D93" s="18">
        <f>D92*E$10</f>
        <v>2.025171489635603</v>
      </c>
      <c r="E93" s="18">
        <f>E92*F$10</f>
        <v>2.1358428330128727</v>
      </c>
      <c r="F93" s="18">
        <f>F92*G$10</f>
        <v>2.2212765463333874</v>
      </c>
    </row>
    <row r="94" spans="1:7" hidden="1">
      <c r="A94" t="s">
        <v>39</v>
      </c>
      <c r="B94" s="37">
        <f>B93-(C$12*B93)</f>
        <v>1.273749152916384</v>
      </c>
      <c r="C94" s="37">
        <f>C93-(D$12*C93)</f>
        <v>1.3438976569900398</v>
      </c>
      <c r="D94" s="37">
        <f>D93-(E$12*D93)</f>
        <v>1.4176200427449221</v>
      </c>
      <c r="E94" s="37">
        <f>E93-(F$12*E93)</f>
        <v>1.4950899831090108</v>
      </c>
      <c r="F94" s="37">
        <f>F93-(G$12*F93)</f>
        <v>1.5548935824333712</v>
      </c>
    </row>
    <row r="95" spans="1:7" hidden="1">
      <c r="A95" t="s">
        <v>42</v>
      </c>
      <c r="B95" s="18">
        <f ca="1">B94*EXP(-$B$4*B$42/365.25)</f>
        <v>1.2109063853333757</v>
      </c>
      <c r="C95" s="18">
        <f ca="1">C94*EXP(-$B$4*C$42/365.25)</f>
        <v>1.1794324705248047</v>
      </c>
      <c r="D95" s="18">
        <f ca="1">D94*EXP(-$B$4*D$42/365.25)</f>
        <v>1.1482906470154013</v>
      </c>
      <c r="E95" s="18">
        <f ca="1">E94*EXP(-$B$4*E$42/365.25)</f>
        <v>1.1179941641749318</v>
      </c>
      <c r="F95" s="18">
        <f ca="1">F94*EXP(-$B$4*F$42/365.25)</f>
        <v>1.073379009061487</v>
      </c>
      <c r="G95" s="18">
        <f ca="1">SUM(B95:F95)</f>
        <v>5.7300026761100007</v>
      </c>
    </row>
    <row r="96" spans="1:7" hidden="1">
      <c r="A96" t="s">
        <v>41</v>
      </c>
      <c r="F96" s="37">
        <f>((1+$D$17)/($B$4-$D$17)*(1-(((1+$D$17)/(1+$B$4))^$B$16)))</f>
        <v>4.8628139253018565</v>
      </c>
      <c r="G96" s="18">
        <f ca="1">F96*F95</f>
        <v>5.2196423923909068</v>
      </c>
    </row>
    <row r="97" spans="1:7" hidden="1">
      <c r="A97" t="s">
        <v>40</v>
      </c>
      <c r="B97" s="37"/>
      <c r="F97" s="18">
        <f>F94*EXP($C$17*$B$16)</f>
        <v>2.2064990243471119</v>
      </c>
    </row>
    <row r="98" spans="1:7" hidden="1">
      <c r="A98" t="s">
        <v>43</v>
      </c>
      <c r="F98" s="18">
        <f ca="1">F97*EXP(-$B$4*B$48/365.25)</f>
        <v>1.0210856071306211</v>
      </c>
      <c r="G98" s="41">
        <f ca="1">F98*B$51</f>
        <v>19.029322678343391</v>
      </c>
    </row>
    <row r="99" spans="1:7" hidden="1">
      <c r="A99" t="s">
        <v>44</v>
      </c>
      <c r="G99" s="18">
        <f ca="1">SUM(G95:G96,G98)</f>
        <v>29.978967746844297</v>
      </c>
    </row>
    <row r="100" spans="1:7" hidden="1">
      <c r="A100" t="s">
        <v>25</v>
      </c>
      <c r="G100" s="42">
        <f ca="1">G99/$G$4</f>
        <v>29.978967746844297</v>
      </c>
    </row>
    <row r="101" spans="1:7" hidden="1"/>
    <row r="102" spans="1:7" hidden="1">
      <c r="A102" s="40" t="s">
        <v>48</v>
      </c>
    </row>
    <row r="103" spans="1:7" hidden="1">
      <c r="A103" t="s">
        <v>37</v>
      </c>
      <c r="B103" s="18">
        <f>$G$3*(1+C$8)</f>
        <v>2.7385911075603095</v>
      </c>
      <c r="C103" s="18">
        <f>B103*(1+D$8)</f>
        <v>2.9576783961651345</v>
      </c>
      <c r="D103" s="18">
        <f>C103*(1+E$8)</f>
        <v>3.1942926678583454</v>
      </c>
      <c r="E103" s="18">
        <f>D103*(1+F$8)</f>
        <v>3.4498360812870135</v>
      </c>
      <c r="F103" s="18">
        <f>E103*(1+G$8)</f>
        <v>3.7258229677899748</v>
      </c>
    </row>
    <row r="104" spans="1:7" hidden="1">
      <c r="A104" t="s">
        <v>38</v>
      </c>
      <c r="B104" s="18">
        <f>B103*C$11</f>
        <v>1.8622419531410106</v>
      </c>
      <c r="C104" s="18">
        <f>C103*D$11</f>
        <v>1.9816445254306403</v>
      </c>
      <c r="D104" s="18">
        <f>D103*E$11</f>
        <v>2.0762902341079248</v>
      </c>
      <c r="E104" s="18">
        <f>E103*F$11</f>
        <v>2.1733967312108184</v>
      </c>
      <c r="F104" s="18">
        <f>F103*G$11</f>
        <v>2.3100102400297842</v>
      </c>
    </row>
    <row r="105" spans="1:7" hidden="1">
      <c r="A105" t="s">
        <v>39</v>
      </c>
      <c r="B105" s="37">
        <f>B104-(C$12*B104)</f>
        <v>1.3035693671987074</v>
      </c>
      <c r="C105" s="37">
        <f>C104-(D$12*C104)</f>
        <v>1.3871511678014481</v>
      </c>
      <c r="D105" s="37">
        <f>D104-(E$12*D104)</f>
        <v>1.4534031638755474</v>
      </c>
      <c r="E105" s="37">
        <f>E104-(F$12*E104)</f>
        <v>1.5213777118475731</v>
      </c>
      <c r="F105" s="37">
        <f>F104-(G$12*F104)</f>
        <v>1.6170071680208489</v>
      </c>
    </row>
    <row r="106" spans="1:7" hidden="1">
      <c r="A106" t="s">
        <v>42</v>
      </c>
      <c r="B106" s="18">
        <f ca="1">B105*EXP(-$B$4*B$42/365.25)</f>
        <v>1.2392553642542239</v>
      </c>
      <c r="C106" s="18">
        <f ca="1">C105*EXP(-$B$4*C$42/365.25)</f>
        <v>1.2173926491513745</v>
      </c>
      <c r="D106" s="18">
        <f ca="1">D105*EXP(-$B$4*D$42/365.25)</f>
        <v>1.1772754398910403</v>
      </c>
      <c r="E106" s="18">
        <f ca="1">E105*EXP(-$B$4*E$42/365.25)</f>
        <v>1.13765152771235</v>
      </c>
      <c r="F106" s="18">
        <f ca="1">F105*EXP(-$B$4*F$42/365.25)</f>
        <v>1.1162574540562908</v>
      </c>
      <c r="G106" s="18">
        <f ca="1">SUM(B106:F106)</f>
        <v>5.8878324350652793</v>
      </c>
    </row>
    <row r="107" spans="1:7" hidden="1">
      <c r="A107" t="s">
        <v>41</v>
      </c>
      <c r="F107" s="37">
        <f>((1+$D$18)/($B$4-$D$18)*(1-(((1+$D$18)/(1+$B$4))^$B$16)))</f>
        <v>4.4711284281095507</v>
      </c>
      <c r="G107" s="18">
        <f ca="1">F107*F106</f>
        <v>4.9909304359202729</v>
      </c>
    </row>
    <row r="108" spans="1:7" hidden="1">
      <c r="A108" t="s">
        <v>40</v>
      </c>
      <c r="B108" s="37"/>
      <c r="F108" s="18">
        <f>F105*EXP($C$18*$B$16)</f>
        <v>1.97501701498543</v>
      </c>
    </row>
    <row r="109" spans="1:7" hidden="1">
      <c r="A109" t="s">
        <v>43</v>
      </c>
      <c r="F109" s="18">
        <f ca="1">F108*EXP(-$B$4*B$48/365.25)</f>
        <v>0.91396435057859193</v>
      </c>
      <c r="G109" s="41">
        <f ca="1">F109*B$51</f>
        <v>17.032971988055575</v>
      </c>
    </row>
    <row r="110" spans="1:7" hidden="1">
      <c r="A110" t="s">
        <v>44</v>
      </c>
      <c r="G110" s="18">
        <f ca="1">SUM(G106:G107,G109)</f>
        <v>27.911734859041125</v>
      </c>
    </row>
    <row r="111" spans="1:7" hidden="1">
      <c r="A111" t="s">
        <v>25</v>
      </c>
      <c r="G111" s="42">
        <f ca="1">G110/$G$4</f>
        <v>27.911734859041125</v>
      </c>
    </row>
    <row r="112" spans="1:7" hidden="1"/>
    <row r="113" spans="1:7" hidden="1">
      <c r="A113" s="40" t="s">
        <v>49</v>
      </c>
    </row>
    <row r="114" spans="1:7" hidden="1">
      <c r="A114" t="s">
        <v>37</v>
      </c>
      <c r="B114" s="18">
        <f>$G$3*(1+C$8)</f>
        <v>2.7385911075603095</v>
      </c>
      <c r="C114" s="18">
        <f>B114*(1+D$8)</f>
        <v>2.9576783961651345</v>
      </c>
      <c r="D114" s="18">
        <f>C114*(1+E$8)</f>
        <v>3.1942926678583454</v>
      </c>
      <c r="E114" s="18">
        <f>D114*(1+F$8)</f>
        <v>3.4498360812870135</v>
      </c>
      <c r="F114" s="18">
        <f>E114*(1+G$8)</f>
        <v>3.7258229677899748</v>
      </c>
    </row>
    <row r="115" spans="1:7" hidden="1">
      <c r="A115" t="s">
        <v>38</v>
      </c>
      <c r="B115" s="18">
        <f>B114*C$11</f>
        <v>1.8622419531410106</v>
      </c>
      <c r="C115" s="18">
        <f>C114*D$11</f>
        <v>1.9816445254306403</v>
      </c>
      <c r="D115" s="18">
        <f>D114*E$11</f>
        <v>2.0762902341079248</v>
      </c>
      <c r="E115" s="18">
        <f>E114*F$11</f>
        <v>2.1733967312108184</v>
      </c>
      <c r="F115" s="18">
        <f>F114*G$11</f>
        <v>2.3100102400297842</v>
      </c>
    </row>
    <row r="116" spans="1:7" hidden="1">
      <c r="A116" t="s">
        <v>39</v>
      </c>
      <c r="B116" s="37">
        <f>B115-(C$12*B115)</f>
        <v>1.3035693671987074</v>
      </c>
      <c r="C116" s="37">
        <f>C115-(D$12*C115)</f>
        <v>1.3871511678014481</v>
      </c>
      <c r="D116" s="37">
        <f>D115-(E$12*D115)</f>
        <v>1.4534031638755474</v>
      </c>
      <c r="E116" s="37">
        <f>E115-(F$12*E115)</f>
        <v>1.5213777118475731</v>
      </c>
      <c r="F116" s="37">
        <f>F115-(G$12*F115)</f>
        <v>1.6170071680208489</v>
      </c>
    </row>
    <row r="117" spans="1:7" hidden="1">
      <c r="A117" t="s">
        <v>42</v>
      </c>
      <c r="B117" s="18">
        <f ca="1">B116*EXP(-$B$4*B$42/365.25)</f>
        <v>1.2392553642542239</v>
      </c>
      <c r="C117" s="18">
        <f ca="1">C116*EXP(-$B$4*C$42/365.25)</f>
        <v>1.2173926491513745</v>
      </c>
      <c r="D117" s="18">
        <f ca="1">D116*EXP(-$B$4*D$42/365.25)</f>
        <v>1.1772754398910403</v>
      </c>
      <c r="E117" s="18">
        <f ca="1">E116*EXP(-$B$4*E$42/365.25)</f>
        <v>1.13765152771235</v>
      </c>
      <c r="F117" s="18">
        <f ca="1">F116*EXP(-$B$4*F$42/365.25)</f>
        <v>1.1162574540562908</v>
      </c>
      <c r="G117" s="18">
        <f ca="1">SUM(B117:F117)</f>
        <v>5.8878324350652793</v>
      </c>
    </row>
    <row r="118" spans="1:7" hidden="1">
      <c r="A118" t="s">
        <v>41</v>
      </c>
      <c r="F118" s="37">
        <f>((1+$D$17)/($B$4-$D$17)*(1-(((1+$D$17)/(1+$B$4))^$B$16)))</f>
        <v>4.8628139253018565</v>
      </c>
      <c r="G118" s="18">
        <f ca="1">F118*F117</f>
        <v>5.4281522918069287</v>
      </c>
    </row>
    <row r="119" spans="1:7" hidden="1">
      <c r="A119" t="s">
        <v>40</v>
      </c>
      <c r="B119" s="37"/>
      <c r="F119" s="18">
        <f>F116*EXP($C$17*$B$16)</f>
        <v>2.2946423979810713</v>
      </c>
    </row>
    <row r="120" spans="1:7" hidden="1">
      <c r="A120" t="s">
        <v>43</v>
      </c>
      <c r="F120" s="18">
        <f ca="1">F119*EXP(-$B$4*B$48/365.25)</f>
        <v>1.0618750791351255</v>
      </c>
      <c r="G120" s="41">
        <f ca="1">F120*B$51</f>
        <v>19.789490111154606</v>
      </c>
    </row>
    <row r="121" spans="1:7" hidden="1">
      <c r="A121" t="s">
        <v>44</v>
      </c>
      <c r="G121" s="18">
        <f ca="1">SUM(G117:G118,G120)</f>
        <v>31.105474838026815</v>
      </c>
    </row>
    <row r="122" spans="1:7" hidden="1">
      <c r="A122" t="s">
        <v>25</v>
      </c>
      <c r="G122" s="42">
        <f ca="1">G121/$G$4</f>
        <v>31.105474838026815</v>
      </c>
    </row>
    <row r="123" spans="1:7" hidden="1"/>
    <row r="124" spans="1:7" hidden="1">
      <c r="A124" s="40" t="s">
        <v>50</v>
      </c>
    </row>
    <row r="125" spans="1:7" hidden="1">
      <c r="A125" t="s">
        <v>37</v>
      </c>
      <c r="B125" s="18">
        <f>$G$3*(1+C$8)</f>
        <v>2.7385911075603095</v>
      </c>
      <c r="C125" s="18">
        <f>B125*(1+D$8)</f>
        <v>2.9576783961651345</v>
      </c>
      <c r="D125" s="18">
        <f>C125*(1+E$8)</f>
        <v>3.1942926678583454</v>
      </c>
      <c r="E125" s="18">
        <f>D125*(1+F$8)</f>
        <v>3.4498360812870135</v>
      </c>
      <c r="F125" s="18">
        <f>E125*(1+G$8)</f>
        <v>3.7258229677899748</v>
      </c>
    </row>
    <row r="126" spans="1:7" hidden="1">
      <c r="A126" t="s">
        <v>38</v>
      </c>
      <c r="B126" s="18">
        <f>B125*C$10</f>
        <v>1.8896278642166136</v>
      </c>
      <c r="C126" s="18">
        <f>C125*D$10</f>
        <v>2.0703748773155941</v>
      </c>
      <c r="D126" s="18">
        <f>D125*E$10</f>
        <v>2.2679477941794253</v>
      </c>
      <c r="E126" s="18">
        <f>E125*F$10</f>
        <v>2.4838819785266497</v>
      </c>
      <c r="F126" s="18">
        <f>F125*G$10</f>
        <v>2.682592536808782</v>
      </c>
    </row>
    <row r="127" spans="1:7" hidden="1">
      <c r="A127" t="s">
        <v>39</v>
      </c>
      <c r="B127" s="37">
        <f>B126-(C$12*B126)</f>
        <v>1.3227395049516295</v>
      </c>
      <c r="C127" s="37">
        <f>C126-(D$12*C126)</f>
        <v>1.4492624141209158</v>
      </c>
      <c r="D127" s="37">
        <f>D126-(E$12*D126)</f>
        <v>1.5875634559255976</v>
      </c>
      <c r="E127" s="37">
        <f>E126-(F$12*E126)</f>
        <v>1.7387173849686548</v>
      </c>
      <c r="F127" s="37">
        <f>F126-(G$12*F126)</f>
        <v>1.8778147757661474</v>
      </c>
    </row>
    <row r="128" spans="1:7" hidden="1">
      <c r="A128" t="s">
        <v>42</v>
      </c>
      <c r="B128" s="18">
        <f ca="1">B127*EXP(-$B$4*B$42/365.25)</f>
        <v>1.2574797078461979</v>
      </c>
      <c r="C128" s="18">
        <f ca="1">C127*EXP(-$B$4*C$42/365.25)</f>
        <v>1.2719027677700927</v>
      </c>
      <c r="D128" s="18">
        <f ca="1">D127*EXP(-$B$4*D$42/365.25)</f>
        <v>1.2859470189579054</v>
      </c>
      <c r="E128" s="18">
        <f ca="1">E127*EXP(-$B$4*E$42/365.25)</f>
        <v>1.3001731745284</v>
      </c>
      <c r="F128" s="18">
        <f ca="1">F127*EXP(-$B$4*F$42/365.25)</f>
        <v>1.29629897890408</v>
      </c>
      <c r="G128" s="18">
        <f ca="1">SUM(B128:F128)</f>
        <v>6.4118016480066755</v>
      </c>
    </row>
    <row r="129" spans="1:11" hidden="1">
      <c r="A129" t="s">
        <v>41</v>
      </c>
      <c r="F129" s="37">
        <f>((1+$D$18)/($B$4-$D$18)*(1-(((1+$D$18)/(1+$B$4))^$B$16)))</f>
        <v>4.4711284281095507</v>
      </c>
      <c r="G129" s="18">
        <f ca="1">F129*F128</f>
        <v>5.7959192159074151</v>
      </c>
    </row>
    <row r="130" spans="1:11" hidden="1">
      <c r="A130" t="s">
        <v>40</v>
      </c>
      <c r="B130" s="37"/>
      <c r="F130" s="18">
        <f>F127*EXP($C$18*$B$16)</f>
        <v>2.2935681464346933</v>
      </c>
    </row>
    <row r="131" spans="1:11" hidden="1">
      <c r="A131" t="s">
        <v>43</v>
      </c>
      <c r="F131" s="18">
        <f ca="1">F130*EXP(-$B$4*B$48/365.25)</f>
        <v>1.0613779555106231</v>
      </c>
      <c r="G131" s="41">
        <f ca="1">F131*B$51</f>
        <v>19.780225534516156</v>
      </c>
    </row>
    <row r="132" spans="1:11" hidden="1">
      <c r="A132" t="s">
        <v>44</v>
      </c>
      <c r="G132" s="18">
        <f ca="1">SUM(G128:G129,G131)</f>
        <v>31.987946398430246</v>
      </c>
    </row>
    <row r="133" spans="1:11" hidden="1">
      <c r="A133" t="s">
        <v>25</v>
      </c>
      <c r="G133" s="42">
        <f ca="1">G132/$G$4</f>
        <v>31.987946398430246</v>
      </c>
    </row>
    <row r="134" spans="1:11" hidden="1"/>
    <row r="135" spans="1:11" hidden="1">
      <c r="A135" s="40" t="s">
        <v>49</v>
      </c>
    </row>
    <row r="136" spans="1:11" hidden="1">
      <c r="A136" t="s">
        <v>37</v>
      </c>
      <c r="B136" s="18">
        <f>$G$3*(1+C$8)</f>
        <v>2.7385911075603095</v>
      </c>
      <c r="C136" s="18">
        <f>B136*(1+D$8)</f>
        <v>2.9576783961651345</v>
      </c>
      <c r="D136" s="18">
        <f>C136*(1+E$8)</f>
        <v>3.1942926678583454</v>
      </c>
      <c r="E136" s="18">
        <f>D136*(1+F$8)</f>
        <v>3.4498360812870135</v>
      </c>
      <c r="F136" s="18">
        <f>E136*(1+G$8)</f>
        <v>3.7258229677899748</v>
      </c>
    </row>
    <row r="137" spans="1:11" hidden="1">
      <c r="A137" t="s">
        <v>38</v>
      </c>
      <c r="B137" s="18">
        <f>B136*C$10</f>
        <v>1.8896278642166136</v>
      </c>
      <c r="C137" s="18">
        <f>C136*D$10</f>
        <v>2.0703748773155941</v>
      </c>
      <c r="D137" s="18">
        <f>D136*E$10</f>
        <v>2.2679477941794253</v>
      </c>
      <c r="E137" s="18">
        <f>E136*F$10</f>
        <v>2.4838819785266497</v>
      </c>
      <c r="F137" s="18">
        <f>F136*G$10</f>
        <v>2.682592536808782</v>
      </c>
    </row>
    <row r="138" spans="1:11" hidden="1">
      <c r="A138" t="s">
        <v>39</v>
      </c>
      <c r="B138" s="37">
        <f>B137-(C$12*B137)</f>
        <v>1.3227395049516295</v>
      </c>
      <c r="C138" s="37">
        <f>C137-(D$12*C137)</f>
        <v>1.4492624141209158</v>
      </c>
      <c r="D138" s="37">
        <f>D137-(E$12*D137)</f>
        <v>1.5875634559255976</v>
      </c>
      <c r="E138" s="37">
        <f>E137-(F$12*E137)</f>
        <v>1.7387173849686548</v>
      </c>
      <c r="F138" s="37">
        <f>F137-(G$12*F137)</f>
        <v>1.8778147757661474</v>
      </c>
    </row>
    <row r="139" spans="1:11" hidden="1">
      <c r="A139" t="s">
        <v>42</v>
      </c>
      <c r="B139" s="18">
        <f ca="1">B138*EXP(-$B$4*B$42/365.25)</f>
        <v>1.2574797078461979</v>
      </c>
      <c r="C139" s="18">
        <f ca="1">C138*EXP(-$B$4*C$42/365.25)</f>
        <v>1.2719027677700927</v>
      </c>
      <c r="D139" s="18">
        <f ca="1">D138*EXP(-$B$4*D$42/365.25)</f>
        <v>1.2859470189579054</v>
      </c>
      <c r="E139" s="18">
        <f ca="1">E138*EXP(-$B$4*E$42/365.25)</f>
        <v>1.3001731745284</v>
      </c>
      <c r="F139" s="18">
        <f ca="1">F138*EXP(-$B$4*F$42/365.25)</f>
        <v>1.29629897890408</v>
      </c>
      <c r="G139" s="18">
        <f ca="1">SUM(B139:F139)</f>
        <v>6.4118016480066755</v>
      </c>
      <c r="H139" s="18"/>
      <c r="I139" s="18"/>
      <c r="J139" s="18"/>
      <c r="K139" s="18"/>
    </row>
    <row r="140" spans="1:11" hidden="1">
      <c r="A140" t="s">
        <v>41</v>
      </c>
      <c r="F140" s="37">
        <f>((1+$D$17)/($B$4-$D$17)*(1-(((1+$D$17)/(1+$B$4))^$B$16)))</f>
        <v>4.8628139253018565</v>
      </c>
      <c r="G140" s="18">
        <f ca="1">F140*F139</f>
        <v>6.3036607259693378</v>
      </c>
    </row>
    <row r="141" spans="1:11" hidden="1">
      <c r="A141" t="s">
        <v>40</v>
      </c>
      <c r="B141" s="37"/>
      <c r="F141" s="18">
        <f>F138*EXP($C$17*$B$16)</f>
        <v>2.6647460105586642</v>
      </c>
    </row>
    <row r="142" spans="1:11" hidden="1">
      <c r="A142" t="s">
        <v>43</v>
      </c>
      <c r="F142" s="18">
        <f ca="1">F141*EXP(-$B$4*B$48/365.25)</f>
        <v>1.2331452531891782</v>
      </c>
      <c r="G142" s="41">
        <f ca="1">F142*B$51</f>
        <v>22.981343354889226</v>
      </c>
    </row>
    <row r="143" spans="1:11" hidden="1">
      <c r="A143" t="s">
        <v>44</v>
      </c>
      <c r="G143" s="18">
        <f ca="1">SUM(G139:G140,G142)</f>
        <v>35.696805728865243</v>
      </c>
    </row>
    <row r="144" spans="1:11" hidden="1">
      <c r="A144" t="s">
        <v>25</v>
      </c>
      <c r="G144" s="42">
        <f ca="1">G143/$G$4</f>
        <v>35.696805728865243</v>
      </c>
    </row>
    <row r="145" spans="11:11">
      <c r="K145" s="103"/>
    </row>
  </sheetData>
  <mergeCells count="20">
    <mergeCell ref="I12:L12"/>
    <mergeCell ref="I20:L20"/>
    <mergeCell ref="A41:F41"/>
    <mergeCell ref="A17:A18"/>
    <mergeCell ref="E15:G15"/>
    <mergeCell ref="A15:C15"/>
    <mergeCell ref="A1:G1"/>
    <mergeCell ref="A10:A11"/>
    <mergeCell ref="A8:A9"/>
    <mergeCell ref="I6:J6"/>
    <mergeCell ref="I7:J7"/>
    <mergeCell ref="I8:J8"/>
    <mergeCell ref="I9:J9"/>
    <mergeCell ref="I1:J1"/>
    <mergeCell ref="I2:J2"/>
    <mergeCell ref="I3:J3"/>
    <mergeCell ref="I4:J4"/>
    <mergeCell ref="I5:J5"/>
    <mergeCell ref="A6:G6"/>
    <mergeCell ref="I11:L11"/>
  </mergeCells>
  <dataValidations disablePrompts="1"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Normal="100" workbookViewId="0">
      <selection activeCell="L26" sqref="L26"/>
    </sheetView>
  </sheetViews>
  <sheetFormatPr defaultRowHeight="14.25"/>
  <cols>
    <col min="1" max="1" width="38.73046875" bestFit="1" customWidth="1"/>
    <col min="2" max="7" width="11.73046875" customWidth="1"/>
    <col min="8" max="11" width="10.73046875" customWidth="1"/>
    <col min="12" max="12" width="11.59765625" bestFit="1" customWidth="1"/>
    <col min="13" max="13" width="12.59765625" bestFit="1" customWidth="1"/>
    <col min="14" max="14" width="15" bestFit="1" customWidth="1"/>
    <col min="15" max="15" width="13.1328125" bestFit="1" customWidth="1"/>
    <col min="16" max="16" width="16" bestFit="1" customWidth="1"/>
  </cols>
  <sheetData>
    <row r="1" spans="1:11" s="9" customFormat="1" ht="14.65" thickBot="1">
      <c r="A1" s="57" t="s">
        <v>129</v>
      </c>
      <c r="B1" s="59">
        <v>-9</v>
      </c>
      <c r="C1" s="59">
        <v>-8</v>
      </c>
      <c r="D1" s="59">
        <v>-7</v>
      </c>
      <c r="E1" s="59">
        <v>-6</v>
      </c>
      <c r="F1" s="59">
        <v>-5</v>
      </c>
      <c r="G1" s="59">
        <v>-4</v>
      </c>
      <c r="H1" s="59">
        <v>-3</v>
      </c>
      <c r="I1" s="59">
        <v>-2</v>
      </c>
      <c r="J1" s="59">
        <v>-1</v>
      </c>
      <c r="K1" s="59">
        <v>0</v>
      </c>
    </row>
    <row r="2" spans="1:11">
      <c r="A2" s="7" t="s">
        <v>130</v>
      </c>
      <c r="B2" s="104">
        <f>DATE(YEAR('Valuation Model'!$B3)+B1,MONTH('Valuation Model'!$B3),DAY('Valuation Model'!$B3))</f>
        <v>39813</v>
      </c>
      <c r="C2" s="104">
        <f>DATE(YEAR('Valuation Model'!$B3)+C1,MONTH('Valuation Model'!$B3),DAY('Valuation Model'!$B3))</f>
        <v>40178</v>
      </c>
      <c r="D2" s="104">
        <f>DATE(YEAR('Valuation Model'!$B3)+D1,MONTH('Valuation Model'!$B3),DAY('Valuation Model'!$B3))</f>
        <v>40543</v>
      </c>
      <c r="E2" s="104">
        <f>DATE(YEAR('Valuation Model'!$B3)+E1,MONTH('Valuation Model'!$B3),DAY('Valuation Model'!$B3))</f>
        <v>40908</v>
      </c>
      <c r="F2" s="104">
        <f>DATE(YEAR('Valuation Model'!$B3)+F1,MONTH('Valuation Model'!$B3),DAY('Valuation Model'!$B3))</f>
        <v>41274</v>
      </c>
      <c r="G2" s="104">
        <f>DATE(YEAR('Valuation Model'!$B3)+G1,MONTH('Valuation Model'!$B3),DAY('Valuation Model'!$B3))</f>
        <v>41639</v>
      </c>
      <c r="H2" s="104">
        <f>DATE(YEAR('Valuation Model'!$B3)+H1,MONTH('Valuation Model'!$B3),DAY('Valuation Model'!$B3))</f>
        <v>42004</v>
      </c>
      <c r="I2" s="104">
        <f>DATE(YEAR('Valuation Model'!$B3)+I1,MONTH('Valuation Model'!$B3),DAY('Valuation Model'!$B3))</f>
        <v>42369</v>
      </c>
      <c r="J2" s="104">
        <f>DATE(YEAR('Valuation Model'!$B3)+J1,MONTH('Valuation Model'!$B3),DAY('Valuation Model'!$B3))</f>
        <v>42735</v>
      </c>
      <c r="K2" s="104">
        <f>DATE(YEAR('Valuation Model'!$B3)+K1,MONTH('Valuation Model'!$B3),DAY('Valuation Model'!$B3))</f>
        <v>43100</v>
      </c>
    </row>
    <row r="3" spans="1:11">
      <c r="A3" s="1" t="s">
        <v>37</v>
      </c>
      <c r="B3" s="105"/>
      <c r="C3" s="105"/>
      <c r="D3" s="105"/>
      <c r="E3" s="105"/>
      <c r="F3" s="140">
        <v>1.4854752635630366</v>
      </c>
      <c r="G3" s="140">
        <v>2.1827219073715307</v>
      </c>
      <c r="H3" s="140">
        <v>2.4274039052828504</v>
      </c>
      <c r="I3" s="140">
        <v>2.3306636525505469</v>
      </c>
      <c r="J3" s="140">
        <v>2.527853181544597</v>
      </c>
      <c r="K3" s="140">
        <v>2.5357325070002865</v>
      </c>
    </row>
    <row r="4" spans="1:11">
      <c r="A4" s="106" t="s">
        <v>131</v>
      </c>
      <c r="B4" s="106"/>
      <c r="C4" s="107" t="str">
        <f t="shared" ref="C4:K4" si="0">IFERROR(C3/B3-1,"")</f>
        <v/>
      </c>
      <c r="D4" s="107" t="str">
        <f t="shared" si="0"/>
        <v/>
      </c>
      <c r="E4" s="107" t="str">
        <f t="shared" si="0"/>
        <v/>
      </c>
      <c r="F4" s="107" t="str">
        <f t="shared" si="0"/>
        <v/>
      </c>
      <c r="G4" s="107">
        <f t="shared" si="0"/>
        <v>0.46937613901162489</v>
      </c>
      <c r="H4" s="107">
        <f t="shared" si="0"/>
        <v>0.11209948325756702</v>
      </c>
      <c r="I4" s="107">
        <f t="shared" si="0"/>
        <v>-3.985338102231939E-2</v>
      </c>
      <c r="J4" s="107">
        <f t="shared" si="0"/>
        <v>8.4606600690003919E-2</v>
      </c>
      <c r="K4" s="107">
        <f t="shared" si="0"/>
        <v>3.1170028042826203E-3</v>
      </c>
    </row>
    <row r="5" spans="1:11">
      <c r="A5" s="106" t="s">
        <v>132</v>
      </c>
      <c r="B5" s="106"/>
      <c r="C5" s="106"/>
      <c r="D5" s="106"/>
      <c r="E5" s="107" t="str">
        <f>IFERROR(SUM(C3:E3)/SUM(B3:D3)-1,"")</f>
        <v/>
      </c>
      <c r="F5" s="107" t="str">
        <f t="shared" ref="F5:K5" si="1">IFERROR(SUM(D3:F3)/SUM(C3:E3)-1,"")</f>
        <v/>
      </c>
      <c r="G5" s="107">
        <f t="shared" si="1"/>
        <v>1.4693761390116249</v>
      </c>
      <c r="H5" s="107">
        <f t="shared" si="1"/>
        <v>0.6617430285691015</v>
      </c>
      <c r="I5" s="107">
        <f t="shared" si="1"/>
        <v>0.13865546291818465</v>
      </c>
      <c r="J5" s="107">
        <f t="shared" si="1"/>
        <v>4.9725074633549138E-2</v>
      </c>
      <c r="K5" s="107">
        <f t="shared" si="1"/>
        <v>1.4868210291110628E-2</v>
      </c>
    </row>
    <row r="6" spans="1:11">
      <c r="A6" s="106" t="s">
        <v>133</v>
      </c>
      <c r="B6" s="106"/>
      <c r="C6" s="106"/>
      <c r="D6" s="106"/>
      <c r="E6" s="106"/>
      <c r="F6" s="108"/>
      <c r="G6" s="107">
        <f>IFERROR(SUM(C3:G3)/SUM(B3:F3)-1,"")</f>
        <v>1.4693761390116249</v>
      </c>
      <c r="H6" s="107">
        <f>IFERROR(SUM(D3:H3)/SUM(C3:G3)-1,"")</f>
        <v>0.6617430285691015</v>
      </c>
      <c r="I6" s="107">
        <f>IFERROR(SUM(E3:I3)/SUM(D3:H3)-1,"")</f>
        <v>0.38235173585158955</v>
      </c>
      <c r="J6" s="107">
        <f>IFERROR(SUM(F3:J3)/SUM(E3:I3)-1,"")</f>
        <v>0.29999688627326138</v>
      </c>
      <c r="K6" s="107">
        <f>IFERROR(SUM(G3:K3)/SUM(F3:J3)-1,"")</f>
        <v>9.5877847220222412E-2</v>
      </c>
    </row>
    <row r="8" spans="1:11" s="9" customFormat="1" ht="14.65" thickBot="1">
      <c r="A8" s="57" t="s">
        <v>134</v>
      </c>
      <c r="B8" s="109">
        <f t="shared" ref="B8:J8" si="2">B2</f>
        <v>39813</v>
      </c>
      <c r="C8" s="109">
        <f t="shared" si="2"/>
        <v>40178</v>
      </c>
      <c r="D8" s="109">
        <f t="shared" si="2"/>
        <v>40543</v>
      </c>
      <c r="E8" s="109">
        <f t="shared" si="2"/>
        <v>40908</v>
      </c>
      <c r="F8" s="109">
        <f t="shared" si="2"/>
        <v>41274</v>
      </c>
      <c r="G8" s="109">
        <f t="shared" si="2"/>
        <v>41639</v>
      </c>
      <c r="H8" s="109">
        <f t="shared" si="2"/>
        <v>42004</v>
      </c>
      <c r="I8" s="109">
        <f t="shared" si="2"/>
        <v>42369</v>
      </c>
      <c r="J8" s="109">
        <f t="shared" si="2"/>
        <v>42735</v>
      </c>
      <c r="K8" s="109">
        <f>K2</f>
        <v>43100</v>
      </c>
    </row>
    <row r="9" spans="1:11">
      <c r="A9" s="110" t="s">
        <v>135</v>
      </c>
      <c r="B9" s="111"/>
      <c r="C9" s="111"/>
      <c r="D9" s="111"/>
      <c r="E9" s="111"/>
      <c r="F9" s="141">
        <v>0.81991942951897234</v>
      </c>
      <c r="G9" s="141">
        <v>1.1010214983797442</v>
      </c>
      <c r="H9" s="141">
        <v>1.3075205444616447</v>
      </c>
      <c r="I9" s="141">
        <v>1.530536954910618</v>
      </c>
      <c r="J9" s="141">
        <v>1.6543959899005971</v>
      </c>
      <c r="K9" s="141">
        <v>1.7326360359648261</v>
      </c>
    </row>
    <row r="10" spans="1:11">
      <c r="A10" s="112" t="s">
        <v>136</v>
      </c>
      <c r="B10" s="111"/>
      <c r="C10" s="111"/>
      <c r="D10" s="111"/>
      <c r="E10" s="111"/>
      <c r="F10" s="111"/>
      <c r="G10" s="111"/>
      <c r="H10" s="111"/>
      <c r="I10" s="111"/>
      <c r="J10" s="111"/>
      <c r="K10" s="111"/>
    </row>
    <row r="11" spans="1:11">
      <c r="A11" s="113" t="s">
        <v>137</v>
      </c>
      <c r="B11" s="5">
        <f t="shared" ref="B11:K11" si="3">B9+B10</f>
        <v>0</v>
      </c>
      <c r="C11" s="5">
        <f t="shared" si="3"/>
        <v>0</v>
      </c>
      <c r="D11" s="5">
        <f t="shared" si="3"/>
        <v>0</v>
      </c>
      <c r="E11" s="5">
        <f t="shared" si="3"/>
        <v>0</v>
      </c>
      <c r="F11" s="56">
        <f t="shared" si="3"/>
        <v>0.81991942951897234</v>
      </c>
      <c r="G11" s="56">
        <f t="shared" si="3"/>
        <v>1.1010214983797442</v>
      </c>
      <c r="H11" s="56">
        <f t="shared" si="3"/>
        <v>1.3075205444616447</v>
      </c>
      <c r="I11" s="56">
        <f t="shared" si="3"/>
        <v>1.530536954910618</v>
      </c>
      <c r="J11" s="56">
        <f t="shared" si="3"/>
        <v>1.6543959899005971</v>
      </c>
      <c r="K11" s="56">
        <f t="shared" si="3"/>
        <v>1.7326360359648261</v>
      </c>
    </row>
    <row r="12" spans="1:11">
      <c r="A12" s="106" t="s">
        <v>127</v>
      </c>
      <c r="B12" s="107" t="str">
        <f t="shared" ref="B12:K12" si="4">IFERROR(B11/B$3,"")</f>
        <v/>
      </c>
      <c r="C12" s="107" t="str">
        <f t="shared" si="4"/>
        <v/>
      </c>
      <c r="D12" s="107" t="str">
        <f t="shared" si="4"/>
        <v/>
      </c>
      <c r="E12" s="107" t="str">
        <f t="shared" si="4"/>
        <v/>
      </c>
      <c r="F12" s="107">
        <f t="shared" si="4"/>
        <v>0.55195764590002461</v>
      </c>
      <c r="G12" s="107">
        <f t="shared" si="4"/>
        <v>0.50442591640343781</v>
      </c>
      <c r="H12" s="107">
        <f t="shared" si="4"/>
        <v>0.53864976554418431</v>
      </c>
      <c r="I12" s="107">
        <f t="shared" si="4"/>
        <v>0.65669576699138232</v>
      </c>
      <c r="J12" s="107">
        <f t="shared" si="4"/>
        <v>0.65446680288991688</v>
      </c>
      <c r="K12" s="107">
        <f t="shared" si="4"/>
        <v>0.6832881745931848</v>
      </c>
    </row>
    <row r="13" spans="1:11">
      <c r="A13" s="106" t="s">
        <v>138</v>
      </c>
      <c r="B13" s="106"/>
      <c r="C13" s="107" t="str">
        <f t="shared" ref="C13:K13" si="5">IFERROR(C11/B11-1,"")</f>
        <v/>
      </c>
      <c r="D13" s="107" t="str">
        <f t="shared" si="5"/>
        <v/>
      </c>
      <c r="E13" s="107" t="str">
        <f t="shared" si="5"/>
        <v/>
      </c>
      <c r="F13" s="107" t="str">
        <f t="shared" si="5"/>
        <v/>
      </c>
      <c r="G13" s="107">
        <f t="shared" si="5"/>
        <v>0.34284108747817799</v>
      </c>
      <c r="H13" s="107">
        <f t="shared" si="5"/>
        <v>0.1875522379769905</v>
      </c>
      <c r="I13" s="107">
        <f t="shared" si="5"/>
        <v>0.17056436427987265</v>
      </c>
      <c r="J13" s="107">
        <f t="shared" si="5"/>
        <v>8.0925216861041038E-2</v>
      </c>
      <c r="K13" s="107">
        <f t="shared" si="5"/>
        <v>4.729221210753165E-2</v>
      </c>
    </row>
    <row r="14" spans="1:11">
      <c r="A14" s="106" t="s">
        <v>139</v>
      </c>
      <c r="B14" s="106"/>
      <c r="C14" s="106"/>
      <c r="D14" s="106"/>
      <c r="E14" s="107" t="str">
        <f>IFERROR(SUM(C11:E11)/SUM(B11:D11)-1,"")</f>
        <v/>
      </c>
      <c r="F14" s="107" t="str">
        <f t="shared" ref="F14:K14" si="6">IFERROR(SUM(D11:F11)/SUM(C11:E11)-1,"")</f>
        <v/>
      </c>
      <c r="G14" s="107">
        <f t="shared" si="6"/>
        <v>1.342841087478178</v>
      </c>
      <c r="H14" s="107">
        <f t="shared" si="6"/>
        <v>0.68066671154324254</v>
      </c>
      <c r="I14" s="107">
        <f t="shared" si="6"/>
        <v>0.22011026969824932</v>
      </c>
      <c r="J14" s="107">
        <f t="shared" si="6"/>
        <v>0.14048321748222325</v>
      </c>
      <c r="K14" s="107">
        <f t="shared" si="6"/>
        <v>9.4628801949375285E-2</v>
      </c>
    </row>
    <row r="15" spans="1:11">
      <c r="A15" s="106" t="s">
        <v>133</v>
      </c>
      <c r="B15" s="106"/>
      <c r="C15" s="106"/>
      <c r="D15" s="106"/>
      <c r="E15" s="106"/>
      <c r="F15" s="107"/>
      <c r="G15" s="107">
        <f>IFERROR(SUM(C11:G11)/SUM(B11:F11)-1,"")</f>
        <v>1.342841087478178</v>
      </c>
      <c r="H15" s="107">
        <f>IFERROR(SUM(D11:H11)/SUM(C11:G11)-1,"")</f>
        <v>0.68066671154324254</v>
      </c>
      <c r="I15" s="107">
        <f>IFERROR(SUM(E11:I11)/SUM(D11:H11)-1,"")</f>
        <v>0.4740762645036698</v>
      </c>
      <c r="J15" s="107">
        <f>IFERROR(SUM(F11:J11)/SUM(E11:I11)-1,"")</f>
        <v>0.34763533024517113</v>
      </c>
      <c r="K15" s="107">
        <f>IFERROR(SUM(G11:K11)/SUM(F11:J11)-1,"")</f>
        <v>0.14231412370368113</v>
      </c>
    </row>
    <row r="16" spans="1:11" s="9" customFormat="1">
      <c r="A16"/>
      <c r="B16"/>
      <c r="C16"/>
      <c r="D16"/>
      <c r="E16"/>
      <c r="F16" s="97">
        <f t="shared" ref="F16:K16" si="7">AVERAGE(B12:F12)</f>
        <v>0.55195764590002461</v>
      </c>
      <c r="G16" s="97">
        <f t="shared" si="7"/>
        <v>0.52819178115173115</v>
      </c>
      <c r="H16" s="97">
        <f t="shared" si="7"/>
        <v>0.53167777594921561</v>
      </c>
      <c r="I16" s="97">
        <f t="shared" si="7"/>
        <v>0.56293227370975729</v>
      </c>
      <c r="J16" s="97">
        <f t="shared" si="7"/>
        <v>0.58123917954578919</v>
      </c>
      <c r="K16" s="97">
        <f t="shared" si="7"/>
        <v>0.60750528528442127</v>
      </c>
    </row>
    <row r="17" spans="1:16" s="9" customFormat="1" ht="14.65" thickBot="1">
      <c r="A17" s="57" t="s">
        <v>140</v>
      </c>
      <c r="B17" s="109">
        <f t="shared" ref="B17:J17" si="8">B2</f>
        <v>39813</v>
      </c>
      <c r="C17" s="109">
        <f t="shared" si="8"/>
        <v>40178</v>
      </c>
      <c r="D17" s="109">
        <f t="shared" si="8"/>
        <v>40543</v>
      </c>
      <c r="E17" s="109">
        <f t="shared" si="8"/>
        <v>40908</v>
      </c>
      <c r="F17" s="109">
        <f t="shared" si="8"/>
        <v>41274</v>
      </c>
      <c r="G17" s="109">
        <f t="shared" si="8"/>
        <v>41639</v>
      </c>
      <c r="H17" s="109">
        <f t="shared" si="8"/>
        <v>42004</v>
      </c>
      <c r="I17" s="109">
        <f t="shared" si="8"/>
        <v>42369</v>
      </c>
      <c r="J17" s="109">
        <f t="shared" si="8"/>
        <v>42735</v>
      </c>
      <c r="K17" s="109">
        <f>K2</f>
        <v>43100</v>
      </c>
    </row>
    <row r="18" spans="1:16">
      <c r="A18" s="110" t="s">
        <v>141</v>
      </c>
      <c r="B18" s="111"/>
      <c r="C18" s="111"/>
      <c r="D18" s="111"/>
      <c r="E18" s="111"/>
      <c r="F18" s="111"/>
      <c r="G18" s="111">
        <v>0</v>
      </c>
      <c r="H18" s="111">
        <v>0</v>
      </c>
      <c r="I18" s="111">
        <v>0</v>
      </c>
      <c r="J18" s="111">
        <v>0</v>
      </c>
      <c r="K18" s="111">
        <v>0</v>
      </c>
    </row>
    <row r="19" spans="1:16" s="115" customFormat="1">
      <c r="A19" s="112" t="s">
        <v>178</v>
      </c>
      <c r="B19" s="114">
        <f t="shared" ref="B19:K19" si="9">B18-B10</f>
        <v>0</v>
      </c>
      <c r="C19" s="114">
        <f t="shared" si="9"/>
        <v>0</v>
      </c>
      <c r="D19" s="114">
        <f t="shared" si="9"/>
        <v>0</v>
      </c>
      <c r="E19" s="114">
        <f t="shared" si="9"/>
        <v>0</v>
      </c>
      <c r="F19" s="114">
        <f t="shared" si="9"/>
        <v>0</v>
      </c>
      <c r="G19" s="114">
        <f t="shared" si="9"/>
        <v>0</v>
      </c>
      <c r="H19" s="202">
        <f t="shared" si="9"/>
        <v>0</v>
      </c>
      <c r="I19" s="202">
        <f t="shared" si="9"/>
        <v>0</v>
      </c>
      <c r="J19" s="202">
        <f t="shared" si="9"/>
        <v>0</v>
      </c>
      <c r="K19" s="202">
        <f t="shared" si="9"/>
        <v>0</v>
      </c>
    </row>
    <row r="20" spans="1:16" s="115" customFormat="1">
      <c r="A20" s="112" t="s">
        <v>142</v>
      </c>
      <c r="B20" s="111">
        <v>0</v>
      </c>
      <c r="C20" s="111">
        <v>0</v>
      </c>
      <c r="D20" s="111">
        <v>0</v>
      </c>
      <c r="E20" s="111">
        <v>0</v>
      </c>
      <c r="F20" s="111">
        <v>0</v>
      </c>
      <c r="G20" s="111">
        <v>0</v>
      </c>
      <c r="H20" s="111">
        <v>0</v>
      </c>
      <c r="I20" s="111">
        <v>0</v>
      </c>
      <c r="J20" s="111">
        <v>0</v>
      </c>
      <c r="K20" s="111">
        <v>0</v>
      </c>
    </row>
    <row r="21" spans="1:16" s="115" customFormat="1">
      <c r="A21" s="112" t="s">
        <v>143</v>
      </c>
      <c r="B21" s="111"/>
      <c r="C21" s="111"/>
      <c r="D21" s="111"/>
      <c r="E21" s="111"/>
      <c r="F21" s="111"/>
      <c r="G21" s="111"/>
      <c r="H21" s="201">
        <v>-1.1936205444616448</v>
      </c>
      <c r="I21" s="201">
        <v>-0.49053695491061799</v>
      </c>
      <c r="J21" s="201">
        <v>-0.534395989900597</v>
      </c>
      <c r="K21" s="201">
        <v>-0.53263603596482612</v>
      </c>
    </row>
    <row r="22" spans="1:16">
      <c r="A22" s="110" t="s">
        <v>144</v>
      </c>
      <c r="B22" s="111"/>
      <c r="C22" s="111"/>
      <c r="D22" s="111"/>
      <c r="E22" s="111"/>
      <c r="F22" s="111"/>
      <c r="G22" s="111"/>
      <c r="H22" s="111">
        <v>0</v>
      </c>
      <c r="I22" s="111">
        <v>0</v>
      </c>
      <c r="J22" s="111">
        <v>0</v>
      </c>
      <c r="K22" s="111">
        <v>0</v>
      </c>
    </row>
    <row r="23" spans="1:16">
      <c r="A23" s="110" t="s">
        <v>189</v>
      </c>
      <c r="B23" s="111"/>
      <c r="C23" s="111"/>
      <c r="D23" s="111"/>
      <c r="E23" s="111"/>
      <c r="F23" s="111"/>
      <c r="G23" s="111"/>
      <c r="H23" s="111">
        <v>0</v>
      </c>
      <c r="I23" s="111">
        <v>0</v>
      </c>
      <c r="J23" s="111">
        <v>0</v>
      </c>
      <c r="K23" s="111">
        <v>0</v>
      </c>
    </row>
    <row r="24" spans="1:16">
      <c r="A24" s="116" t="s">
        <v>145</v>
      </c>
      <c r="B24" s="117"/>
      <c r="C24" s="117"/>
      <c r="D24" s="117"/>
      <c r="E24" s="117"/>
      <c r="F24" s="117"/>
      <c r="G24" s="117"/>
      <c r="H24" s="111">
        <v>0</v>
      </c>
      <c r="I24" s="111">
        <v>0</v>
      </c>
      <c r="J24" s="111">
        <v>0</v>
      </c>
      <c r="K24" s="111">
        <v>0</v>
      </c>
    </row>
    <row r="25" spans="1:16">
      <c r="A25" s="118" t="s">
        <v>146</v>
      </c>
      <c r="B25" s="119"/>
      <c r="C25" s="119"/>
      <c r="D25" s="119"/>
      <c r="E25" s="119"/>
      <c r="F25" s="119"/>
      <c r="G25" s="119"/>
      <c r="H25" s="111">
        <v>0</v>
      </c>
      <c r="I25" s="111">
        <v>0</v>
      </c>
      <c r="J25" s="111">
        <v>0</v>
      </c>
      <c r="K25" s="111">
        <v>0</v>
      </c>
      <c r="M25" s="17"/>
      <c r="N25" s="18"/>
      <c r="O25" s="18"/>
      <c r="P25" s="18"/>
    </row>
    <row r="26" spans="1:16">
      <c r="A26" s="120" t="s">
        <v>147</v>
      </c>
      <c r="B26" s="121"/>
      <c r="C26" s="121"/>
      <c r="D26" s="121"/>
      <c r="E26" s="121"/>
      <c r="F26" s="121"/>
      <c r="G26" s="121"/>
      <c r="H26" s="121">
        <v>0</v>
      </c>
      <c r="I26" s="121">
        <v>0</v>
      </c>
      <c r="J26" s="121">
        <v>0</v>
      </c>
      <c r="K26" s="121">
        <v>0</v>
      </c>
    </row>
    <row r="27" spans="1:16">
      <c r="A27" s="110" t="s">
        <v>148</v>
      </c>
      <c r="B27" s="122">
        <f t="shared" ref="B27:K27" si="10">-B24*B25+B26</f>
        <v>0</v>
      </c>
      <c r="C27" s="122">
        <f t="shared" si="10"/>
        <v>0</v>
      </c>
      <c r="D27" s="122">
        <f t="shared" si="10"/>
        <v>0</v>
      </c>
      <c r="E27" s="122">
        <f t="shared" si="10"/>
        <v>0</v>
      </c>
      <c r="F27" s="122">
        <f t="shared" si="10"/>
        <v>0</v>
      </c>
      <c r="G27" s="122">
        <f t="shared" si="10"/>
        <v>0</v>
      </c>
      <c r="H27" s="122">
        <f t="shared" si="10"/>
        <v>0</v>
      </c>
      <c r="I27" s="122">
        <f t="shared" si="10"/>
        <v>0</v>
      </c>
      <c r="J27" s="122">
        <f t="shared" si="10"/>
        <v>0</v>
      </c>
      <c r="K27" s="122">
        <f t="shared" si="10"/>
        <v>0</v>
      </c>
    </row>
    <row r="28" spans="1:16">
      <c r="A28" s="1" t="s">
        <v>149</v>
      </c>
      <c r="B28" s="5">
        <f>B19+B20+B21+B22+B23+B27</f>
        <v>0</v>
      </c>
      <c r="C28" s="5">
        <f t="shared" ref="C28:J28" si="11">C19+C20+C21+C22+C23+C27</f>
        <v>0</v>
      </c>
      <c r="D28" s="5">
        <f t="shared" si="11"/>
        <v>0</v>
      </c>
      <c r="E28" s="5">
        <f t="shared" si="11"/>
        <v>0</v>
      </c>
      <c r="F28" s="5">
        <f t="shared" si="11"/>
        <v>0</v>
      </c>
      <c r="G28" s="5">
        <f t="shared" si="11"/>
        <v>0</v>
      </c>
      <c r="H28" s="56">
        <f t="shared" si="11"/>
        <v>-1.1936205444616448</v>
      </c>
      <c r="I28" s="56">
        <f t="shared" si="11"/>
        <v>-0.49053695491061799</v>
      </c>
      <c r="J28" s="56">
        <f t="shared" si="11"/>
        <v>-0.534395989900597</v>
      </c>
      <c r="K28" s="56">
        <f>K19+K20+K21+K22+K23+K27</f>
        <v>-0.53263603596482612</v>
      </c>
    </row>
    <row r="29" spans="1:16">
      <c r="A29" s="106" t="s">
        <v>150</v>
      </c>
      <c r="B29" s="107" t="str">
        <f t="shared" ref="B29:K29" si="12">IFERROR(-B28/B11,"")</f>
        <v/>
      </c>
      <c r="C29" s="107" t="str">
        <f t="shared" si="12"/>
        <v/>
      </c>
      <c r="D29" s="107" t="str">
        <f t="shared" si="12"/>
        <v/>
      </c>
      <c r="E29" s="107" t="str">
        <f t="shared" si="12"/>
        <v/>
      </c>
      <c r="F29" s="107">
        <f t="shared" si="12"/>
        <v>0</v>
      </c>
      <c r="G29" s="107">
        <f t="shared" si="12"/>
        <v>0</v>
      </c>
      <c r="H29" s="107">
        <f t="shared" si="12"/>
        <v>0.91288855805558544</v>
      </c>
      <c r="I29" s="107">
        <f t="shared" si="12"/>
        <v>0.32049990909188136</v>
      </c>
      <c r="J29" s="107">
        <f t="shared" si="12"/>
        <v>0.32301576718201891</v>
      </c>
      <c r="K29" s="107">
        <f t="shared" si="12"/>
        <v>0.30741368926234147</v>
      </c>
    </row>
    <row r="31" spans="1:16" s="9" customFormat="1" ht="14.65" thickBot="1">
      <c r="A31" s="57" t="s">
        <v>151</v>
      </c>
      <c r="B31" s="109">
        <f t="shared" ref="B31:J31" si="13">B2</f>
        <v>39813</v>
      </c>
      <c r="C31" s="109">
        <f t="shared" si="13"/>
        <v>40178</v>
      </c>
      <c r="D31" s="109">
        <f t="shared" si="13"/>
        <v>40543</v>
      </c>
      <c r="E31" s="109">
        <f t="shared" si="13"/>
        <v>40908</v>
      </c>
      <c r="F31" s="109">
        <f t="shared" si="13"/>
        <v>41274</v>
      </c>
      <c r="G31" s="109">
        <f t="shared" si="13"/>
        <v>41639</v>
      </c>
      <c r="H31" s="109">
        <f t="shared" si="13"/>
        <v>42004</v>
      </c>
      <c r="I31" s="109">
        <f t="shared" si="13"/>
        <v>42369</v>
      </c>
      <c r="J31" s="109">
        <f t="shared" si="13"/>
        <v>42735</v>
      </c>
      <c r="K31" s="109">
        <f>K2</f>
        <v>43100</v>
      </c>
    </row>
    <row r="32" spans="1:16" ht="14.65" thickBot="1">
      <c r="A32" s="123" t="s">
        <v>152</v>
      </c>
      <c r="B32" s="4">
        <f t="shared" ref="B32:K32" si="14">B11+B28</f>
        <v>0</v>
      </c>
      <c r="C32" s="4">
        <f t="shared" si="14"/>
        <v>0</v>
      </c>
      <c r="D32" s="4">
        <f t="shared" si="14"/>
        <v>0</v>
      </c>
      <c r="E32" s="4">
        <f t="shared" si="14"/>
        <v>0</v>
      </c>
      <c r="F32" s="200">
        <f t="shared" si="14"/>
        <v>0.81991942951897234</v>
      </c>
      <c r="G32" s="200">
        <f t="shared" si="14"/>
        <v>1.1010214983797442</v>
      </c>
      <c r="H32" s="200">
        <f t="shared" si="14"/>
        <v>0.11389999999999989</v>
      </c>
      <c r="I32" s="200">
        <f t="shared" si="14"/>
        <v>1.04</v>
      </c>
      <c r="J32" s="200">
        <f t="shared" si="14"/>
        <v>1.1200000000000001</v>
      </c>
      <c r="K32" s="200">
        <f t="shared" si="14"/>
        <v>1.2</v>
      </c>
    </row>
    <row r="33" spans="1:11" ht="14.65" thickTop="1">
      <c r="A33" s="106" t="s">
        <v>128</v>
      </c>
      <c r="B33" s="107" t="str">
        <f t="shared" ref="B33:K33" si="15">IFERROR(B32/B$3,"")</f>
        <v/>
      </c>
      <c r="C33" s="107" t="str">
        <f t="shared" si="15"/>
        <v/>
      </c>
      <c r="D33" s="107" t="str">
        <f t="shared" si="15"/>
        <v/>
      </c>
      <c r="E33" s="107" t="str">
        <f t="shared" si="15"/>
        <v/>
      </c>
      <c r="F33" s="107">
        <f t="shared" si="15"/>
        <v>0.55195764590002461</v>
      </c>
      <c r="G33" s="107">
        <f t="shared" si="15"/>
        <v>0.50442591640343781</v>
      </c>
      <c r="H33" s="107">
        <f t="shared" si="15"/>
        <v>4.6922557779574728E-2</v>
      </c>
      <c r="I33" s="107">
        <f t="shared" si="15"/>
        <v>0.44622483336962099</v>
      </c>
      <c r="J33" s="107">
        <f t="shared" si="15"/>
        <v>0.44306370645926724</v>
      </c>
      <c r="K33" s="107">
        <f t="shared" si="15"/>
        <v>0.47323603601216302</v>
      </c>
    </row>
    <row r="34" spans="1:11">
      <c r="A34" s="106" t="s">
        <v>138</v>
      </c>
      <c r="B34" s="106"/>
      <c r="C34" s="107" t="str">
        <f t="shared" ref="C34:K34" si="16">IFERROR(C32/B32-1,"")</f>
        <v/>
      </c>
      <c r="D34" s="107" t="str">
        <f t="shared" si="16"/>
        <v/>
      </c>
      <c r="E34" s="107" t="str">
        <f t="shared" si="16"/>
        <v/>
      </c>
      <c r="F34" s="107" t="str">
        <f t="shared" si="16"/>
        <v/>
      </c>
      <c r="G34" s="107">
        <f t="shared" si="16"/>
        <v>0.34284108747817799</v>
      </c>
      <c r="H34" s="107">
        <f t="shared" si="16"/>
        <v>-0.8965506121655078</v>
      </c>
      <c r="I34" s="107">
        <f t="shared" si="16"/>
        <v>8.1308165057067701</v>
      </c>
      <c r="J34" s="107">
        <f t="shared" si="16"/>
        <v>7.6923076923077094E-2</v>
      </c>
      <c r="K34" s="107">
        <f t="shared" si="16"/>
        <v>7.1428571428571397E-2</v>
      </c>
    </row>
    <row r="35" spans="1:11">
      <c r="A35" s="106" t="s">
        <v>139</v>
      </c>
      <c r="B35" s="106"/>
      <c r="C35" s="106"/>
      <c r="D35" s="106"/>
      <c r="E35" s="107" t="str">
        <f t="shared" ref="E35:K35" si="17">IFERROR(SUM(C32:E32)/SUM(B32:D32)-1,"")</f>
        <v/>
      </c>
      <c r="F35" s="107" t="str">
        <f t="shared" si="17"/>
        <v/>
      </c>
      <c r="G35" s="107">
        <f t="shared" si="17"/>
        <v>1.342841087478178</v>
      </c>
      <c r="H35" s="107">
        <f t="shared" si="17"/>
        <v>5.9293858726094717E-2</v>
      </c>
      <c r="I35" s="107">
        <f t="shared" si="17"/>
        <v>0.10815615484415031</v>
      </c>
      <c r="J35" s="107">
        <f t="shared" si="17"/>
        <v>8.4164799678805302E-3</v>
      </c>
      <c r="K35" s="107">
        <f t="shared" si="17"/>
        <v>0.47763753902986061</v>
      </c>
    </row>
    <row r="36" spans="1:11">
      <c r="A36" s="106" t="s">
        <v>133</v>
      </c>
      <c r="B36" s="106"/>
      <c r="C36" s="106"/>
      <c r="D36" s="106"/>
      <c r="E36" s="106"/>
      <c r="F36" s="107"/>
      <c r="G36" s="107">
        <f>IFERROR(SUM(C32:G32)/SUM(B32:F32)-1,"")</f>
        <v>1.342841087478178</v>
      </c>
      <c r="H36" s="107">
        <f>IFERROR(SUM(D32:H32)/SUM(C32:G32)-1,"")</f>
        <v>5.9293858726094717E-2</v>
      </c>
      <c r="I36" s="107">
        <f>IFERROR(SUM(E32:I32)/SUM(D32:H32)-1,"")</f>
        <v>0.511096462500368</v>
      </c>
      <c r="J36" s="107">
        <f>IFERROR(SUM(F32:J32)/SUM(E32:I32)-1,"")</f>
        <v>0.36424648502561241</v>
      </c>
      <c r="K36" s="107">
        <f>IFERROR(SUM(G32:K32)/SUM(F32:J32)-1,"")</f>
        <v>9.0606670673306855E-2</v>
      </c>
    </row>
    <row r="38" spans="1:11" s="9" customFormat="1" ht="14.65" thickBot="1">
      <c r="A38" s="57" t="s">
        <v>153</v>
      </c>
      <c r="B38" s="124">
        <f t="shared" ref="B38:K38" si="18">B2</f>
        <v>39813</v>
      </c>
      <c r="C38" s="124">
        <f t="shared" si="18"/>
        <v>40178</v>
      </c>
      <c r="D38" s="124">
        <f t="shared" si="18"/>
        <v>40543</v>
      </c>
      <c r="E38" s="124">
        <f t="shared" si="18"/>
        <v>40908</v>
      </c>
      <c r="F38" s="124">
        <f t="shared" si="18"/>
        <v>41274</v>
      </c>
      <c r="G38" s="124">
        <f t="shared" si="18"/>
        <v>41639</v>
      </c>
      <c r="H38" s="124">
        <f t="shared" si="18"/>
        <v>42004</v>
      </c>
      <c r="I38" s="124">
        <f t="shared" si="18"/>
        <v>42369</v>
      </c>
      <c r="J38" s="124">
        <f t="shared" si="18"/>
        <v>42735</v>
      </c>
      <c r="K38" s="124">
        <f t="shared" si="18"/>
        <v>43100</v>
      </c>
    </row>
    <row r="39" spans="1:11" s="115" customFormat="1" ht="14.65" thickBot="1">
      <c r="A39" s="125" t="s">
        <v>154</v>
      </c>
      <c r="B39" s="126">
        <f>VLOOKUP(B38,'GDP Data'!$A$2:$B$62,2,TRUE)</f>
        <v>14549.9</v>
      </c>
      <c r="C39" s="126">
        <f>VLOOKUP(C38,'GDP Data'!$A$2:$B$62,2,TRUE)</f>
        <v>14566.5</v>
      </c>
      <c r="D39" s="126">
        <f>VLOOKUP(D38,'GDP Data'!$A$2:$B$62,2,TRUE)</f>
        <v>15230.2</v>
      </c>
      <c r="E39" s="126">
        <f>VLOOKUP(E38,'GDP Data'!$A$2:$B$62,2,TRUE)</f>
        <v>15785.3</v>
      </c>
      <c r="F39" s="126">
        <f>VLOOKUP(F38,'GDP Data'!$A$2:$B$62,2,TRUE)</f>
        <v>16332.5</v>
      </c>
      <c r="G39" s="126">
        <f>VLOOKUP(G38,'GDP Data'!$A$2:$B$62,2,TRUE)</f>
        <v>17078.3</v>
      </c>
      <c r="H39" s="126">
        <f>VLOOKUP(H38,'GDP Data'!$A$2:$B$62,2,TRUE)</f>
        <v>17703.7</v>
      </c>
      <c r="I39" s="126">
        <f>VLOOKUP(I38,'GDP Data'!$A$2:$B$62,2,TRUE)</f>
        <v>17665</v>
      </c>
      <c r="J39" s="126">
        <f>VLOOKUP(J38,'GDP Data'!$A$2:$B$62,2,TRUE)</f>
        <v>17665</v>
      </c>
      <c r="K39" s="126">
        <f>VLOOKUP(K38,'GDP Data'!$A$2:$B$62,2,TRUE)</f>
        <v>17665</v>
      </c>
    </row>
    <row r="40" spans="1:11">
      <c r="A40" t="s">
        <v>155</v>
      </c>
      <c r="C40" s="127">
        <f t="shared" ref="C40:K40" si="19">C39/B39-1</f>
        <v>1.1409013120364797E-3</v>
      </c>
      <c r="D40" s="127">
        <f t="shared" si="19"/>
        <v>4.5563450382727577E-2</v>
      </c>
      <c r="E40" s="127">
        <f t="shared" si="19"/>
        <v>3.6447321768591223E-2</v>
      </c>
      <c r="F40" s="127">
        <f t="shared" si="19"/>
        <v>3.4665163158128287E-2</v>
      </c>
      <c r="G40" s="127">
        <f t="shared" si="19"/>
        <v>4.5663554262972639E-2</v>
      </c>
      <c r="H40" s="127">
        <f t="shared" si="19"/>
        <v>3.6619569863511003E-2</v>
      </c>
      <c r="I40" s="127">
        <f t="shared" si="19"/>
        <v>-2.1859837209171618E-3</v>
      </c>
      <c r="J40" s="127">
        <f t="shared" si="19"/>
        <v>0</v>
      </c>
      <c r="K40" s="127">
        <f t="shared" si="19"/>
        <v>0</v>
      </c>
    </row>
    <row r="41" spans="1:11">
      <c r="A41" s="128" t="s">
        <v>156</v>
      </c>
      <c r="B41" s="128"/>
      <c r="C41" s="129" t="str">
        <f t="shared" ref="C41:K41" si="20">C13</f>
        <v/>
      </c>
      <c r="D41" s="129" t="str">
        <f t="shared" si="20"/>
        <v/>
      </c>
      <c r="E41" s="129" t="str">
        <f t="shared" si="20"/>
        <v/>
      </c>
      <c r="F41" s="129" t="str">
        <f t="shared" si="20"/>
        <v/>
      </c>
      <c r="G41" s="129">
        <f t="shared" si="20"/>
        <v>0.34284108747817799</v>
      </c>
      <c r="H41" s="129">
        <f t="shared" si="20"/>
        <v>0.1875522379769905</v>
      </c>
      <c r="I41" s="129">
        <f t="shared" si="20"/>
        <v>0.17056436427987265</v>
      </c>
      <c r="J41" s="129">
        <f t="shared" si="20"/>
        <v>8.0925216861041038E-2</v>
      </c>
      <c r="K41" s="129">
        <f t="shared" si="20"/>
        <v>4.729221210753165E-2</v>
      </c>
    </row>
    <row r="42" spans="1:11">
      <c r="A42" t="s">
        <v>157</v>
      </c>
      <c r="D42" s="130"/>
      <c r="E42" s="130">
        <f t="shared" ref="E42:K42" si="21">SUM(C39:E39)/SUM(B39:D39)-1</f>
        <v>2.7857829010566659E-2</v>
      </c>
      <c r="F42" s="130">
        <f t="shared" si="21"/>
        <v>3.8743363608441994E-2</v>
      </c>
      <c r="G42" s="130">
        <f t="shared" si="21"/>
        <v>3.9032271690462084E-2</v>
      </c>
      <c r="H42" s="130">
        <f t="shared" si="21"/>
        <v>3.8994960982679627E-2</v>
      </c>
      <c r="I42" s="130">
        <f t="shared" si="21"/>
        <v>2.606892369092928E-2</v>
      </c>
      <c r="J42" s="130">
        <f t="shared" si="21"/>
        <v>1.1186531164794955E-2</v>
      </c>
      <c r="K42" s="130">
        <f t="shared" si="21"/>
        <v>-7.2972468449306049E-4</v>
      </c>
    </row>
    <row r="43" spans="1:11">
      <c r="A43" s="128" t="s">
        <v>158</v>
      </c>
      <c r="B43" s="128"/>
      <c r="C43" s="128"/>
      <c r="D43" s="129"/>
      <c r="E43" s="129" t="str">
        <f t="shared" ref="E43:J43" si="22">E14</f>
        <v/>
      </c>
      <c r="F43" s="129" t="str">
        <f t="shared" si="22"/>
        <v/>
      </c>
      <c r="G43" s="129">
        <f t="shared" si="22"/>
        <v>1.342841087478178</v>
      </c>
      <c r="H43" s="129">
        <f t="shared" si="22"/>
        <v>0.68066671154324254</v>
      </c>
      <c r="I43" s="129">
        <f t="shared" si="22"/>
        <v>0.22011026969824932</v>
      </c>
      <c r="J43" s="129">
        <f t="shared" si="22"/>
        <v>0.14048321748222325</v>
      </c>
      <c r="K43" s="129">
        <f>K14</f>
        <v>9.4628801949375285E-2</v>
      </c>
    </row>
    <row r="44" spans="1:11">
      <c r="A44" t="s">
        <v>159</v>
      </c>
      <c r="G44" s="130">
        <f>SUM(C39:G39)/SUM(B39:F39)-1</f>
        <v>3.3066368139944791E-2</v>
      </c>
      <c r="H44" s="130">
        <f>SUM(D39:H39)/SUM(C39:G39)-1</f>
        <v>3.9715012001093841E-2</v>
      </c>
      <c r="I44" s="130">
        <f>SUM(E39:I39)/SUM(D39:H39)-1</f>
        <v>2.9645683672226975E-2</v>
      </c>
      <c r="J44" s="130">
        <f>SUM(F39:J39)/SUM(E39:I39)-1</f>
        <v>2.2227924621119E-2</v>
      </c>
      <c r="K44" s="130">
        <f>SUM(G39:K39)/SUM(F39:J39)-1</f>
        <v>1.5414514515093458E-2</v>
      </c>
    </row>
    <row r="45" spans="1:11">
      <c r="A45" s="128" t="s">
        <v>160</v>
      </c>
      <c r="B45" s="128"/>
      <c r="C45" s="128"/>
      <c r="D45" s="128"/>
      <c r="E45" s="129"/>
      <c r="F45" s="129"/>
      <c r="G45" s="129">
        <f>G15</f>
        <v>1.342841087478178</v>
      </c>
      <c r="H45" s="129">
        <f>H15</f>
        <v>0.68066671154324254</v>
      </c>
      <c r="I45" s="129">
        <f>I15</f>
        <v>0.4740762645036698</v>
      </c>
      <c r="J45" s="129">
        <f>J15</f>
        <v>0.34763533024517113</v>
      </c>
      <c r="K45" s="129">
        <f>K15</f>
        <v>0.14231412370368113</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74668-1E81-4E89-973F-6EC9AB2365F3}">
  <dimension ref="A1:C13"/>
  <sheetViews>
    <sheetView workbookViewId="0"/>
  </sheetViews>
  <sheetFormatPr defaultRowHeight="14.25"/>
  <cols>
    <col min="1" max="1" width="12.265625" customWidth="1"/>
    <col min="2" max="2" width="14.1328125" bestFit="1" customWidth="1"/>
    <col min="3" max="3" width="19.3984375" bestFit="1" customWidth="1"/>
  </cols>
  <sheetData>
    <row r="1" spans="1:3">
      <c r="B1" t="s">
        <v>194</v>
      </c>
      <c r="C1" t="s">
        <v>195</v>
      </c>
    </row>
    <row r="2" spans="1:3">
      <c r="A2">
        <v>2018</v>
      </c>
      <c r="B2" s="138">
        <v>5.0000000000000001E-3</v>
      </c>
      <c r="C2">
        <v>9</v>
      </c>
    </row>
    <row r="3" spans="1:3">
      <c r="A3">
        <f>A2+1</f>
        <v>2019</v>
      </c>
      <c r="B3" s="138">
        <v>7.0000000000000001E-3</v>
      </c>
      <c r="C3">
        <v>12</v>
      </c>
    </row>
    <row r="4" spans="1:3">
      <c r="A4">
        <f t="shared" ref="A4:A11" si="0">A3+1</f>
        <v>2020</v>
      </c>
      <c r="B4" s="138">
        <v>4.0000000000000001E-3</v>
      </c>
      <c r="C4">
        <v>4</v>
      </c>
    </row>
    <row r="5" spans="1:3">
      <c r="A5">
        <f t="shared" si="0"/>
        <v>2021</v>
      </c>
      <c r="B5" s="138">
        <v>7.0000000000000001E-3</v>
      </c>
      <c r="C5">
        <v>6</v>
      </c>
    </row>
    <row r="6" spans="1:3">
      <c r="A6">
        <f t="shared" si="0"/>
        <v>2022</v>
      </c>
      <c r="B6" s="138">
        <v>5.0000000000000001E-3</v>
      </c>
      <c r="C6">
        <v>7</v>
      </c>
    </row>
    <row r="7" spans="1:3">
      <c r="A7">
        <f t="shared" si="0"/>
        <v>2023</v>
      </c>
      <c r="B7" s="138">
        <v>1.2999999999999999E-2</v>
      </c>
      <c r="C7">
        <v>29</v>
      </c>
    </row>
    <row r="8" spans="1:3">
      <c r="A8">
        <f t="shared" si="0"/>
        <v>2024</v>
      </c>
      <c r="B8" s="138">
        <v>8.9999999999999993E-3</v>
      </c>
      <c r="C8">
        <v>16</v>
      </c>
    </row>
    <row r="9" spans="1:3">
      <c r="A9">
        <f t="shared" si="0"/>
        <v>2025</v>
      </c>
      <c r="B9" s="138">
        <v>1.7999999999999999E-2</v>
      </c>
      <c r="C9">
        <v>23</v>
      </c>
    </row>
    <row r="10" spans="1:3">
      <c r="A10">
        <f t="shared" si="0"/>
        <v>2026</v>
      </c>
      <c r="B10" s="138">
        <v>2.4E-2</v>
      </c>
      <c r="C10">
        <v>54</v>
      </c>
    </row>
    <row r="11" spans="1:3">
      <c r="A11">
        <f t="shared" si="0"/>
        <v>2027</v>
      </c>
      <c r="B11" s="138">
        <v>4.8000000000000001E-2</v>
      </c>
      <c r="C11">
        <v>70</v>
      </c>
    </row>
    <row r="12" spans="1:3">
      <c r="A12" t="s">
        <v>193</v>
      </c>
      <c r="B12" s="144">
        <v>0.86</v>
      </c>
      <c r="C12" s="145">
        <v>1683</v>
      </c>
    </row>
    <row r="13" spans="1:3">
      <c r="A13" t="s">
        <v>8</v>
      </c>
      <c r="B13" s="138">
        <f>SUM(B2:B12)</f>
        <v>1</v>
      </c>
      <c r="C13">
        <f>SUM(C2:C12)</f>
        <v>1913</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8D52-9802-40A7-BFB2-B11822B7942A}">
  <dimension ref="A1:G13"/>
  <sheetViews>
    <sheetView workbookViewId="0">
      <selection activeCell="J23" sqref="J23"/>
    </sheetView>
  </sheetViews>
  <sheetFormatPr defaultRowHeight="14.25"/>
  <cols>
    <col min="1" max="1" width="10.3984375" bestFit="1" customWidth="1"/>
    <col min="2" max="2" width="29.1328125" customWidth="1"/>
    <col min="3" max="3" width="17.1328125" bestFit="1" customWidth="1"/>
    <col min="4" max="4" width="13.265625" bestFit="1" customWidth="1"/>
    <col min="5" max="5" width="13.265625" customWidth="1"/>
    <col min="6" max="6" width="25.73046875" bestFit="1" customWidth="1"/>
    <col min="7" max="7" width="21" bestFit="1" customWidth="1"/>
  </cols>
  <sheetData>
    <row r="1" spans="1:7">
      <c r="A1" s="176" t="s">
        <v>203</v>
      </c>
      <c r="B1" s="147"/>
      <c r="C1" s="147"/>
      <c r="D1" s="147"/>
      <c r="E1" s="147"/>
      <c r="F1" s="147"/>
      <c r="G1" s="148"/>
    </row>
    <row r="2" spans="1:7">
      <c r="A2" s="149"/>
      <c r="B2" s="3"/>
      <c r="C2" s="3"/>
      <c r="D2" s="3"/>
      <c r="E2" s="3"/>
      <c r="F2" s="3"/>
      <c r="G2" s="150"/>
    </row>
    <row r="3" spans="1:7">
      <c r="A3" s="151" t="s">
        <v>198</v>
      </c>
      <c r="B3" s="152"/>
      <c r="C3" s="153">
        <f>4.4%</f>
        <v>4.4000000000000004E-2</v>
      </c>
      <c r="D3" s="3"/>
      <c r="E3" s="3"/>
      <c r="F3" s="3"/>
      <c r="G3" s="150"/>
    </row>
    <row r="4" spans="1:7">
      <c r="A4" s="154" t="s">
        <v>199</v>
      </c>
      <c r="B4" s="155"/>
      <c r="C4" s="156">
        <v>0.06</v>
      </c>
      <c r="D4" s="3"/>
      <c r="E4" s="3"/>
      <c r="F4" s="3"/>
      <c r="G4" s="150"/>
    </row>
    <row r="5" spans="1:7">
      <c r="A5" s="149"/>
      <c r="B5" s="3"/>
      <c r="C5" s="3"/>
      <c r="D5" s="3"/>
      <c r="E5" s="3"/>
      <c r="F5" s="3"/>
      <c r="G5" s="150"/>
    </row>
    <row r="6" spans="1:7">
      <c r="A6" s="149"/>
      <c r="B6" s="3" t="s">
        <v>196</v>
      </c>
      <c r="C6" s="3" t="s">
        <v>197</v>
      </c>
      <c r="D6" s="3" t="s">
        <v>8</v>
      </c>
      <c r="E6" s="3" t="s">
        <v>202</v>
      </c>
      <c r="F6" s="3" t="s">
        <v>200</v>
      </c>
      <c r="G6" s="166" t="s">
        <v>201</v>
      </c>
    </row>
    <row r="7" spans="1:7">
      <c r="A7" s="149">
        <v>2018</v>
      </c>
      <c r="B7" s="60">
        <v>26003</v>
      </c>
      <c r="C7" s="60">
        <v>19539</v>
      </c>
      <c r="D7" s="60">
        <f>B7+C7</f>
        <v>45542</v>
      </c>
      <c r="E7" s="157">
        <f>D7/$D$13</f>
        <v>1.9476034709781764E-2</v>
      </c>
      <c r="F7" s="158">
        <f>C3</f>
        <v>4.4000000000000004E-2</v>
      </c>
      <c r="G7" s="159">
        <f>E7*$C$4+(1-E7)*F7</f>
        <v>4.4311616555356516E-2</v>
      </c>
    </row>
    <row r="8" spans="1:7">
      <c r="A8" s="149">
        <f>A7+1</f>
        <v>2019</v>
      </c>
      <c r="B8" s="60">
        <v>26518</v>
      </c>
      <c r="C8" s="60">
        <v>122686</v>
      </c>
      <c r="D8" s="60">
        <f t="shared" ref="D8:D12" si="0">B8+C8</f>
        <v>149204</v>
      </c>
      <c r="E8" s="157">
        <f t="shared" ref="E8:E13" si="1">D8/$D$13</f>
        <v>6.380708539015148E-2</v>
      </c>
      <c r="F8" s="158">
        <f>G7</f>
        <v>4.4311616555356516E-2</v>
      </c>
      <c r="G8" s="159">
        <f t="shared" ref="G8:G12" si="2">E8*$C$4+(1-E8)*F8</f>
        <v>4.5312646577442328E-2</v>
      </c>
    </row>
    <row r="9" spans="1:7">
      <c r="A9" s="149">
        <f t="shared" ref="A9:A11" si="3">A8+1</f>
        <v>2020</v>
      </c>
      <c r="B9" s="60">
        <v>23405</v>
      </c>
      <c r="C9" s="60">
        <v>293632</v>
      </c>
      <c r="D9" s="60">
        <f t="shared" si="0"/>
        <v>317037</v>
      </c>
      <c r="E9" s="157">
        <f t="shared" si="1"/>
        <v>0.13558086197982261</v>
      </c>
      <c r="F9" s="158">
        <f t="shared" ref="F9:F12" si="4">G8</f>
        <v>4.5312646577442328E-2</v>
      </c>
      <c r="G9" s="159">
        <f t="shared" si="2"/>
        <v>4.7303970614674992E-2</v>
      </c>
    </row>
    <row r="10" spans="1:7">
      <c r="A10" s="149">
        <f t="shared" si="3"/>
        <v>2021</v>
      </c>
      <c r="B10" s="60">
        <v>20535</v>
      </c>
      <c r="C10" s="60">
        <v>229366</v>
      </c>
      <c r="D10" s="60">
        <f t="shared" si="0"/>
        <v>249901</v>
      </c>
      <c r="E10" s="157">
        <f t="shared" si="1"/>
        <v>0.10687015392405193</v>
      </c>
      <c r="F10" s="158">
        <f t="shared" si="4"/>
        <v>4.7303970614674992E-2</v>
      </c>
      <c r="G10" s="159">
        <f t="shared" si="2"/>
        <v>4.8660797229308966E-2</v>
      </c>
    </row>
    <row r="11" spans="1:7">
      <c r="A11" s="168">
        <f t="shared" si="3"/>
        <v>2022</v>
      </c>
      <c r="B11" s="60">
        <v>20213</v>
      </c>
      <c r="C11" s="60">
        <v>200829</v>
      </c>
      <c r="D11" s="60">
        <f t="shared" si="0"/>
        <v>221042</v>
      </c>
      <c r="E11" s="157">
        <f t="shared" si="1"/>
        <v>9.452860358173952E-2</v>
      </c>
      <c r="F11" s="158">
        <f t="shared" si="4"/>
        <v>4.8660797229308966E-2</v>
      </c>
      <c r="G11" s="167">
        <f t="shared" si="2"/>
        <v>4.9732676232952584E-2</v>
      </c>
    </row>
    <row r="12" spans="1:7" ht="16.5">
      <c r="A12" s="149" t="s">
        <v>193</v>
      </c>
      <c r="B12" s="160">
        <v>56437</v>
      </c>
      <c r="C12" s="160">
        <v>1299198</v>
      </c>
      <c r="D12" s="160">
        <f t="shared" si="0"/>
        <v>1355635</v>
      </c>
      <c r="E12" s="161">
        <f t="shared" si="1"/>
        <v>0.57973726041445273</v>
      </c>
      <c r="F12" s="158">
        <f t="shared" si="4"/>
        <v>4.9732676232952584E-2</v>
      </c>
      <c r="G12" s="159">
        <f t="shared" si="2"/>
        <v>5.5685026385448852E-2</v>
      </c>
    </row>
    <row r="13" spans="1:7" ht="14.65" thickBot="1">
      <c r="A13" s="162"/>
      <c r="B13" s="163">
        <f>SUM(B7:B12)</f>
        <v>173111</v>
      </c>
      <c r="C13" s="163">
        <f t="shared" ref="C13:D13" si="5">SUM(C7:C12)</f>
        <v>2165250</v>
      </c>
      <c r="D13" s="163">
        <f t="shared" si="5"/>
        <v>2338361</v>
      </c>
      <c r="E13" s="164">
        <f t="shared" si="1"/>
        <v>1</v>
      </c>
      <c r="F13" s="12"/>
      <c r="G13" s="16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0F9A-F287-4E2B-9AF6-811015CABA65}">
  <dimension ref="A1:E15"/>
  <sheetViews>
    <sheetView workbookViewId="0">
      <selection activeCell="D47" sqref="D47"/>
    </sheetView>
  </sheetViews>
  <sheetFormatPr defaultRowHeight="14.25"/>
  <cols>
    <col min="1" max="1" width="24.265625" bestFit="1" customWidth="1"/>
    <col min="2" max="2" width="12.265625" customWidth="1"/>
    <col min="3" max="3" width="13.265625" customWidth="1"/>
    <col min="4" max="4" width="17.1328125" customWidth="1"/>
    <col min="5" max="5" width="16.1328125" customWidth="1"/>
  </cols>
  <sheetData>
    <row r="1" spans="1:5" ht="14.65" thickBot="1"/>
    <row r="2" spans="1:5" ht="14.65" thickBot="1">
      <c r="A2" s="170" t="s">
        <v>208</v>
      </c>
      <c r="B2" s="171"/>
    </row>
    <row r="3" spans="1:5">
      <c r="A3" s="149" t="s">
        <v>204</v>
      </c>
      <c r="B3" s="150">
        <f>price</f>
        <v>26.31</v>
      </c>
    </row>
    <row r="4" spans="1:5">
      <c r="A4" s="149" t="s">
        <v>205</v>
      </c>
      <c r="B4" s="150">
        <f>'Valuation Model'!B4</f>
        <v>0.08</v>
      </c>
    </row>
    <row r="5" spans="1:5">
      <c r="A5" s="149" t="s">
        <v>206</v>
      </c>
      <c r="B5" s="150">
        <v>1.28</v>
      </c>
    </row>
    <row r="6" spans="1:5" ht="14.65" thickBot="1">
      <c r="A6" s="172" t="s">
        <v>207</v>
      </c>
      <c r="B6" s="173">
        <f>(B3*B4-B5)/B3</f>
        <v>3.134929684530597E-2</v>
      </c>
    </row>
    <row r="7" spans="1:5">
      <c r="B7" s="20"/>
    </row>
    <row r="11" spans="1:5" ht="14.65" thickBot="1"/>
    <row r="12" spans="1:5">
      <c r="A12" s="146"/>
      <c r="B12" s="147" t="s">
        <v>212</v>
      </c>
      <c r="C12" s="148" t="s">
        <v>214</v>
      </c>
      <c r="D12" s="146" t="s">
        <v>213</v>
      </c>
      <c r="E12" s="148" t="s">
        <v>214</v>
      </c>
    </row>
    <row r="13" spans="1:5">
      <c r="A13" s="149" t="s">
        <v>209</v>
      </c>
      <c r="B13" s="60">
        <v>125842</v>
      </c>
      <c r="C13" s="150"/>
      <c r="D13" s="149">
        <f>114208+110544+120124+125842</f>
        <v>470718</v>
      </c>
      <c r="E13" s="150"/>
    </row>
    <row r="14" spans="1:5">
      <c r="A14" s="149" t="s">
        <v>210</v>
      </c>
      <c r="B14" s="60">
        <v>10851</v>
      </c>
      <c r="C14" s="174">
        <f>B14/$B$13</f>
        <v>8.6227173757569012E-2</v>
      </c>
      <c r="D14" s="149">
        <f>9289+9955+11203+10851</f>
        <v>41298</v>
      </c>
      <c r="E14" s="174">
        <f>D14/$D$13</f>
        <v>8.7734057333690232E-2</v>
      </c>
    </row>
    <row r="15" spans="1:5" ht="14.65" thickBot="1">
      <c r="A15" s="162" t="s">
        <v>211</v>
      </c>
      <c r="B15" s="175">
        <v>87238</v>
      </c>
      <c r="C15" s="169">
        <f>B15/$B$13</f>
        <v>0.69323437326170911</v>
      </c>
      <c r="D15" s="162">
        <f>72887+87401+80020+87238</f>
        <v>327546</v>
      </c>
      <c r="E15" s="169">
        <f>D15/$D$13</f>
        <v>0.6958433711903943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1"/>
  <sheetViews>
    <sheetView workbookViewId="0">
      <selection activeCell="L22" sqref="L22"/>
    </sheetView>
  </sheetViews>
  <sheetFormatPr defaultRowHeight="14.25"/>
  <cols>
    <col min="1" max="1" width="37.3984375" bestFit="1" customWidth="1"/>
    <col min="12" max="12" width="9.59765625" bestFit="1" customWidth="1"/>
  </cols>
  <sheetData>
    <row r="1" spans="1:16">
      <c r="A1" s="10" t="s">
        <v>37</v>
      </c>
      <c r="B1" s="132">
        <f>'Company Analysis'!B2</f>
        <v>39813</v>
      </c>
      <c r="C1" s="132">
        <f>'Company Analysis'!C2</f>
        <v>40178</v>
      </c>
      <c r="D1" s="132">
        <f>'Company Analysis'!D2</f>
        <v>40543</v>
      </c>
      <c r="E1" s="132">
        <f>'Company Analysis'!E2</f>
        <v>40908</v>
      </c>
      <c r="F1" s="132">
        <f>'Company Analysis'!F2</f>
        <v>41274</v>
      </c>
      <c r="G1" s="132">
        <f>'Company Analysis'!G2</f>
        <v>41639</v>
      </c>
      <c r="H1" s="132">
        <f>'Company Analysis'!H2</f>
        <v>42004</v>
      </c>
      <c r="I1" s="132">
        <f>'Company Analysis'!I2</f>
        <v>42369</v>
      </c>
      <c r="J1" s="132">
        <f>'Company Analysis'!J2</f>
        <v>42735</v>
      </c>
      <c r="K1" s="132">
        <f>'Company Analysis'!K2</f>
        <v>43100</v>
      </c>
      <c r="L1" s="132">
        <f>'Graphing Data'!K1+365</f>
        <v>43465</v>
      </c>
      <c r="M1" s="132">
        <f>'Graphing Data'!L1+365</f>
        <v>43830</v>
      </c>
      <c r="N1" s="132">
        <f>'Graphing Data'!M1+365</f>
        <v>44195</v>
      </c>
      <c r="O1" s="132">
        <f>'Graphing Data'!N1+365</f>
        <v>44560</v>
      </c>
      <c r="P1" s="132">
        <f>'Graphing Data'!O1+365</f>
        <v>44925</v>
      </c>
    </row>
    <row r="2" spans="1:16">
      <c r="A2" t="s">
        <v>163</v>
      </c>
      <c r="B2" s="17">
        <f>'Company Analysis'!B3</f>
        <v>0</v>
      </c>
      <c r="C2" s="17">
        <f>'Company Analysis'!C3</f>
        <v>0</v>
      </c>
      <c r="D2" s="17">
        <f>'Company Analysis'!D3</f>
        <v>0</v>
      </c>
      <c r="E2" s="17">
        <f>'Company Analysis'!E3</f>
        <v>0</v>
      </c>
      <c r="F2" s="17">
        <f>'Company Analysis'!F3</f>
        <v>1.4854752635630366</v>
      </c>
      <c r="G2" s="17">
        <f>'Company Analysis'!G3</f>
        <v>2.1827219073715307</v>
      </c>
      <c r="H2" s="17">
        <f>'Company Analysis'!H3</f>
        <v>2.4274039052828504</v>
      </c>
      <c r="I2" s="17">
        <f>'Company Analysis'!I3</f>
        <v>2.3306636525505469</v>
      </c>
      <c r="J2" s="17">
        <f>'Company Analysis'!J3</f>
        <v>2.527853181544597</v>
      </c>
      <c r="K2" s="17">
        <f>'Company Analysis'!K3</f>
        <v>2.5357325070002865</v>
      </c>
      <c r="L2" s="17"/>
      <c r="M2" s="17"/>
      <c r="N2" s="17"/>
      <c r="O2" s="17"/>
      <c r="P2" s="17"/>
    </row>
    <row r="3" spans="1:16">
      <c r="A3" t="s">
        <v>164</v>
      </c>
      <c r="L3" s="17">
        <f>$K$2*(1+'Valuation Model'!C8)</f>
        <v>2.7385911075603095</v>
      </c>
      <c r="M3" s="17">
        <f>L3*(1+'Valuation Model'!D8)</f>
        <v>2.9576783961651345</v>
      </c>
      <c r="N3" s="17">
        <f>M3*(1+'Valuation Model'!E8)</f>
        <v>3.1942926678583454</v>
      </c>
      <c r="O3" s="17">
        <f>N3*(1+'Valuation Model'!F8)</f>
        <v>3.4498360812870135</v>
      </c>
      <c r="P3" s="17">
        <f>O3*(1+'Valuation Model'!G8)</f>
        <v>3.7258229677899748</v>
      </c>
    </row>
    <row r="4" spans="1:16">
      <c r="A4" t="s">
        <v>165</v>
      </c>
      <c r="L4" s="17">
        <f>$K$2*(1+'Valuation Model'!C9)</f>
        <v>2.637161807280298</v>
      </c>
      <c r="M4" s="17">
        <f>L4*(1+'Valuation Model'!D9)</f>
        <v>2.7426482795715099</v>
      </c>
      <c r="N4" s="17">
        <f>M4*(1+'Valuation Model'!E9)</f>
        <v>2.8523542107543705</v>
      </c>
      <c r="O4" s="17">
        <f>N4*(1+'Valuation Model'!F9)</f>
        <v>2.9664483791845453</v>
      </c>
      <c r="P4" s="17">
        <f>O4*(1+'Valuation Model'!G9)</f>
        <v>3.0851063143519273</v>
      </c>
    </row>
    <row r="5" spans="1:16">
      <c r="A5" t="s">
        <v>166</v>
      </c>
      <c r="C5" s="20" t="e">
        <f>C2/B2-1</f>
        <v>#DIV/0!</v>
      </c>
      <c r="D5" s="20" t="e">
        <f t="shared" ref="D5:K5" si="0">D2/C2-1</f>
        <v>#DIV/0!</v>
      </c>
      <c r="E5" s="20" t="e">
        <f t="shared" si="0"/>
        <v>#DIV/0!</v>
      </c>
      <c r="F5" s="20" t="e">
        <f t="shared" si="0"/>
        <v>#DIV/0!</v>
      </c>
      <c r="G5" s="20">
        <f t="shared" si="0"/>
        <v>0.46937613901162489</v>
      </c>
      <c r="H5" s="20">
        <f t="shared" si="0"/>
        <v>0.11209948325756702</v>
      </c>
      <c r="I5" s="20">
        <f t="shared" si="0"/>
        <v>-3.985338102231939E-2</v>
      </c>
      <c r="J5" s="20">
        <f t="shared" si="0"/>
        <v>8.4606600690003919E-2</v>
      </c>
      <c r="K5" s="20">
        <f t="shared" si="0"/>
        <v>3.1170028042826203E-3</v>
      </c>
    </row>
    <row r="6" spans="1:16">
      <c r="A6" t="s">
        <v>167</v>
      </c>
      <c r="K6" s="97">
        <f>K5</f>
        <v>3.1170028042826203E-3</v>
      </c>
      <c r="L6" s="97">
        <f>'Valuation Model'!C8</f>
        <v>0.08</v>
      </c>
      <c r="M6" s="97">
        <f>'Valuation Model'!D8</f>
        <v>0.08</v>
      </c>
      <c r="N6" s="97">
        <f>'Valuation Model'!E8</f>
        <v>0.08</v>
      </c>
      <c r="O6" s="97">
        <f>'Valuation Model'!F8</f>
        <v>0.08</v>
      </c>
      <c r="P6" s="97">
        <f>'Valuation Model'!G8</f>
        <v>0.08</v>
      </c>
    </row>
    <row r="7" spans="1:16">
      <c r="A7" t="s">
        <v>168</v>
      </c>
      <c r="K7" s="97">
        <f>K5</f>
        <v>3.1170028042826203E-3</v>
      </c>
      <c r="L7" s="97">
        <f>'Valuation Model'!C9</f>
        <v>0.04</v>
      </c>
      <c r="M7" s="97">
        <f>'Valuation Model'!D9</f>
        <v>0.04</v>
      </c>
      <c r="N7" s="97">
        <f>'Valuation Model'!E9</f>
        <v>0.04</v>
      </c>
      <c r="O7" s="97">
        <f>'Valuation Model'!F9</f>
        <v>0.04</v>
      </c>
      <c r="P7" s="97">
        <f>'Valuation Model'!G9</f>
        <v>0.04</v>
      </c>
    </row>
    <row r="9" spans="1:16">
      <c r="A9" s="10" t="s">
        <v>71</v>
      </c>
      <c r="B9" s="132">
        <f>B1</f>
        <v>39813</v>
      </c>
      <c r="C9" s="132">
        <f t="shared" ref="C9:P9" si="1">C1</f>
        <v>40178</v>
      </c>
      <c r="D9" s="132">
        <f t="shared" si="1"/>
        <v>40543</v>
      </c>
      <c r="E9" s="132">
        <f t="shared" si="1"/>
        <v>40908</v>
      </c>
      <c r="F9" s="132">
        <f t="shared" si="1"/>
        <v>41274</v>
      </c>
      <c r="G9" s="132">
        <f t="shared" si="1"/>
        <v>41639</v>
      </c>
      <c r="H9" s="132">
        <f t="shared" si="1"/>
        <v>42004</v>
      </c>
      <c r="I9" s="132">
        <f t="shared" si="1"/>
        <v>42369</v>
      </c>
      <c r="J9" s="132">
        <f t="shared" si="1"/>
        <v>42735</v>
      </c>
      <c r="K9" s="132">
        <f t="shared" si="1"/>
        <v>43100</v>
      </c>
      <c r="L9" s="132">
        <f t="shared" si="1"/>
        <v>43465</v>
      </c>
      <c r="M9" s="132">
        <f t="shared" si="1"/>
        <v>43830</v>
      </c>
      <c r="N9" s="132">
        <f t="shared" si="1"/>
        <v>44195</v>
      </c>
      <c r="O9" s="132">
        <f t="shared" si="1"/>
        <v>44560</v>
      </c>
      <c r="P9" s="132">
        <f t="shared" si="1"/>
        <v>44925</v>
      </c>
    </row>
    <row r="10" spans="1:16">
      <c r="A10" t="s">
        <v>169</v>
      </c>
      <c r="B10" s="17">
        <f>'Company Analysis'!B11</f>
        <v>0</v>
      </c>
      <c r="C10" s="17">
        <f>'Company Analysis'!C11</f>
        <v>0</v>
      </c>
      <c r="D10" s="17">
        <f>'Company Analysis'!D11</f>
        <v>0</v>
      </c>
      <c r="E10" s="17">
        <f>'Company Analysis'!E11</f>
        <v>0</v>
      </c>
      <c r="F10" s="17">
        <f>'Company Analysis'!F11</f>
        <v>0.81991942951897234</v>
      </c>
      <c r="G10" s="17">
        <f>'Company Analysis'!G11</f>
        <v>1.1010214983797442</v>
      </c>
      <c r="H10" s="17">
        <f>'Company Analysis'!H11</f>
        <v>1.3075205444616447</v>
      </c>
      <c r="I10" s="17">
        <f>'Company Analysis'!I11</f>
        <v>1.530536954910618</v>
      </c>
      <c r="J10" s="17">
        <f>'Company Analysis'!J11</f>
        <v>1.6543959899005971</v>
      </c>
      <c r="K10" s="17">
        <f>'Company Analysis'!K11</f>
        <v>1.7326360359648261</v>
      </c>
    </row>
    <row r="11" spans="1:16">
      <c r="A11" t="s">
        <v>170</v>
      </c>
      <c r="L11" s="18">
        <f>'Valuation Model'!C10*'Graphing Data'!L3</f>
        <v>1.8896278642166136</v>
      </c>
      <c r="M11" s="18">
        <f>'Valuation Model'!D10*'Graphing Data'!M3</f>
        <v>2.0703748773155941</v>
      </c>
      <c r="N11" s="18">
        <f>'Valuation Model'!E10*'Graphing Data'!N3</f>
        <v>2.2679477941794253</v>
      </c>
      <c r="O11" s="18">
        <f>'Valuation Model'!F10*'Graphing Data'!O3</f>
        <v>2.4838819785266497</v>
      </c>
      <c r="P11" s="18">
        <f>'Valuation Model'!G10*'Graphing Data'!P3</f>
        <v>2.682592536808782</v>
      </c>
    </row>
    <row r="12" spans="1:16">
      <c r="A12" t="s">
        <v>171</v>
      </c>
      <c r="L12" s="18">
        <f>'Valuation Model'!C11*'Graphing Data'!L4</f>
        <v>1.7932700289506027</v>
      </c>
      <c r="M12" s="18">
        <f>'Valuation Model'!D11*'Graphing Data'!M4</f>
        <v>1.8375743473129118</v>
      </c>
      <c r="N12" s="18">
        <f>'Valuation Model'!E11*'Graphing Data'!N4</f>
        <v>1.8540302369903408</v>
      </c>
      <c r="O12" s="18">
        <f>'Valuation Model'!F11*'Graphing Data'!O4</f>
        <v>1.8688624788862636</v>
      </c>
      <c r="P12" s="18">
        <f>'Valuation Model'!G11*'Graphing Data'!P4</f>
        <v>1.9127659148981948</v>
      </c>
    </row>
    <row r="13" spans="1:16">
      <c r="A13" t="s">
        <v>172</v>
      </c>
      <c r="B13" s="20" t="e">
        <f>B10/B2</f>
        <v>#DIV/0!</v>
      </c>
      <c r="C13" s="20" t="e">
        <f t="shared" ref="C13:K13" si="2">C10/C2</f>
        <v>#DIV/0!</v>
      </c>
      <c r="D13" s="20" t="e">
        <f t="shared" si="2"/>
        <v>#DIV/0!</v>
      </c>
      <c r="E13" s="20" t="e">
        <f t="shared" si="2"/>
        <v>#DIV/0!</v>
      </c>
      <c r="F13" s="20">
        <f t="shared" si="2"/>
        <v>0.55195764590002461</v>
      </c>
      <c r="G13" s="20">
        <f t="shared" si="2"/>
        <v>0.50442591640343781</v>
      </c>
      <c r="H13" s="20">
        <f t="shared" si="2"/>
        <v>0.53864976554418431</v>
      </c>
      <c r="I13" s="20">
        <f t="shared" si="2"/>
        <v>0.65669576699138232</v>
      </c>
      <c r="J13" s="20">
        <f t="shared" si="2"/>
        <v>0.65446680288991688</v>
      </c>
      <c r="K13" s="20">
        <f t="shared" si="2"/>
        <v>0.6832881745931848</v>
      </c>
    </row>
    <row r="14" spans="1:16">
      <c r="A14" t="s">
        <v>173</v>
      </c>
      <c r="K14" s="97">
        <f>K13</f>
        <v>0.6832881745931848</v>
      </c>
      <c r="L14" s="97">
        <f>'Valuation Model'!C10</f>
        <v>0.69</v>
      </c>
      <c r="M14" s="97">
        <f>'Valuation Model'!D10</f>
        <v>0.7</v>
      </c>
      <c r="N14" s="97">
        <f>'Valuation Model'!E10</f>
        <v>0.71</v>
      </c>
      <c r="O14" s="97">
        <f>'Valuation Model'!F10</f>
        <v>0.72</v>
      </c>
      <c r="P14" s="97">
        <f>'Valuation Model'!G10</f>
        <v>0.72</v>
      </c>
    </row>
    <row r="15" spans="1:16">
      <c r="A15" t="s">
        <v>174</v>
      </c>
      <c r="K15" s="97">
        <f>K13</f>
        <v>0.6832881745931848</v>
      </c>
      <c r="L15" s="97">
        <f>'Valuation Model'!C11</f>
        <v>0.68</v>
      </c>
      <c r="M15" s="97">
        <f>'Valuation Model'!D11</f>
        <v>0.67</v>
      </c>
      <c r="N15" s="97">
        <f>'Valuation Model'!E11</f>
        <v>0.65</v>
      </c>
      <c r="O15" s="97">
        <f>'Valuation Model'!F11</f>
        <v>0.63</v>
      </c>
      <c r="P15" s="97">
        <f>'Valuation Model'!G11</f>
        <v>0.62</v>
      </c>
    </row>
    <row r="17" spans="1:16">
      <c r="A17" s="10" t="s">
        <v>175</v>
      </c>
      <c r="B17" s="132">
        <f>B9</f>
        <v>39813</v>
      </c>
      <c r="C17" s="132">
        <f t="shared" ref="C17:K17" si="3">C9</f>
        <v>40178</v>
      </c>
      <c r="D17" s="132">
        <f t="shared" si="3"/>
        <v>40543</v>
      </c>
      <c r="E17" s="132">
        <f t="shared" si="3"/>
        <v>40908</v>
      </c>
      <c r="F17" s="132">
        <f t="shared" si="3"/>
        <v>41274</v>
      </c>
      <c r="G17" s="132">
        <f t="shared" si="3"/>
        <v>41639</v>
      </c>
      <c r="H17" s="132">
        <f t="shared" si="3"/>
        <v>42004</v>
      </c>
      <c r="I17" s="132">
        <f t="shared" si="3"/>
        <v>42369</v>
      </c>
      <c r="J17" s="132">
        <f t="shared" si="3"/>
        <v>42735</v>
      </c>
      <c r="K17" s="132">
        <f t="shared" si="3"/>
        <v>43100</v>
      </c>
    </row>
    <row r="18" spans="1:16">
      <c r="A18" t="s">
        <v>137</v>
      </c>
      <c r="B18" s="18">
        <f>B10</f>
        <v>0</v>
      </c>
      <c r="C18" s="18">
        <f t="shared" ref="C18:K18" si="4">C10</f>
        <v>0</v>
      </c>
      <c r="D18" s="18">
        <f t="shared" si="4"/>
        <v>0</v>
      </c>
      <c r="E18" s="18">
        <f t="shared" si="4"/>
        <v>0</v>
      </c>
      <c r="F18" s="18">
        <f t="shared" si="4"/>
        <v>0.81991942951897234</v>
      </c>
      <c r="G18" s="18">
        <f t="shared" si="4"/>
        <v>1.1010214983797442</v>
      </c>
      <c r="H18" s="18">
        <f t="shared" si="4"/>
        <v>1.3075205444616447</v>
      </c>
      <c r="I18" s="18">
        <f t="shared" si="4"/>
        <v>1.530536954910618</v>
      </c>
      <c r="J18" s="18">
        <f t="shared" si="4"/>
        <v>1.6543959899005971</v>
      </c>
      <c r="K18" s="18">
        <f t="shared" si="4"/>
        <v>1.7326360359648261</v>
      </c>
    </row>
    <row r="19" spans="1:16">
      <c r="A19" t="s">
        <v>176</v>
      </c>
      <c r="B19" s="18">
        <f>-'Company Analysis'!B28</f>
        <v>0</v>
      </c>
      <c r="C19" s="18">
        <f>-'Company Analysis'!C28</f>
        <v>0</v>
      </c>
      <c r="D19" s="18">
        <f>-'Company Analysis'!D28</f>
        <v>0</v>
      </c>
      <c r="E19" s="18">
        <f>-'Company Analysis'!E28</f>
        <v>0</v>
      </c>
      <c r="F19" s="18">
        <f>-'Company Analysis'!F28</f>
        <v>0</v>
      </c>
      <c r="G19" s="18">
        <f>-'Company Analysis'!G28</f>
        <v>0</v>
      </c>
      <c r="H19" s="18">
        <f>-'Company Analysis'!H28</f>
        <v>1.1936205444616448</v>
      </c>
      <c r="I19" s="18">
        <f>-'Company Analysis'!I28</f>
        <v>0.49053695491061799</v>
      </c>
      <c r="J19" s="18">
        <f>-'Company Analysis'!J28</f>
        <v>0.534395989900597</v>
      </c>
      <c r="K19" s="18">
        <f>-'Company Analysis'!K28</f>
        <v>0.53263603596482612</v>
      </c>
    </row>
    <row r="21" spans="1:16">
      <c r="A21" s="10" t="s">
        <v>177</v>
      </c>
      <c r="B21" s="132">
        <f>B17</f>
        <v>39813</v>
      </c>
      <c r="C21" s="132">
        <f t="shared" ref="C21:K21" si="5">C17</f>
        <v>40178</v>
      </c>
      <c r="D21" s="132">
        <f t="shared" si="5"/>
        <v>40543</v>
      </c>
      <c r="E21" s="132">
        <f t="shared" si="5"/>
        <v>40908</v>
      </c>
      <c r="F21" s="132">
        <f t="shared" si="5"/>
        <v>41274</v>
      </c>
      <c r="G21" s="132">
        <f t="shared" si="5"/>
        <v>41639</v>
      </c>
      <c r="H21" s="132">
        <f t="shared" si="5"/>
        <v>42004</v>
      </c>
      <c r="I21" s="132">
        <f t="shared" si="5"/>
        <v>42369</v>
      </c>
      <c r="J21" s="132">
        <f t="shared" si="5"/>
        <v>42735</v>
      </c>
      <c r="K21" s="132">
        <f t="shared" si="5"/>
        <v>43100</v>
      </c>
    </row>
    <row r="22" spans="1:16">
      <c r="A22" t="str">
        <f>'Company Analysis'!A19</f>
        <v>Capex in Excess of Maintenance</v>
      </c>
      <c r="B22" s="18">
        <f>-'Company Analysis'!B19</f>
        <v>0</v>
      </c>
      <c r="C22" s="18">
        <f>-'Company Analysis'!C19</f>
        <v>0</v>
      </c>
      <c r="D22" s="18">
        <f>-'Company Analysis'!D19</f>
        <v>0</v>
      </c>
      <c r="E22" s="18">
        <f>-'Company Analysis'!E19</f>
        <v>0</v>
      </c>
      <c r="F22" s="18">
        <f>-'Company Analysis'!F19</f>
        <v>0</v>
      </c>
      <c r="G22" s="18">
        <f>-'Company Analysis'!G19</f>
        <v>0</v>
      </c>
      <c r="H22" s="18">
        <f>-'Company Analysis'!H19</f>
        <v>0</v>
      </c>
      <c r="I22" s="18">
        <f>-'Company Analysis'!I19</f>
        <v>0</v>
      </c>
      <c r="J22" s="18">
        <f>-'Company Analysis'!J19</f>
        <v>0</v>
      </c>
      <c r="K22" s="18">
        <f>-'Company Analysis'!K19</f>
        <v>0</v>
      </c>
    </row>
    <row r="23" spans="1:16">
      <c r="A23" t="s">
        <v>179</v>
      </c>
      <c r="B23" s="18">
        <f>-'Company Analysis'!B20</f>
        <v>0</v>
      </c>
      <c r="C23" s="18">
        <f>-'Company Analysis'!C20</f>
        <v>0</v>
      </c>
      <c r="D23" s="18">
        <f>-'Company Analysis'!D20</f>
        <v>0</v>
      </c>
      <c r="E23" s="18">
        <f>-'Company Analysis'!E20</f>
        <v>0</v>
      </c>
      <c r="F23" s="18">
        <f>-'Company Analysis'!F20</f>
        <v>0</v>
      </c>
      <c r="G23" s="18">
        <f>-'Company Analysis'!G20</f>
        <v>0</v>
      </c>
      <c r="H23" s="18">
        <f>-'Company Analysis'!H20</f>
        <v>0</v>
      </c>
      <c r="I23" s="18">
        <f>-'Company Analysis'!I20</f>
        <v>0</v>
      </c>
      <c r="J23" s="18">
        <f>-'Company Analysis'!J20</f>
        <v>0</v>
      </c>
      <c r="K23" s="18">
        <f>-'Company Analysis'!K20</f>
        <v>0</v>
      </c>
    </row>
    <row r="24" spans="1:16">
      <c r="A24" t="s">
        <v>180</v>
      </c>
      <c r="B24" s="18">
        <f>-'Company Analysis'!B21</f>
        <v>0</v>
      </c>
      <c r="C24" s="18">
        <f>-'Company Analysis'!C21</f>
        <v>0</v>
      </c>
      <c r="D24" s="18">
        <f>-'Company Analysis'!D21</f>
        <v>0</v>
      </c>
      <c r="E24" s="18">
        <f>-'Company Analysis'!E21</f>
        <v>0</v>
      </c>
      <c r="F24" s="18">
        <f>-'Company Analysis'!F21</f>
        <v>0</v>
      </c>
      <c r="G24" s="18">
        <f>-'Company Analysis'!G21</f>
        <v>0</v>
      </c>
      <c r="H24" s="18">
        <f>-'Company Analysis'!H21</f>
        <v>1.1936205444616448</v>
      </c>
      <c r="I24" s="18">
        <f>-'Company Analysis'!I21</f>
        <v>0.49053695491061799</v>
      </c>
      <c r="J24" s="18">
        <f>-'Company Analysis'!J21</f>
        <v>0.534395989900597</v>
      </c>
      <c r="K24" s="18">
        <f>-'Company Analysis'!K21</f>
        <v>0.53263603596482612</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0</v>
      </c>
      <c r="C27" s="18">
        <f>-'Company Analysis'!C27</f>
        <v>0</v>
      </c>
      <c r="D27" s="18">
        <f>-'Company Analysis'!D27</f>
        <v>0</v>
      </c>
      <c r="E27" s="18">
        <f>-'Company Analysis'!E27</f>
        <v>0</v>
      </c>
      <c r="F27" s="18">
        <f>-'Company Analysis'!F27</f>
        <v>0</v>
      </c>
      <c r="G27" s="18">
        <f>-'Company Analysis'!G27</f>
        <v>0</v>
      </c>
      <c r="H27" s="18">
        <f>-'Company Analysis'!H27</f>
        <v>0</v>
      </c>
      <c r="I27" s="18">
        <f>-'Company Analysis'!I27</f>
        <v>0</v>
      </c>
      <c r="J27" s="18">
        <f>-'Company Analysis'!J27</f>
        <v>0</v>
      </c>
      <c r="K27" s="18">
        <f>-'Company Analysis'!K27</f>
        <v>0</v>
      </c>
    </row>
    <row r="29" spans="1:16">
      <c r="A29" s="10" t="s">
        <v>73</v>
      </c>
      <c r="B29" s="132">
        <f>B1</f>
        <v>39813</v>
      </c>
      <c r="C29" s="132">
        <f t="shared" ref="C29:P29" si="6">C1</f>
        <v>40178</v>
      </c>
      <c r="D29" s="132">
        <f t="shared" si="6"/>
        <v>40543</v>
      </c>
      <c r="E29" s="132">
        <f t="shared" si="6"/>
        <v>40908</v>
      </c>
      <c r="F29" s="132">
        <f t="shared" si="6"/>
        <v>41274</v>
      </c>
      <c r="G29" s="132">
        <f t="shared" si="6"/>
        <v>41639</v>
      </c>
      <c r="H29" s="132">
        <f t="shared" si="6"/>
        <v>42004</v>
      </c>
      <c r="I29" s="132">
        <f t="shared" si="6"/>
        <v>42369</v>
      </c>
      <c r="J29" s="132">
        <f t="shared" si="6"/>
        <v>42735</v>
      </c>
      <c r="K29" s="132">
        <f t="shared" si="6"/>
        <v>43100</v>
      </c>
      <c r="L29" s="132">
        <f t="shared" si="6"/>
        <v>43465</v>
      </c>
      <c r="M29" s="132">
        <f t="shared" si="6"/>
        <v>43830</v>
      </c>
      <c r="N29" s="132">
        <f t="shared" si="6"/>
        <v>44195</v>
      </c>
      <c r="O29" s="132">
        <f t="shared" si="6"/>
        <v>44560</v>
      </c>
      <c r="P29" s="132">
        <f t="shared" si="6"/>
        <v>44925</v>
      </c>
    </row>
    <row r="30" spans="1:16">
      <c r="A30" t="s">
        <v>183</v>
      </c>
      <c r="B30" s="18">
        <f>'Company Analysis'!B32</f>
        <v>0</v>
      </c>
      <c r="C30" s="18">
        <f>'Company Analysis'!C32</f>
        <v>0</v>
      </c>
      <c r="D30" s="18">
        <f>'Company Analysis'!D32</f>
        <v>0</v>
      </c>
      <c r="E30" s="18">
        <f>'Company Analysis'!E32</f>
        <v>0</v>
      </c>
      <c r="F30" s="18">
        <f>'Company Analysis'!F32</f>
        <v>0.81991942951897234</v>
      </c>
      <c r="G30" s="18">
        <f>'Company Analysis'!G32</f>
        <v>1.1010214983797442</v>
      </c>
      <c r="H30" s="18">
        <f>'Company Analysis'!H32</f>
        <v>0.11389999999999989</v>
      </c>
      <c r="I30" s="18">
        <f>'Company Analysis'!I32</f>
        <v>1.04</v>
      </c>
      <c r="J30" s="18">
        <f>'Company Analysis'!J32</f>
        <v>1.1200000000000001</v>
      </c>
      <c r="K30" s="18">
        <f>'Company Analysis'!K32</f>
        <v>1.2</v>
      </c>
    </row>
    <row r="31" spans="1:16">
      <c r="A31" t="s">
        <v>184</v>
      </c>
      <c r="L31" s="18">
        <f>L11*(1-'Valuation Model'!C12)</f>
        <v>1.3227395049516295</v>
      </c>
      <c r="M31" s="18">
        <f>M11*(1-'Valuation Model'!D12)</f>
        <v>1.4492624141209158</v>
      </c>
      <c r="N31" s="18">
        <f>N11*(1-'Valuation Model'!E12)</f>
        <v>1.5875634559255976</v>
      </c>
      <c r="O31" s="18">
        <f>O11*(1-'Valuation Model'!F12)</f>
        <v>1.7387173849686548</v>
      </c>
      <c r="P31" s="18">
        <f>P11*(1-'Valuation Model'!G12)</f>
        <v>1.8778147757661472</v>
      </c>
    </row>
    <row r="32" spans="1:16">
      <c r="A32" t="s">
        <v>185</v>
      </c>
      <c r="L32" s="18">
        <f>L12*(1-'Valuation Model'!C12)</f>
        <v>1.2552890202654219</v>
      </c>
      <c r="M32" s="18">
        <f>M12*(1-'Valuation Model'!D12)</f>
        <v>1.2863020431190382</v>
      </c>
      <c r="N32" s="18">
        <f>N12*(1-'Valuation Model'!E12)</f>
        <v>1.2978211658932384</v>
      </c>
      <c r="O32" s="18">
        <f>O12*(1-'Valuation Model'!F12)</f>
        <v>1.3082037352203844</v>
      </c>
      <c r="P32" s="18">
        <f>P12*(1-'Valuation Model'!G12)</f>
        <v>1.3389361404287363</v>
      </c>
    </row>
    <row r="33" spans="1:16">
      <c r="A33" t="s">
        <v>186</v>
      </c>
      <c r="B33" s="20" t="e">
        <f t="shared" ref="B33:J33" si="7">B30/B2</f>
        <v>#DIV/0!</v>
      </c>
      <c r="C33" s="20" t="e">
        <f t="shared" si="7"/>
        <v>#DIV/0!</v>
      </c>
      <c r="D33" s="20" t="e">
        <f t="shared" si="7"/>
        <v>#DIV/0!</v>
      </c>
      <c r="E33" s="20" t="e">
        <f t="shared" si="7"/>
        <v>#DIV/0!</v>
      </c>
      <c r="F33" s="20">
        <f t="shared" si="7"/>
        <v>0.55195764590002461</v>
      </c>
      <c r="G33" s="20">
        <f t="shared" si="7"/>
        <v>0.50442591640343781</v>
      </c>
      <c r="H33" s="20">
        <f t="shared" si="7"/>
        <v>4.6922557779574728E-2</v>
      </c>
      <c r="I33" s="20">
        <f t="shared" si="7"/>
        <v>0.44622483336962099</v>
      </c>
      <c r="J33" s="20">
        <f t="shared" si="7"/>
        <v>0.44306370645926724</v>
      </c>
      <c r="K33" s="20">
        <f>K30/K2</f>
        <v>0.47323603601216302</v>
      </c>
    </row>
    <row r="34" spans="1:16">
      <c r="A34" t="s">
        <v>187</v>
      </c>
      <c r="K34" s="97">
        <f>K33</f>
        <v>0.47323603601216302</v>
      </c>
      <c r="L34" s="133">
        <f>(1-'Valuation Model'!C12)*'Valuation Model'!C10</f>
        <v>0.48299999999999993</v>
      </c>
      <c r="M34" s="133">
        <f>(1-'Valuation Model'!D12)*'Valuation Model'!D10</f>
        <v>0.48999999999999994</v>
      </c>
      <c r="N34" s="133">
        <f>(1-'Valuation Model'!E12)*'Valuation Model'!E10</f>
        <v>0.49699999999999994</v>
      </c>
      <c r="O34" s="133">
        <f>(1-'Valuation Model'!F12)*'Valuation Model'!F10</f>
        <v>0.504</v>
      </c>
      <c r="P34" s="133">
        <f>(1-'Valuation Model'!G12)*'Valuation Model'!G10</f>
        <v>0.504</v>
      </c>
    </row>
    <row r="35" spans="1:16">
      <c r="A35" t="s">
        <v>188</v>
      </c>
      <c r="K35" s="97">
        <f>K33</f>
        <v>0.47323603601216302</v>
      </c>
      <c r="L35" s="133">
        <f>(1-'Valuation Model'!C12)*'Valuation Model'!C11</f>
        <v>0.47599999999999998</v>
      </c>
      <c r="M35" s="133">
        <f>(1-'Valuation Model'!D12)*'Valuation Model'!D11</f>
        <v>0.46899999999999997</v>
      </c>
      <c r="N35" s="133">
        <f>(1-'Valuation Model'!E12)*'Valuation Model'!E11</f>
        <v>0.45499999999999996</v>
      </c>
      <c r="O35" s="133">
        <f>(1-'Valuation Model'!F12)*'Valuation Model'!F11</f>
        <v>0.44099999999999995</v>
      </c>
      <c r="P35" s="133">
        <f>(1-'Valuation Model'!G12)*'Valuation Model'!G11</f>
        <v>0.434</v>
      </c>
    </row>
    <row r="37" spans="1:16">
      <c r="A37" s="10" t="s">
        <v>153</v>
      </c>
      <c r="B37" s="132">
        <f>B1</f>
        <v>39813</v>
      </c>
      <c r="C37" s="132">
        <f t="shared" ref="C37:K37" si="8">C1</f>
        <v>40178</v>
      </c>
      <c r="D37" s="132">
        <f t="shared" si="8"/>
        <v>40543</v>
      </c>
      <c r="E37" s="132">
        <f t="shared" si="8"/>
        <v>40908</v>
      </c>
      <c r="F37" s="132">
        <f t="shared" si="8"/>
        <v>41274</v>
      </c>
      <c r="G37" s="132">
        <f t="shared" si="8"/>
        <v>41639</v>
      </c>
      <c r="H37" s="132">
        <f t="shared" si="8"/>
        <v>42004</v>
      </c>
      <c r="I37" s="132">
        <f t="shared" si="8"/>
        <v>42369</v>
      </c>
      <c r="J37" s="132">
        <f t="shared" si="8"/>
        <v>42735</v>
      </c>
      <c r="K37" s="132">
        <f t="shared" si="8"/>
        <v>43100</v>
      </c>
    </row>
    <row r="38" spans="1:16">
      <c r="A38" t="str">
        <f>ticker&amp;" Actual OCP ($, LHS)"</f>
        <v>STOR Actual OCP ($, LHS)</v>
      </c>
      <c r="B38" s="18">
        <f>B10</f>
        <v>0</v>
      </c>
      <c r="C38" s="18">
        <f t="shared" ref="C38:K38" si="9">C10</f>
        <v>0</v>
      </c>
      <c r="D38" s="18">
        <f t="shared" si="9"/>
        <v>0</v>
      </c>
      <c r="E38" s="18">
        <f t="shared" si="9"/>
        <v>0</v>
      </c>
      <c r="F38" s="18">
        <f t="shared" si="9"/>
        <v>0.81991942951897234</v>
      </c>
      <c r="G38" s="18">
        <f t="shared" si="9"/>
        <v>1.1010214983797442</v>
      </c>
      <c r="H38" s="18">
        <f t="shared" si="9"/>
        <v>1.3075205444616447</v>
      </c>
      <c r="I38" s="18">
        <f t="shared" si="9"/>
        <v>1.530536954910618</v>
      </c>
      <c r="J38" s="18">
        <f t="shared" si="9"/>
        <v>1.6543959899005971</v>
      </c>
      <c r="K38" s="18">
        <f t="shared" si="9"/>
        <v>1.7326360359648261</v>
      </c>
    </row>
    <row r="39" spans="1:16">
      <c r="A39" t="str">
        <f>ticker&amp;" OCP if GDP-Growth ($, LHS)"</f>
        <v>STOR OCP if GDP-Growth ($, LHS)</v>
      </c>
      <c r="B39" s="18">
        <f>B38</f>
        <v>0</v>
      </c>
      <c r="C39" s="18">
        <f>(1+'Company Analysis'!C40)*B39</f>
        <v>0</v>
      </c>
      <c r="D39" s="18">
        <f>(1+'Company Analysis'!D40)*C39</f>
        <v>0</v>
      </c>
      <c r="E39" s="18">
        <f>(1+'Company Analysis'!E40)*D39</f>
        <v>0</v>
      </c>
      <c r="F39" s="18">
        <f>(1+'Company Analysis'!F40)*E39</f>
        <v>0</v>
      </c>
      <c r="G39" s="18">
        <f>(1+'Company Analysis'!G40)*F39</f>
        <v>0</v>
      </c>
      <c r="H39" s="18">
        <f>(1+'Company Analysis'!H40)*G39</f>
        <v>0</v>
      </c>
      <c r="I39" s="18">
        <f>(1+'Company Analysis'!I40)*H39</f>
        <v>0</v>
      </c>
      <c r="J39" s="18">
        <f>(1+'Company Analysis'!J40)*I39</f>
        <v>0</v>
      </c>
      <c r="K39" s="18">
        <f>(1+'Company Analysis'!K40)*J39</f>
        <v>0</v>
      </c>
    </row>
    <row r="40" spans="1:16">
      <c r="A40" t="str">
        <f>ticker&amp;" - GDP Growth Difference (YoY, %, RHS)"</f>
        <v>STOR - GDP Growth Difference (YoY, %, RHS)</v>
      </c>
      <c r="B40" s="134"/>
      <c r="C40" s="97" t="e">
        <f>'Company Analysis'!C41-'Company Analysis'!C40</f>
        <v>#VALUE!</v>
      </c>
      <c r="D40" s="97" t="e">
        <f>'Company Analysis'!D41-'Company Analysis'!D40</f>
        <v>#VALUE!</v>
      </c>
      <c r="E40" s="97" t="e">
        <f>'Company Analysis'!E41-'Company Analysis'!E40</f>
        <v>#VALUE!</v>
      </c>
      <c r="F40" s="97" t="e">
        <f>'Company Analysis'!F41-'Company Analysis'!F40</f>
        <v>#VALUE!</v>
      </c>
      <c r="G40" s="97">
        <f>'Company Analysis'!G41-'Company Analysis'!G40</f>
        <v>0.29717753321520535</v>
      </c>
      <c r="H40" s="97">
        <f>'Company Analysis'!H41-'Company Analysis'!H40</f>
        <v>0.1509326681134795</v>
      </c>
      <c r="I40" s="97">
        <f>'Company Analysis'!I41-'Company Analysis'!I40</f>
        <v>0.17275034800078981</v>
      </c>
      <c r="J40" s="97">
        <f>'Company Analysis'!J41-'Company Analysis'!J40</f>
        <v>8.0925216861041038E-2</v>
      </c>
      <c r="K40" s="97">
        <f>'Company Analysis'!K41-'Company Analysis'!K40</f>
        <v>4.729221210753165E-2</v>
      </c>
    </row>
    <row r="41" spans="1:16">
      <c r="A41" t="str">
        <f>ticker&amp;" - GDP Growth Difference (3Y, %, RHS)"</f>
        <v>STOR - GDP Growth Difference (3Y, %, RHS)</v>
      </c>
      <c r="B41" s="135"/>
      <c r="C41" s="97"/>
      <c r="D41" s="97"/>
      <c r="E41" s="97" t="e">
        <f>'Company Analysis'!E43-'Company Analysis'!E42</f>
        <v>#VALUE!</v>
      </c>
      <c r="F41" s="97" t="e">
        <f>'Company Analysis'!F43-'Company Analysis'!F42</f>
        <v>#VALUE!</v>
      </c>
      <c r="G41" s="97">
        <f>'Company Analysis'!G43-'Company Analysis'!G42</f>
        <v>1.3038088157877159</v>
      </c>
      <c r="H41" s="97">
        <f>'Company Analysis'!H43-'Company Analysis'!H42</f>
        <v>0.64167175056056291</v>
      </c>
      <c r="I41" s="97">
        <f>'Company Analysis'!I43-'Company Analysis'!I42</f>
        <v>0.19404134600732004</v>
      </c>
      <c r="J41" s="97">
        <f>'Company Analysis'!J43-'Company Analysis'!J42</f>
        <v>0.1292966863174283</v>
      </c>
      <c r="K41" s="97">
        <f>'Company Analysis'!K43-'Company Analysis'!K42</f>
        <v>9.5358526633868346E-2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5"/>
  <sheetViews>
    <sheetView topLeftCell="B1" zoomScale="110" zoomScaleNormal="110" workbookViewId="0">
      <selection activeCell="L29" sqref="L29"/>
    </sheetView>
  </sheetViews>
  <sheetFormatPr defaultColWidth="9.1328125" defaultRowHeight="14.25"/>
  <cols>
    <col min="1" max="1" width="4.73046875" style="75" bestFit="1" customWidth="1"/>
    <col min="2" max="2" width="14.3984375" style="75" bestFit="1" customWidth="1"/>
    <col min="3" max="3" width="9.265625" style="75" bestFit="1" customWidth="1"/>
    <col min="4" max="4" width="12.265625" style="75" bestFit="1" customWidth="1"/>
    <col min="5" max="7" width="12.265625" style="75" customWidth="1"/>
    <col min="8" max="8" width="16.1328125" style="75" bestFit="1" customWidth="1"/>
    <col min="9" max="10" width="12.265625" style="75" customWidth="1"/>
    <col min="11" max="11" width="10.86328125" style="75" bestFit="1" customWidth="1"/>
    <col min="12" max="12" width="10.59765625" style="75" bestFit="1" customWidth="1"/>
    <col min="13" max="14" width="9.1328125" style="75"/>
    <col min="15" max="15" width="13.86328125" style="75" bestFit="1" customWidth="1"/>
    <col min="16" max="16384" width="9.1328125" style="75"/>
  </cols>
  <sheetData>
    <row r="1" spans="1:15">
      <c r="A1" s="75" t="s">
        <v>100</v>
      </c>
      <c r="B1" s="76">
        <f ca="1">MAX(C5:C12)+10</f>
        <v>45</v>
      </c>
      <c r="D1" s="75" t="s">
        <v>101</v>
      </c>
      <c r="E1" s="75">
        <v>5</v>
      </c>
    </row>
    <row r="2" spans="1:15">
      <c r="A2" s="75" t="s">
        <v>102</v>
      </c>
      <c r="B2" s="76">
        <f ca="1">MIN(C5:C12)-10</f>
        <v>13</v>
      </c>
    </row>
    <row r="4" spans="1:15" s="77" customFormat="1" ht="11.65">
      <c r="B4" s="78" t="s">
        <v>103</v>
      </c>
      <c r="C4" s="79" t="s">
        <v>104</v>
      </c>
      <c r="D4" s="77" t="s">
        <v>105</v>
      </c>
      <c r="E4" s="77" t="s">
        <v>106</v>
      </c>
      <c r="F4" s="77" t="s">
        <v>107</v>
      </c>
      <c r="G4" s="77" t="s">
        <v>108</v>
      </c>
      <c r="H4" s="77" t="s">
        <v>109</v>
      </c>
      <c r="J4" s="77" t="s">
        <v>110</v>
      </c>
      <c r="K4" s="77" t="s">
        <v>111</v>
      </c>
      <c r="L4" s="77" t="s">
        <v>56</v>
      </c>
      <c r="M4" s="77" t="s">
        <v>112</v>
      </c>
      <c r="N4" s="77" t="s">
        <v>113</v>
      </c>
      <c r="O4" s="77" t="s">
        <v>114</v>
      </c>
    </row>
    <row r="5" spans="1:15" s="77" customFormat="1" ht="11.65">
      <c r="A5" s="80"/>
      <c r="B5" s="86" t="str">
        <f>'Valuation Model'!I2</f>
        <v>4% | 65% | 4%</v>
      </c>
      <c r="C5" s="87">
        <f ca="1">'Valuation Model'!K2</f>
        <v>23</v>
      </c>
      <c r="D5" s="82">
        <f t="shared" ref="D5:D12" ca="1" si="0">IF(ABS(INDEX($K$6:$K$55,MATCH(C5,$K$6:$K$55,1)+IF(C5&gt;=MAX($K$6:$K$55),0,1),1)-C5)&lt;ABS(INDEX($K$6:$K$55,MATCH(C5,$K$6:$K$55,1))-C5),INDEX($K$6:$K$55,MATCH(C5,$K$6:$K$55,1)+IF(C5&gt;=MAX($K$6:$K$55),0,1),1),INDEX($K$6:$K$55,MATCH(C5,$K$6:$K$55,1)))</f>
        <v>23.400000000000006</v>
      </c>
      <c r="E5" s="83">
        <f>IF(H5="N",5%/COUNTIF('Valuation Model'!$L$2:$L$9,"No"),IF(G5&lt;&gt;"Y",50%/(COUNTIF('Valuation Model'!$L$2:$L$9,"Yes")-COUNTIF(G$5:G$12,"Y")),45%/(COUNTIF(G$5:G$12,"Y"))))</f>
        <v>6.25E-2</v>
      </c>
      <c r="F5" s="77" t="s">
        <v>51</v>
      </c>
      <c r="G5" s="77" t="str">
        <f>IF(LEFT('Valuation Model'!L2,1)="M","Y","")</f>
        <v/>
      </c>
      <c r="H5" s="77" t="str">
        <f>IF(LEFT('Valuation Model'!L2,1)="M","Y",LEFT('Valuation Model'!L2,1))</f>
        <v>Y</v>
      </c>
      <c r="J5" s="84">
        <v>0</v>
      </c>
      <c r="K5" s="82">
        <f t="shared" ref="K5:K55" ca="1" si="1">$B$1*J5</f>
        <v>0</v>
      </c>
      <c r="L5" s="85" t="str">
        <f t="shared" ref="L5:L55" ca="1" si="2">IFERROR(IF(VLOOKUP(K5,$D$5:$F$16,3,FALSE)="Scenario",IF(VLOOKUP(K5,$D$5:$H$16,5,FALSE)="Y",VLOOKUP(K5,$D$5:$E$16,2,0),""),IF(VLOOKUP(K5,$D$5:$F$16,3,FALSE)&lt;&gt;"Scenario","")),"")</f>
        <v/>
      </c>
      <c r="M5" s="83" t="str">
        <f t="shared" ref="M5:M55" ca="1" si="3">IFERROR(IF(VLOOKUP(K5,$D$5:$F$16,3,FALSE)="Scenario",IF(VLOOKUP(K5,$D$5:$H$16,5,FALSE)="N",VLOOKUP(K5,$D$5:$E$16,2,0),""),IF(VLOOKUP(K5,$D$5:$F$16,3,FALSE)&lt;&gt;"Scenario","")),"")</f>
        <v/>
      </c>
      <c r="N5" s="82">
        <f ca="1">LN('Histogram Data'!K5+0.01)-LN(price)</f>
        <v>-7.8751192810402921</v>
      </c>
      <c r="O5" s="82">
        <f ca="1">_xlfn.NORM.DIST(N5,0+0.03^3,AVERAGE('Valuation Model'!$K$22:$L$22),FALSE)/scaling</f>
        <v>1.2769819131267493E-211</v>
      </c>
    </row>
    <row r="6" spans="1:15" s="77" customFormat="1" ht="11.65">
      <c r="A6" s="80"/>
      <c r="B6" s="86" t="str">
        <f>'Valuation Model'!I6</f>
        <v>8% | 65% | 4%</v>
      </c>
      <c r="C6" s="87">
        <f ca="1">'Valuation Model'!K6</f>
        <v>27</v>
      </c>
      <c r="D6" s="82">
        <f t="shared" ca="1" si="0"/>
        <v>27.000000000000011</v>
      </c>
      <c r="E6" s="83">
        <f>IF(H6="N",5%/COUNTIF('Valuation Model'!$L$2:$L$9,"No"),IF(G6&lt;&gt;"Y",50%/(COUNTIF('Valuation Model'!$L$2:$L$9,"Yes")-COUNTIF(G$5:G$12,"Y")),45%/(COUNTIF(G$5:G$12,"Y"))))</f>
        <v>6.25E-2</v>
      </c>
      <c r="F6" s="77" t="s">
        <v>51</v>
      </c>
      <c r="G6" s="77" t="str">
        <f>IF(LEFT('Valuation Model'!L3,1)="M","Y","")</f>
        <v/>
      </c>
      <c r="H6" s="77" t="str">
        <f>IF(LEFT('Valuation Model'!L6,1)="M","Y",LEFT('Valuation Model'!L6,1))</f>
        <v>Y</v>
      </c>
      <c r="J6" s="84">
        <v>0.02</v>
      </c>
      <c r="K6" s="82">
        <f t="shared" ca="1" si="1"/>
        <v>0.9</v>
      </c>
      <c r="L6" s="85" t="str">
        <f t="shared" ca="1" si="2"/>
        <v/>
      </c>
      <c r="M6" s="83" t="str">
        <f t="shared" ca="1" si="3"/>
        <v/>
      </c>
      <c r="N6" s="82">
        <f ca="1">LN('Histogram Data'!K6+0.01)-LN(price)</f>
        <v>-3.3642597745234424</v>
      </c>
      <c r="O6" s="82">
        <f ca="1">_xlfn.NORM.DIST(N6,0+0.03^3,AVERAGE('Valuation Model'!$K$22:$L$22),FALSE)/scaling</f>
        <v>1.2636972987936931E-39</v>
      </c>
    </row>
    <row r="7" spans="1:15" s="77" customFormat="1" ht="11.65">
      <c r="A7" s="80"/>
      <c r="B7" s="86" t="str">
        <f>'Valuation Model'!I4</f>
        <v>4% | 71% | 4%</v>
      </c>
      <c r="C7" s="87">
        <f ca="1">'Valuation Model'!K4</f>
        <v>26</v>
      </c>
      <c r="D7" s="82">
        <f t="shared" ca="1" si="0"/>
        <v>26.100000000000009</v>
      </c>
      <c r="E7" s="83">
        <f>IF(H7="N",5%/COUNTIF('Valuation Model'!$L$2:$L$9,"No"),IF(G7&lt;&gt;"Y",50%/(COUNTIF('Valuation Model'!$L$2:$L$9,"Yes")-COUNTIF(G$5:G$12,"Y")),45%/(COUNTIF(G$5:G$12,"Y"))))</f>
        <v>6.25E-2</v>
      </c>
      <c r="F7" s="77" t="s">
        <v>51</v>
      </c>
      <c r="G7" s="77" t="str">
        <f>IF(LEFT('Valuation Model'!L4,1)="M","Y","")</f>
        <v/>
      </c>
      <c r="H7" s="77" t="str">
        <f>IF(LEFT('Valuation Model'!L4,1)="M","Y",LEFT('Valuation Model'!L4,1))</f>
        <v>Y</v>
      </c>
      <c r="J7" s="84">
        <f>J6+2%</f>
        <v>0.04</v>
      </c>
      <c r="K7" s="82">
        <f t="shared" ca="1" si="1"/>
        <v>1.8</v>
      </c>
      <c r="L7" s="85" t="str">
        <f t="shared" ca="1" si="2"/>
        <v/>
      </c>
      <c r="M7" s="83" t="str">
        <f t="shared" ca="1" si="3"/>
        <v/>
      </c>
      <c r="N7" s="82">
        <f ca="1">LN('Histogram Data'!K7+0.01)-LN(price)</f>
        <v>-2.6766222497744669</v>
      </c>
      <c r="O7" s="82">
        <f ca="1">_xlfn.NORM.DIST(N7,0+0.03^3,AVERAGE('Valuation Model'!$K$22:$L$22),FALSE)/scaling</f>
        <v>1.5623820543554571E-25</v>
      </c>
    </row>
    <row r="8" spans="1:15" s="77" customFormat="1" ht="11.65">
      <c r="A8" s="80"/>
      <c r="B8" s="86" t="str">
        <f>'Valuation Model'!I8</f>
        <v>8% | 71% | 4%</v>
      </c>
      <c r="C8" s="87">
        <f ca="1">'Valuation Model'!K8</f>
        <v>31</v>
      </c>
      <c r="D8" s="82">
        <f t="shared" ca="1" si="0"/>
        <v>30.600000000000012</v>
      </c>
      <c r="E8" s="83">
        <f>IF(H8="N",5%/COUNTIF('Valuation Model'!$L$2:$L$9,"No"),IF(G8&lt;&gt;"Y",50%/(COUNTIF('Valuation Model'!$L$2:$L$9,"Yes")-COUNTIF(G$5:G$12,"Y")),45%/(COUNTIF(G$5:G$12,"Y"))))</f>
        <v>6.25E-2</v>
      </c>
      <c r="F8" s="77" t="s">
        <v>51</v>
      </c>
      <c r="G8" s="77" t="str">
        <f>IF(LEFT('Valuation Model'!L5,1)="M","Y","")</f>
        <v/>
      </c>
      <c r="H8" s="77" t="str">
        <f>IF(LEFT('Valuation Model'!L8,1)="M","Y",LEFT('Valuation Model'!L8,1))</f>
        <v>Y</v>
      </c>
      <c r="J8" s="84">
        <f t="shared" ref="J8:J55" si="4">J7+2%</f>
        <v>0.06</v>
      </c>
      <c r="K8" s="82">
        <f t="shared" ca="1" si="1"/>
        <v>2.6999999999999997</v>
      </c>
      <c r="L8" s="85" t="str">
        <f t="shared" ca="1" si="2"/>
        <v/>
      </c>
      <c r="M8" s="83" t="str">
        <f t="shared" ca="1" si="3"/>
        <v/>
      </c>
      <c r="N8" s="82">
        <f ca="1">LN('Histogram Data'!K8+0.01)-LN(price)</f>
        <v>-2.273000460160592</v>
      </c>
      <c r="O8" s="82">
        <f ca="1">_xlfn.NORM.DIST(N8,0+0.03^3,AVERAGE('Valuation Model'!$K$22:$L$22),FALSE)/scaling</f>
        <v>9.3586260077272085E-19</v>
      </c>
    </row>
    <row r="9" spans="1:15" s="77" customFormat="1" ht="11.65">
      <c r="A9" s="80"/>
      <c r="B9" s="86" t="str">
        <f>'Valuation Model'!I3</f>
        <v>4% | 65% | 7%</v>
      </c>
      <c r="C9" s="87">
        <f ca="1">'Valuation Model'!K3</f>
        <v>26</v>
      </c>
      <c r="D9" s="82">
        <f t="shared" ca="1" si="0"/>
        <v>26.100000000000009</v>
      </c>
      <c r="E9" s="83">
        <f>IF(H9="N",5%/COUNTIF('Valuation Model'!$L$2:$L$9,"No"),IF(G9&lt;&gt;"Y",50%/(COUNTIF('Valuation Model'!$L$2:$L$9,"Yes")-COUNTIF(G$5:G$12,"Y")),45%/(COUNTIF(G$5:G$12,"Y"))))</f>
        <v>6.25E-2</v>
      </c>
      <c r="F9" s="77" t="s">
        <v>51</v>
      </c>
      <c r="G9" s="77" t="str">
        <f>IF(LEFT('Valuation Model'!L6,1)="M","Y","")</f>
        <v/>
      </c>
      <c r="H9" s="77" t="str">
        <f>IF(LEFT('Valuation Model'!L3,1)="M","Y",LEFT('Valuation Model'!L3,1))</f>
        <v>Y</v>
      </c>
      <c r="J9" s="84">
        <f t="shared" si="4"/>
        <v>0.08</v>
      </c>
      <c r="K9" s="82">
        <f t="shared" ca="1" si="1"/>
        <v>3.6</v>
      </c>
      <c r="L9" s="85" t="str">
        <f t="shared" ca="1" si="2"/>
        <v/>
      </c>
      <c r="M9" s="83" t="str">
        <f t="shared" ca="1" si="3"/>
        <v/>
      </c>
      <c r="N9" s="82">
        <f ca="1">LN('Histogram Data'!K9+0.01)-LN(price)</f>
        <v>-1.9862413227074116</v>
      </c>
      <c r="O9" s="82">
        <f ca="1">_xlfn.NORM.DIST(N9,0+0.03^3,AVERAGE('Valuation Model'!$K$22:$L$22),FALSE)/scaling</f>
        <v>1.302331643322195E-14</v>
      </c>
    </row>
    <row r="10" spans="1:15" s="77" customFormat="1" ht="11.65">
      <c r="A10" s="80"/>
      <c r="B10" s="86" t="str">
        <f>'Valuation Model'!I7</f>
        <v>8% | 65% | 7%</v>
      </c>
      <c r="C10" s="87">
        <f ca="1">'Valuation Model'!K7</f>
        <v>31</v>
      </c>
      <c r="D10" s="82">
        <f t="shared" ca="1" si="0"/>
        <v>30.600000000000012</v>
      </c>
      <c r="E10" s="83">
        <f>IF(H10="N",5%/COUNTIF('Valuation Model'!$L$2:$L$9,"No"),IF(G10&lt;&gt;"Y",50%/(COUNTIF('Valuation Model'!$L$2:$L$9,"Yes")-COUNTIF(G$5:G$12,"Y")),45%/(COUNTIF(G$5:G$12,"Y"))))</f>
        <v>6.25E-2</v>
      </c>
      <c r="F10" s="77" t="s">
        <v>51</v>
      </c>
      <c r="G10" s="77" t="str">
        <f>IF(LEFT('Valuation Model'!L7,1)="M","Y","")</f>
        <v/>
      </c>
      <c r="H10" s="77" t="str">
        <f>IF(LEFT('Valuation Model'!L7,1)="M","Y",LEFT('Valuation Model'!L7,1))</f>
        <v>Y</v>
      </c>
      <c r="J10" s="84">
        <f t="shared" si="4"/>
        <v>0.1</v>
      </c>
      <c r="K10" s="82">
        <f t="shared" ca="1" si="1"/>
        <v>4.5</v>
      </c>
      <c r="L10" s="85" t="str">
        <f t="shared" ca="1" si="2"/>
        <v/>
      </c>
      <c r="M10" s="83" t="str">
        <f t="shared" ca="1" si="3"/>
        <v/>
      </c>
      <c r="N10" s="82">
        <f ca="1">LN('Histogram Data'!K10+0.01)-LN(price)</f>
        <v>-1.7636519415376142</v>
      </c>
      <c r="O10" s="82">
        <f ca="1">_xlfn.NORM.DIST(N10,0+0.03^3,AVERAGE('Valuation Model'!$K$22:$L$22),FALSE)/scaling</f>
        <v>8.8387964186130956E-12</v>
      </c>
    </row>
    <row r="11" spans="1:15" s="77" customFormat="1" ht="11.65">
      <c r="A11" s="80"/>
      <c r="B11" s="86" t="str">
        <f>'Valuation Model'!I5</f>
        <v>4% | 71% | 7%</v>
      </c>
      <c r="C11" s="87">
        <f ca="1">'Valuation Model'!K5</f>
        <v>29</v>
      </c>
      <c r="D11" s="82">
        <f t="shared" ca="1" si="0"/>
        <v>28.800000000000011</v>
      </c>
      <c r="E11" s="83">
        <f>IF(H11="N",5%/COUNTIF('Valuation Model'!$L$2:$L$9,"No"),IF(G11&lt;&gt;"Y",50%/(COUNTIF('Valuation Model'!$L$2:$L$9,"Yes")-COUNTIF(G$5:G$12,"Y")),45%/(COUNTIF(G$5:G$12,"Y"))))</f>
        <v>6.25E-2</v>
      </c>
      <c r="F11" s="77" t="s">
        <v>51</v>
      </c>
      <c r="G11" s="77" t="str">
        <f>IF(LEFT('Valuation Model'!L8,1)="M","Y","")</f>
        <v/>
      </c>
      <c r="H11" s="77" t="str">
        <f>IF(LEFT('Valuation Model'!L5,1)="M","Y",LEFT('Valuation Model'!L5,1))</f>
        <v>Y</v>
      </c>
      <c r="J11" s="84">
        <f t="shared" si="4"/>
        <v>0.12000000000000001</v>
      </c>
      <c r="K11" s="82">
        <f t="shared" ca="1" si="1"/>
        <v>5.4</v>
      </c>
      <c r="L11" s="85" t="str">
        <f t="shared" ca="1" si="2"/>
        <v/>
      </c>
      <c r="M11" s="83" t="str">
        <f t="shared" ca="1" si="3"/>
        <v/>
      </c>
      <c r="N11" s="82">
        <f ca="1">LN('Histogram Data'!K11+0.01)-LN(price)</f>
        <v>-1.581700002193811</v>
      </c>
      <c r="O11" s="82">
        <f ca="1">_xlfn.NORM.DIST(N11,0+0.03^3,AVERAGE('Valuation Model'!$K$22:$L$22),FALSE)/scaling</f>
        <v>1.0265665149571851E-9</v>
      </c>
    </row>
    <row r="12" spans="1:15" s="77" customFormat="1" ht="11.65">
      <c r="A12" s="80"/>
      <c r="B12" s="86" t="str">
        <f>'Valuation Model'!I9</f>
        <v>8% | 71% | 7%</v>
      </c>
      <c r="C12" s="87">
        <f ca="1">'Valuation Model'!K9</f>
        <v>35</v>
      </c>
      <c r="D12" s="82">
        <f t="shared" ca="1" si="0"/>
        <v>35.100000000000016</v>
      </c>
      <c r="E12" s="83">
        <f>IF(H12="N",5%/COUNTIF('Valuation Model'!$L$2:$L$9,"No"),IF(G12&lt;&gt;"Y",50%/(COUNTIF('Valuation Model'!$L$2:$L$9,"Yes")-COUNTIF(G$5:G$12,"Y")),45%/(COUNTIF(G$5:G$12,"Y"))))</f>
        <v>6.25E-2</v>
      </c>
      <c r="F12" s="77" t="s">
        <v>51</v>
      </c>
      <c r="G12" s="77" t="str">
        <f>IF(LEFT('Valuation Model'!L9,1)="M","Y","")</f>
        <v/>
      </c>
      <c r="H12" s="77" t="str">
        <f>IF(LEFT('Valuation Model'!L9,1)="M","Y",LEFT('Valuation Model'!L9,1))</f>
        <v>Y</v>
      </c>
      <c r="J12" s="84">
        <f t="shared" si="4"/>
        <v>0.14000000000000001</v>
      </c>
      <c r="K12" s="82">
        <f t="shared" ca="1" si="1"/>
        <v>6.3000000000000007</v>
      </c>
      <c r="L12" s="85" t="str">
        <f t="shared" ca="1" si="2"/>
        <v/>
      </c>
      <c r="M12" s="83" t="str">
        <f t="shared" ca="1" si="3"/>
        <v/>
      </c>
      <c r="N12" s="82">
        <f ca="1">LN('Histogram Data'!K12+0.01)-LN(price)</f>
        <v>-1.4278134184990794</v>
      </c>
      <c r="O12" s="82">
        <f ca="1">_xlfn.NORM.DIST(N12,0+0.03^3,AVERAGE('Valuation Model'!$K$22:$L$22),FALSE)/scaling</f>
        <v>3.8241837686347975E-8</v>
      </c>
    </row>
    <row r="13" spans="1:15" s="77" customFormat="1" ht="11.65">
      <c r="A13" s="80"/>
      <c r="J13" s="84">
        <f t="shared" si="4"/>
        <v>0.16</v>
      </c>
      <c r="K13" s="82">
        <f t="shared" ca="1" si="1"/>
        <v>7.2</v>
      </c>
      <c r="L13" s="85" t="str">
        <f t="shared" ca="1" si="2"/>
        <v/>
      </c>
      <c r="M13" s="83" t="str">
        <f t="shared" ca="1" si="3"/>
        <v/>
      </c>
      <c r="N13" s="82">
        <f ca="1">LN('Histogram Data'!K13+0.01)-LN(price)</f>
        <v>-1.2944801437553435</v>
      </c>
      <c r="O13" s="82">
        <f ca="1">_xlfn.NORM.DIST(N13,0+0.03^3,AVERAGE('Valuation Model'!$K$22:$L$22),FALSE)/scaling</f>
        <v>6.5152051381544985E-7</v>
      </c>
    </row>
    <row r="14" spans="1:15" s="77" customFormat="1" ht="11.65">
      <c r="A14" s="80"/>
      <c r="J14" s="84">
        <f t="shared" si="4"/>
        <v>0.18</v>
      </c>
      <c r="K14" s="82">
        <f t="shared" ca="1" si="1"/>
        <v>8.1</v>
      </c>
      <c r="L14" s="85" t="str">
        <f t="shared" ca="1" si="2"/>
        <v/>
      </c>
      <c r="M14" s="83" t="str">
        <f t="shared" ca="1" si="3"/>
        <v/>
      </c>
      <c r="N14" s="82">
        <f ca="1">LN('Histogram Data'!K14+0.01)-LN(price)</f>
        <v>-1.1768512269248799</v>
      </c>
      <c r="O14" s="82">
        <f ca="1">_xlfn.NORM.DIST(N14,0+0.03^3,AVERAGE('Valuation Model'!$K$22:$L$22),FALSE)/scaling</f>
        <v>6.3115285912357366E-6</v>
      </c>
    </row>
    <row r="15" spans="1:15" s="77" customFormat="1" ht="11.65">
      <c r="A15" s="80"/>
      <c r="J15" s="84">
        <f t="shared" si="4"/>
        <v>0.19999999999999998</v>
      </c>
      <c r="K15" s="82">
        <f t="shared" ca="1" si="1"/>
        <v>9</v>
      </c>
      <c r="L15" s="85" t="str">
        <f t="shared" ca="1" si="2"/>
        <v/>
      </c>
      <c r="M15" s="83" t="str">
        <f t="shared" ca="1" si="3"/>
        <v/>
      </c>
      <c r="N15" s="82">
        <f ca="1">LN('Histogram Data'!K15+0.01)-LN(price)</f>
        <v>-1.0716140234319549</v>
      </c>
      <c r="O15" s="82">
        <f ca="1">_xlfn.NORM.DIST(N15,0+0.03^3,AVERAGE('Valuation Model'!$K$22:$L$22),FALSE)/scaling</f>
        <v>4.0075824081988689E-5</v>
      </c>
    </row>
    <row r="16" spans="1:15" s="77" customFormat="1" ht="11.65">
      <c r="A16" s="80"/>
      <c r="C16" s="81"/>
      <c r="D16" s="82"/>
      <c r="E16" s="83"/>
      <c r="J16" s="84">
        <f t="shared" si="4"/>
        <v>0.21999999999999997</v>
      </c>
      <c r="K16" s="82">
        <f t="shared" ca="1" si="1"/>
        <v>9.8999999999999986</v>
      </c>
      <c r="L16" s="85" t="str">
        <f t="shared" ca="1" si="2"/>
        <v/>
      </c>
      <c r="M16" s="83" t="str">
        <f t="shared" ca="1" si="3"/>
        <v/>
      </c>
      <c r="N16" s="82">
        <f ca="1">LN('Histogram Data'!K16+0.01)-LN(price)</f>
        <v>-0.97640474671030475</v>
      </c>
      <c r="O16" s="82">
        <f ca="1">_xlfn.NORM.DIST(N16,0+0.03^3,AVERAGE('Valuation Model'!$K$22:$L$22),FALSE)/scaling</f>
        <v>1.838208457758419E-4</v>
      </c>
    </row>
    <row r="17" spans="4:15" s="77" customFormat="1" ht="11.65">
      <c r="J17" s="84">
        <f t="shared" si="4"/>
        <v>0.23999999999999996</v>
      </c>
      <c r="K17" s="82">
        <f t="shared" ca="1" si="1"/>
        <v>10.799999999999999</v>
      </c>
      <c r="L17" s="85" t="str">
        <f t="shared" ca="1" si="2"/>
        <v/>
      </c>
      <c r="M17" s="83" t="str">
        <f t="shared" ca="1" si="3"/>
        <v/>
      </c>
      <c r="N17" s="82">
        <f ca="1">LN('Histogram Data'!K17+0.01)-LN(price)</f>
        <v>-0.88947746340108447</v>
      </c>
      <c r="O17" s="82">
        <f ca="1">_xlfn.NORM.DIST(N17,0+0.03^3,AVERAGE('Valuation Model'!$K$22:$L$22),FALSE)/scaling</f>
        <v>6.5260818488405733E-4</v>
      </c>
    </row>
    <row r="18" spans="4:15" s="77" customFormat="1" ht="11.65">
      <c r="D18" s="84"/>
      <c r="J18" s="84">
        <f t="shared" si="4"/>
        <v>0.25999999999999995</v>
      </c>
      <c r="K18" s="82">
        <f t="shared" ca="1" si="1"/>
        <v>11.699999999999998</v>
      </c>
      <c r="L18" s="85" t="str">
        <f t="shared" ca="1" si="2"/>
        <v/>
      </c>
      <c r="M18" s="83" t="str">
        <f t="shared" ca="1" si="3"/>
        <v/>
      </c>
      <c r="N18" s="82">
        <f ca="1">LN('Histogram Data'!K18+0.01)-LN(price)</f>
        <v>-0.80950591744257538</v>
      </c>
      <c r="O18" s="82">
        <f ca="1">_xlfn.NORM.DIST(N18,0+0.03^3,AVERAGE('Valuation Model'!$K$22:$L$22),FALSE)/scaling</f>
        <v>1.8862543994584689E-3</v>
      </c>
    </row>
    <row r="19" spans="4:15" s="77" customFormat="1" ht="11.65">
      <c r="D19" s="88"/>
      <c r="J19" s="84">
        <f t="shared" si="4"/>
        <v>0.27999999999999997</v>
      </c>
      <c r="K19" s="82">
        <f t="shared" ca="1" si="1"/>
        <v>12.599999999999998</v>
      </c>
      <c r="L19" s="85" t="str">
        <f t="shared" ca="1" si="2"/>
        <v/>
      </c>
      <c r="M19" s="83" t="str">
        <f t="shared" ca="1" si="3"/>
        <v/>
      </c>
      <c r="N19" s="82">
        <f ca="1">LN('Histogram Data'!K19+0.01)-LN(price)</f>
        <v>-0.73545894507537302</v>
      </c>
      <c r="O19" s="82">
        <f ca="1">_xlfn.NORM.DIST(N19,0+0.03^3,AVERAGE('Valuation Model'!$K$22:$L$22),FALSE)/scaling</f>
        <v>4.6100947095344489E-3</v>
      </c>
    </row>
    <row r="20" spans="4:15" s="77" customFormat="1" ht="11.65">
      <c r="J20" s="84">
        <f t="shared" si="4"/>
        <v>0.3</v>
      </c>
      <c r="K20" s="82">
        <f t="shared" ca="1" si="1"/>
        <v>13.5</v>
      </c>
      <c r="L20" s="85" t="str">
        <f t="shared" ca="1" si="2"/>
        <v/>
      </c>
      <c r="M20" s="83" t="str">
        <f t="shared" ca="1" si="3"/>
        <v/>
      </c>
      <c r="N20" s="82">
        <f ca="1">LN('Histogram Data'!K20+0.01)-LN(price)</f>
        <v>-0.66651894308009396</v>
      </c>
      <c r="O20" s="82">
        <f ca="1">_xlfn.NORM.DIST(N20,0+0.03^3,AVERAGE('Valuation Model'!$K$22:$L$22),FALSE)/scaling</f>
        <v>9.8086814979921437E-3</v>
      </c>
    </row>
    <row r="21" spans="4:15" s="77" customFormat="1" ht="11.65">
      <c r="J21" s="84">
        <f t="shared" si="4"/>
        <v>0.32</v>
      </c>
      <c r="K21" s="82">
        <f t="shared" ca="1" si="1"/>
        <v>14.4</v>
      </c>
      <c r="L21" s="85" t="str">
        <f t="shared" ca="1" si="2"/>
        <v/>
      </c>
      <c r="M21" s="83" t="str">
        <f t="shared" ca="1" si="3"/>
        <v/>
      </c>
      <c r="N21" s="82">
        <f ca="1">LN('Histogram Data'!K21+0.01)-LN(price)</f>
        <v>-0.60202668504077028</v>
      </c>
      <c r="O21" s="82">
        <f ca="1">_xlfn.NORM.DIST(N21,0+0.03^3,AVERAGE('Valuation Model'!$K$22:$L$22),FALSE)/scaling</f>
        <v>1.8585032270408371E-2</v>
      </c>
    </row>
    <row r="22" spans="4:15" s="77" customFormat="1" ht="11.65">
      <c r="J22" s="84">
        <f t="shared" si="4"/>
        <v>0.34</v>
      </c>
      <c r="K22" s="82">
        <f t="shared" ca="1" si="1"/>
        <v>15.3</v>
      </c>
      <c r="L22" s="85" t="str">
        <f t="shared" ca="1" si="2"/>
        <v/>
      </c>
      <c r="M22" s="83" t="str">
        <f t="shared" ca="1" si="3"/>
        <v/>
      </c>
      <c r="N22" s="82">
        <f ca="1">LN('Histogram Data'!K22+0.01)-LN(price)</f>
        <v>-0.54144288538260898</v>
      </c>
      <c r="O22" s="82">
        <f ca="1">_xlfn.NORM.DIST(N22,0+0.03^3,AVERAGE('Valuation Model'!$K$22:$L$22),FALSE)/scaling</f>
        <v>3.1929254188473005E-2</v>
      </c>
    </row>
    <row r="23" spans="4:15" s="77" customFormat="1" ht="11.65">
      <c r="J23" s="84">
        <f t="shared" si="4"/>
        <v>0.36000000000000004</v>
      </c>
      <c r="K23" s="82">
        <f t="shared" ca="1" si="1"/>
        <v>16.200000000000003</v>
      </c>
      <c r="L23" s="85" t="str">
        <f t="shared" ca="1" si="2"/>
        <v/>
      </c>
      <c r="M23" s="83" t="str">
        <f t="shared" ca="1" si="3"/>
        <v/>
      </c>
      <c r="N23" s="82">
        <f ca="1">LN('Histogram Data'!K23+0.01)-LN(price)</f>
        <v>-0.48432075930461638</v>
      </c>
      <c r="O23" s="82">
        <f ca="1">_xlfn.NORM.DIST(N23,0+0.03^3,AVERAGE('Valuation Model'!$K$22:$L$22),FALSE)/scaling</f>
        <v>5.0463305282841243E-2</v>
      </c>
    </row>
    <row r="24" spans="4:15" s="77" customFormat="1" ht="11.65">
      <c r="J24" s="84">
        <f t="shared" si="4"/>
        <v>0.38000000000000006</v>
      </c>
      <c r="K24" s="82">
        <f t="shared" ca="1" si="1"/>
        <v>17.100000000000001</v>
      </c>
      <c r="L24" s="85" t="str">
        <f t="shared" ca="1" si="2"/>
        <v/>
      </c>
      <c r="M24" s="83" t="str">
        <f t="shared" ca="1" si="3"/>
        <v/>
      </c>
      <c r="N24" s="82">
        <f ca="1">LN('Histogram Data'!K24+0.01)-LN(price)</f>
        <v>-0.43028600714809873</v>
      </c>
      <c r="O24" s="82">
        <f ca="1">_xlfn.NORM.DIST(N24,0+0.03^3,AVERAGE('Valuation Model'!$K$22:$L$22),FALSE)/scaling</f>
        <v>7.4240735527061702E-2</v>
      </c>
    </row>
    <row r="25" spans="4:15" s="77" customFormat="1" ht="11.65">
      <c r="J25" s="84">
        <f t="shared" si="4"/>
        <v>0.40000000000000008</v>
      </c>
      <c r="K25" s="82">
        <f t="shared" ca="1" si="1"/>
        <v>18.000000000000004</v>
      </c>
      <c r="L25" s="85" t="str">
        <f t="shared" ca="1" si="2"/>
        <v/>
      </c>
      <c r="M25" s="83" t="str">
        <f t="shared" ca="1" si="3"/>
        <v/>
      </c>
      <c r="N25" s="82">
        <f ca="1">LN('Histogram Data'!K25+0.01)-LN(price)</f>
        <v>-0.37902193586433608</v>
      </c>
      <c r="O25" s="82">
        <f ca="1">_xlfn.NORM.DIST(N25,0+0.03^3,AVERAGE('Valuation Model'!$K$22:$L$22),FALSE)/scaling</f>
        <v>0.10265946313697812</v>
      </c>
    </row>
    <row r="26" spans="4:15" s="77" customFormat="1" ht="11.65">
      <c r="J26" s="84">
        <f t="shared" si="4"/>
        <v>0.4200000000000001</v>
      </c>
      <c r="K26" s="82">
        <f t="shared" ca="1" si="1"/>
        <v>18.900000000000006</v>
      </c>
      <c r="L26" s="85" t="str">
        <f t="shared" ca="1" si="2"/>
        <v/>
      </c>
      <c r="M26" s="83" t="str">
        <f t="shared" ca="1" si="3"/>
        <v/>
      </c>
      <c r="N26" s="82">
        <f ca="1">LN('Histogram Data'!K26+0.01)-LN(price)</f>
        <v>-0.3302582123818345</v>
      </c>
      <c r="O26" s="82">
        <f ca="1">_xlfn.NORM.DIST(N26,0+0.03^3,AVERAGE('Valuation Model'!$K$22:$L$22),FALSE)/scaling</f>
        <v>0.13450642170166677</v>
      </c>
    </row>
    <row r="27" spans="4:15" s="77" customFormat="1" ht="11.65">
      <c r="J27" s="84">
        <f t="shared" si="4"/>
        <v>0.44000000000000011</v>
      </c>
      <c r="K27" s="82">
        <f t="shared" ca="1" si="1"/>
        <v>19.800000000000004</v>
      </c>
      <c r="L27" s="85" t="str">
        <f t="shared" ca="1" si="2"/>
        <v/>
      </c>
      <c r="M27" s="83" t="str">
        <f t="shared" ca="1" si="3"/>
        <v/>
      </c>
      <c r="N27" s="82">
        <f ca="1">LN('Histogram Data'!K27+0.01)-LN(price)</f>
        <v>-0.28376223434174142</v>
      </c>
      <c r="O27" s="82">
        <f ca="1">_xlfn.NORM.DIST(N27,0+0.03^3,AVERAGE('Valuation Model'!$K$22:$L$22),FALSE)/scaling</f>
        <v>0.16811411698477474</v>
      </c>
    </row>
    <row r="28" spans="4:15" s="77" customFormat="1" ht="11.65">
      <c r="J28" s="84">
        <f t="shared" si="4"/>
        <v>0.46000000000000013</v>
      </c>
      <c r="K28" s="82">
        <f t="shared" ca="1" si="1"/>
        <v>20.700000000000006</v>
      </c>
      <c r="L28" s="85" t="str">
        <f t="shared" ca="1" si="2"/>
        <v/>
      </c>
      <c r="M28" s="83" t="str">
        <f t="shared" ca="1" si="3"/>
        <v/>
      </c>
      <c r="N28" s="82">
        <f ca="1">LN('Histogram Data'!K28+0.01)-LN(price)</f>
        <v>-0.23933241964470797</v>
      </c>
      <c r="O28" s="82">
        <f ca="1">_xlfn.NORM.DIST(N28,0+0.03^3,AVERAGE('Valuation Model'!$K$22:$L$22),FALSE)/scaling</f>
        <v>0.20158407281223395</v>
      </c>
    </row>
    <row r="29" spans="4:15" s="77" customFormat="1" ht="11.65">
      <c r="J29" s="84">
        <f t="shared" si="4"/>
        <v>0.48000000000000015</v>
      </c>
      <c r="K29" s="82">
        <f t="shared" ca="1" si="1"/>
        <v>21.600000000000005</v>
      </c>
      <c r="L29" s="85" t="str">
        <f t="shared" ca="1" si="2"/>
        <v/>
      </c>
      <c r="M29" s="83" t="str">
        <f t="shared" ca="1" si="3"/>
        <v/>
      </c>
      <c r="N29" s="82">
        <f ca="1">LN('Histogram Data'!K29+0.01)-LN(price)</f>
        <v>-0.19679292453340613</v>
      </c>
      <c r="O29" s="82">
        <f ca="1">_xlfn.NORM.DIST(N29,0+0.03^3,AVERAGE('Valuation Model'!$K$22:$L$22),FALSE)/scaling</f>
        <v>0.23302503764607901</v>
      </c>
    </row>
    <row r="30" spans="4:15" s="77" customFormat="1" ht="11.65">
      <c r="J30" s="84">
        <f t="shared" si="4"/>
        <v>0.50000000000000011</v>
      </c>
      <c r="K30" s="82">
        <f t="shared" ca="1" si="1"/>
        <v>22.500000000000004</v>
      </c>
      <c r="L30" s="85" t="str">
        <f t="shared" ca="1" si="2"/>
        <v/>
      </c>
      <c r="M30" s="83" t="str">
        <f t="shared" ca="1" si="3"/>
        <v/>
      </c>
      <c r="N30" s="82">
        <f ca="1">LN('Histogram Data'!K30+0.01)-LN(price)</f>
        <v>-0.1559894401335602</v>
      </c>
      <c r="O30" s="82">
        <f ca="1">_xlfn.NORM.DIST(N30,0+0.03^3,AVERAGE('Valuation Model'!$K$22:$L$22),FALSE)/scaling</f>
        <v>0.26076152357510296</v>
      </c>
    </row>
    <row r="31" spans="4:15" s="77" customFormat="1" ht="11.65">
      <c r="J31" s="84">
        <f t="shared" si="4"/>
        <v>0.52000000000000013</v>
      </c>
      <c r="K31" s="82">
        <f t="shared" ca="1" si="1"/>
        <v>23.400000000000006</v>
      </c>
      <c r="L31" s="85">
        <f t="shared" ca="1" si="2"/>
        <v>6.25E-2</v>
      </c>
      <c r="M31" s="83" t="str">
        <f t="shared" ca="1" si="3"/>
        <v/>
      </c>
      <c r="N31" s="82">
        <f ca="1">LN('Histogram Data'!K31+0.01)-LN(price)</f>
        <v>-0.11678581354938133</v>
      </c>
      <c r="O31" s="82">
        <f ca="1">_xlfn.NORM.DIST(N31,0+0.03^3,AVERAGE('Valuation Model'!$K$22:$L$22),FALSE)/scaling</f>
        <v>0.28348415376051384</v>
      </c>
    </row>
    <row r="32" spans="4:15" s="77" customFormat="1" ht="11.65">
      <c r="J32" s="84">
        <f t="shared" si="4"/>
        <v>0.54000000000000015</v>
      </c>
      <c r="K32" s="82">
        <f t="shared" ca="1" si="1"/>
        <v>24.300000000000008</v>
      </c>
      <c r="L32" s="85" t="str">
        <f t="shared" ca="1" si="2"/>
        <v/>
      </c>
      <c r="M32" s="83" t="str">
        <f t="shared" ca="1" si="3"/>
        <v/>
      </c>
      <c r="N32" s="82">
        <f ca="1">LN('Histogram Data'!K32+0.01)-LN(price)</f>
        <v>-7.9061306724169E-2</v>
      </c>
      <c r="O32" s="82">
        <f ca="1">_xlfn.NORM.DIST(N32,0+0.03^3,AVERAGE('Valuation Model'!$K$22:$L$22),FALSE)/scaling</f>
        <v>0.30033082512828885</v>
      </c>
    </row>
    <row r="33" spans="10:15" s="77" customFormat="1" ht="11.65">
      <c r="J33" s="84">
        <f t="shared" si="4"/>
        <v>0.56000000000000016</v>
      </c>
      <c r="K33" s="82">
        <f t="shared" ca="1" si="1"/>
        <v>25.200000000000006</v>
      </c>
      <c r="L33" s="85" t="str">
        <f t="shared" ca="1" si="2"/>
        <v/>
      </c>
      <c r="M33" s="83" t="str">
        <f t="shared" ca="1" si="3"/>
        <v/>
      </c>
      <c r="N33" s="82">
        <f ca="1">LN('Histogram Data'!K33+0.01)-LN(price)</f>
        <v>-4.2708353852372483E-2</v>
      </c>
      <c r="O33" s="82">
        <f ca="1">_xlfn.NORM.DIST(N33,0+0.03^3,AVERAGE('Valuation Model'!$K$22:$L$22),FALSE)/scaling</f>
        <v>0.31090225781298975</v>
      </c>
    </row>
    <row r="34" spans="10:15" s="77" customFormat="1" ht="11.65">
      <c r="J34" s="84">
        <f t="shared" si="4"/>
        <v>0.58000000000000018</v>
      </c>
      <c r="K34" s="82">
        <f t="shared" ca="1" si="1"/>
        <v>26.100000000000009</v>
      </c>
      <c r="L34" s="85">
        <f t="shared" ca="1" si="2"/>
        <v>6.25E-2</v>
      </c>
      <c r="M34" s="83" t="str">
        <f t="shared" ca="1" si="3"/>
        <v/>
      </c>
      <c r="N34" s="82">
        <f ca="1">LN('Histogram Data'!K34+0.01)-LN(price)</f>
        <v>-7.6307123411631927E-3</v>
      </c>
      <c r="O34" s="82">
        <f ca="1">_xlfn.NORM.DIST(N34,0+0.03^3,AVERAGE('Valuation Model'!$K$22:$L$22),FALSE)/scaling</f>
        <v>0.31522496503913955</v>
      </c>
    </row>
    <row r="35" spans="10:15" s="77" customFormat="1" ht="11.65">
      <c r="J35" s="84">
        <f t="shared" si="4"/>
        <v>0.6000000000000002</v>
      </c>
      <c r="K35" s="82">
        <f t="shared" ca="1" si="1"/>
        <v>27.000000000000011</v>
      </c>
      <c r="L35" s="85">
        <f t="shared" ca="1" si="2"/>
        <v>6.25E-2</v>
      </c>
      <c r="M35" s="83" t="str">
        <f t="shared" ca="1" si="3"/>
        <v/>
      </c>
      <c r="N35" s="82">
        <f ca="1">LN('Histogram Data'!K35+0.01)-LN(price)</f>
        <v>2.6258072752323613E-2</v>
      </c>
      <c r="O35" s="82">
        <f ca="1">_xlfn.NORM.DIST(N35,0+0.03^3,AVERAGE('Valuation Model'!$K$22:$L$22),FALSE)/scaling</f>
        <v>0.31367889615948652</v>
      </c>
    </row>
    <row r="36" spans="10:15" s="77" customFormat="1" ht="11.65">
      <c r="J36" s="84">
        <f t="shared" si="4"/>
        <v>0.62000000000000022</v>
      </c>
      <c r="K36" s="82">
        <f t="shared" ca="1" si="1"/>
        <v>27.900000000000009</v>
      </c>
      <c r="L36" s="85" t="str">
        <f t="shared" ca="1" si="2"/>
        <v/>
      </c>
      <c r="M36" s="83" t="str">
        <f t="shared" ca="1" si="3"/>
        <v/>
      </c>
      <c r="N36" s="82">
        <f ca="1">LN('Histogram Data'!K36+0.01)-LN(price)</f>
        <v>5.9035952496029775E-2</v>
      </c>
      <c r="O36" s="82">
        <f ca="1">_xlfn.NORM.DIST(N36,0+0.03^3,AVERAGE('Valuation Model'!$K$22:$L$22),FALSE)/scaling</f>
        <v>0.30690703445187928</v>
      </c>
    </row>
    <row r="37" spans="10:15" s="77" customFormat="1" ht="11.65">
      <c r="J37" s="84">
        <f t="shared" si="4"/>
        <v>0.64000000000000024</v>
      </c>
      <c r="K37" s="82">
        <f t="shared" ca="1" si="1"/>
        <v>28.800000000000011</v>
      </c>
      <c r="L37" s="85">
        <f t="shared" ca="1" si="2"/>
        <v>6.25E-2</v>
      </c>
      <c r="M37" s="83" t="str">
        <f t="shared" ca="1" si="3"/>
        <v/>
      </c>
      <c r="N37" s="82">
        <f ca="1">LN('Histogram Data'!K37+0.01)-LN(price)</f>
        <v>9.0773454044236423E-2</v>
      </c>
      <c r="O37" s="82">
        <f ca="1">_xlfn.NORM.DIST(N37,0+0.03^3,AVERAGE('Valuation Model'!$K$22:$L$22),FALSE)/scaling</f>
        <v>0.29572156871422001</v>
      </c>
    </row>
    <row r="38" spans="10:15" s="77" customFormat="1" ht="11.65">
      <c r="J38" s="84">
        <f t="shared" si="4"/>
        <v>0.66000000000000025</v>
      </c>
      <c r="K38" s="82">
        <f t="shared" ca="1" si="1"/>
        <v>29.70000000000001</v>
      </c>
      <c r="L38" s="85" t="str">
        <f t="shared" ca="1" si="2"/>
        <v/>
      </c>
      <c r="M38" s="83" t="str">
        <f t="shared" ca="1" si="3"/>
        <v/>
      </c>
      <c r="N38" s="82">
        <f ca="1">LN('Histogram Data'!K38+0.01)-LN(price)</f>
        <v>0.1215345944223154</v>
      </c>
      <c r="O38" s="82">
        <f ca="1">_xlfn.NORM.DIST(N38,0+0.03^3,AVERAGE('Valuation Model'!$K$22:$L$22),FALSE)/scaling</f>
        <v>0.2810173315443163</v>
      </c>
    </row>
    <row r="39" spans="10:15" s="77" customFormat="1" ht="11.65">
      <c r="J39" s="84">
        <f t="shared" si="4"/>
        <v>0.68000000000000027</v>
      </c>
      <c r="K39" s="82">
        <f t="shared" ca="1" si="1"/>
        <v>30.600000000000012</v>
      </c>
      <c r="L39" s="85">
        <f t="shared" ca="1" si="2"/>
        <v>6.25E-2</v>
      </c>
      <c r="M39" s="83" t="str">
        <f t="shared" ca="1" si="3"/>
        <v/>
      </c>
      <c r="N39" s="82">
        <f ca="1">LN('Histogram Data'!K39+0.01)-LN(price)</f>
        <v>0.15137765790512026</v>
      </c>
      <c r="O39" s="82">
        <f ca="1">_xlfn.NORM.DIST(N39,0+0.03^3,AVERAGE('Valuation Model'!$K$22:$L$22),FALSE)/scaling</f>
        <v>0.26369909985588719</v>
      </c>
    </row>
    <row r="40" spans="10:15" s="77" customFormat="1" ht="11.65">
      <c r="J40" s="84">
        <f t="shared" si="4"/>
        <v>0.70000000000000029</v>
      </c>
      <c r="K40" s="82">
        <f t="shared" ca="1" si="1"/>
        <v>31.500000000000014</v>
      </c>
      <c r="L40" s="85" t="str">
        <f t="shared" ca="1" si="2"/>
        <v/>
      </c>
      <c r="M40" s="83" t="str">
        <f t="shared" ca="1" si="3"/>
        <v/>
      </c>
      <c r="N40" s="82">
        <f ca="1">LN('Histogram Data'!K40+0.01)-LN(price)</f>
        <v>0.18035586071698262</v>
      </c>
      <c r="O40" s="82">
        <f ca="1">_xlfn.NORM.DIST(N40,0+0.03^3,AVERAGE('Valuation Model'!$K$22:$L$22),FALSE)/scaling</f>
        <v>0.24462577131948282</v>
      </c>
    </row>
    <row r="41" spans="10:15" s="77" customFormat="1" ht="11.65">
      <c r="J41" s="84">
        <f t="shared" si="4"/>
        <v>0.72000000000000031</v>
      </c>
      <c r="K41" s="82">
        <f t="shared" ca="1" si="1"/>
        <v>32.400000000000013</v>
      </c>
      <c r="L41" s="85" t="str">
        <f t="shared" ca="1" si="2"/>
        <v/>
      </c>
      <c r="M41" s="83" t="str">
        <f t="shared" ca="1" si="3"/>
        <v/>
      </c>
      <c r="N41" s="82">
        <f ca="1">LN('Histogram Data'!K41+0.01)-LN(price)</f>
        <v>0.20851792210125497</v>
      </c>
      <c r="O41" s="82">
        <f ca="1">_xlfn.NORM.DIST(N41,0+0.03^3,AVERAGE('Valuation Model'!$K$22:$L$22),FALSE)/scaling</f>
        <v>0.22457169113019387</v>
      </c>
    </row>
    <row r="42" spans="10:15" s="77" customFormat="1" ht="11.65">
      <c r="J42" s="84">
        <f t="shared" si="4"/>
        <v>0.74000000000000032</v>
      </c>
      <c r="K42" s="82">
        <f t="shared" ca="1" si="1"/>
        <v>33.300000000000011</v>
      </c>
      <c r="L42" s="85" t="str">
        <f t="shared" ca="1" si="2"/>
        <v/>
      </c>
      <c r="M42" s="83" t="str">
        <f t="shared" ca="1" si="3"/>
        <v/>
      </c>
      <c r="N42" s="82">
        <f ca="1">LN('Histogram Data'!K42+0.01)-LN(price)</f>
        <v>0.23590855715338721</v>
      </c>
      <c r="O42" s="82">
        <f ca="1">_xlfn.NORM.DIST(N42,0+0.03^3,AVERAGE('Valuation Model'!$K$22:$L$22),FALSE)/scaling</f>
        <v>0.20420357061514749</v>
      </c>
    </row>
    <row r="43" spans="10:15" s="77" customFormat="1" ht="11.65">
      <c r="J43" s="84">
        <f t="shared" si="4"/>
        <v>0.76000000000000034</v>
      </c>
      <c r="K43" s="82">
        <f t="shared" ca="1" si="1"/>
        <v>34.200000000000017</v>
      </c>
      <c r="L43" s="85" t="str">
        <f t="shared" ca="1" si="2"/>
        <v/>
      </c>
      <c r="M43" s="83" t="str">
        <f t="shared" ca="1" si="3"/>
        <v/>
      </c>
      <c r="N43" s="82">
        <f ca="1">LN('Histogram Data'!K43+0.01)-LN(price)</f>
        <v>0.26256890393731247</v>
      </c>
      <c r="O43" s="82">
        <f ca="1">_xlfn.NORM.DIST(N43,0+0.03^3,AVERAGE('Valuation Model'!$K$22:$L$22),FALSE)/scaling</f>
        <v>0.1840704153145187</v>
      </c>
    </row>
    <row r="44" spans="10:15" s="77" customFormat="1" ht="11.65">
      <c r="J44" s="84">
        <f t="shared" si="4"/>
        <v>0.78000000000000036</v>
      </c>
      <c r="K44" s="82">
        <f t="shared" ca="1" si="1"/>
        <v>35.100000000000016</v>
      </c>
      <c r="L44" s="85">
        <f t="shared" ca="1" si="2"/>
        <v>6.25E-2</v>
      </c>
      <c r="M44" s="83" t="str">
        <f t="shared" ca="1" si="3"/>
        <v/>
      </c>
      <c r="N44" s="82">
        <f ca="1">LN('Histogram Data'!K44+0.01)-LN(price)</f>
        <v>0.28853689512814018</v>
      </c>
      <c r="O44" s="82">
        <f ca="1">_xlfn.NORM.DIST(N44,0+0.03^3,AVERAGE('Valuation Model'!$K$22:$L$22),FALSE)/scaling</f>
        <v>0.16460349139698124</v>
      </c>
    </row>
    <row r="45" spans="10:15" s="77" customFormat="1" ht="11.65">
      <c r="J45" s="84">
        <f t="shared" si="4"/>
        <v>0.80000000000000038</v>
      </c>
      <c r="K45" s="82">
        <f t="shared" ca="1" si="1"/>
        <v>36.000000000000014</v>
      </c>
      <c r="L45" s="85" t="str">
        <f t="shared" ca="1" si="2"/>
        <v/>
      </c>
      <c r="M45" s="83" t="str">
        <f t="shared" ca="1" si="3"/>
        <v/>
      </c>
      <c r="N45" s="82">
        <f ca="1">LN('Histogram Data'!K45+0.01)-LN(price)</f>
        <v>0.31384758260858314</v>
      </c>
      <c r="O45" s="82">
        <f ca="1">_xlfn.NORM.DIST(N45,0+0.03^3,AVERAGE('Valuation Model'!$K$22:$L$22),FALSE)/scaling</f>
        <v>0.14612341465886203</v>
      </c>
    </row>
    <row r="46" spans="10:15" s="77" customFormat="1" ht="11.65">
      <c r="J46" s="84">
        <f t="shared" si="4"/>
        <v>0.8200000000000004</v>
      </c>
      <c r="K46" s="82">
        <f t="shared" ca="1" si="1"/>
        <v>36.90000000000002</v>
      </c>
      <c r="L46" s="85" t="str">
        <f t="shared" ca="1" si="2"/>
        <v/>
      </c>
      <c r="M46" s="83" t="str">
        <f t="shared" ca="1" si="3"/>
        <v/>
      </c>
      <c r="N46" s="82">
        <f ca="1">LN('Histogram Data'!K46+0.01)-LN(price)</f>
        <v>0.33853342198970626</v>
      </c>
      <c r="O46" s="82">
        <f ca="1">_xlfn.NORM.DIST(N46,0+0.03^3,AVERAGE('Valuation Model'!$K$22:$L$22),FALSE)/scaling</f>
        <v>0.12885177332875536</v>
      </c>
    </row>
    <row r="47" spans="10:15" s="77" customFormat="1" ht="11.65">
      <c r="J47" s="84">
        <f t="shared" si="4"/>
        <v>0.84000000000000041</v>
      </c>
      <c r="K47" s="82">
        <f t="shared" ca="1" si="1"/>
        <v>37.800000000000018</v>
      </c>
      <c r="L47" s="85" t="str">
        <f t="shared" ca="1" si="2"/>
        <v/>
      </c>
      <c r="M47" s="83" t="str">
        <f t="shared" ca="1" si="3"/>
        <v/>
      </c>
      <c r="N47" s="82">
        <f ca="1">LN('Histogram Data'!K47+0.01)-LN(price)</f>
        <v>0.36262452285064084</v>
      </c>
      <c r="O47" s="82">
        <f ca="1">_xlfn.NORM.DIST(N47,0+0.03^3,AVERAGE('Valuation Model'!$K$22:$L$22),FALSE)/scaling</f>
        <v>0.11292515681965225</v>
      </c>
    </row>
    <row r="48" spans="10:15" s="77" customFormat="1" ht="11.65">
      <c r="J48" s="84">
        <f t="shared" si="4"/>
        <v>0.86000000000000043</v>
      </c>
      <c r="K48" s="82">
        <f t="shared" ca="1" si="1"/>
        <v>38.700000000000017</v>
      </c>
      <c r="L48" s="85" t="str">
        <f t="shared" ca="1" si="2"/>
        <v/>
      </c>
      <c r="M48" s="83" t="str">
        <f t="shared" ca="1" si="3"/>
        <v/>
      </c>
      <c r="N48" s="82">
        <f ca="1">LN('Histogram Data'!K48+0.01)-LN(price)</f>
        <v>0.38614886953735583</v>
      </c>
      <c r="O48" s="82">
        <f ca="1">_xlfn.NORM.DIST(N48,0+0.03^3,AVERAGE('Valuation Model'!$K$22:$L$22),FALSE)/scaling</f>
        <v>9.8409958594058183E-2</v>
      </c>
    </row>
    <row r="49" spans="10:15" s="77" customFormat="1" ht="11.65">
      <c r="J49" s="84">
        <f t="shared" si="4"/>
        <v>0.88000000000000045</v>
      </c>
      <c r="K49" s="82">
        <f t="shared" ca="1" si="1"/>
        <v>39.600000000000023</v>
      </c>
      <c r="L49" s="85" t="str">
        <f t="shared" ca="1" si="2"/>
        <v/>
      </c>
      <c r="M49" s="83" t="str">
        <f t="shared" ca="1" si="3"/>
        <v/>
      </c>
      <c r="N49" s="82">
        <f ca="1">LN('Histogram Data'!K49+0.01)-LN(price)</f>
        <v>0.40913251658162464</v>
      </c>
      <c r="O49" s="82">
        <f ca="1">_xlfn.NORM.DIST(N49,0+0.03^3,AVERAGE('Valuation Model'!$K$22:$L$22),FALSE)/scaling</f>
        <v>8.5316788870540228E-2</v>
      </c>
    </row>
    <row r="50" spans="10:15" s="77" customFormat="1" ht="11.65">
      <c r="J50" s="84">
        <f t="shared" si="4"/>
        <v>0.90000000000000047</v>
      </c>
      <c r="K50" s="82">
        <f t="shared" ca="1" si="1"/>
        <v>40.500000000000021</v>
      </c>
      <c r="L50" s="85" t="str">
        <f t="shared" ca="1" si="2"/>
        <v/>
      </c>
      <c r="M50" s="83" t="str">
        <f t="shared" ca="1" si="3"/>
        <v/>
      </c>
      <c r="N50" s="82">
        <f ca="1">LN('Histogram Data'!K50+0.01)-LN(price)</f>
        <v>0.43159976216239837</v>
      </c>
      <c r="O50" s="82">
        <f ca="1">_xlfn.NORM.DIST(N50,0+0.03^3,AVERAGE('Valuation Model'!$K$22:$L$22),FALSE)/scaling</f>
        <v>7.3613736835500584E-2</v>
      </c>
    </row>
    <row r="51" spans="10:15" s="77" customFormat="1" ht="11.65">
      <c r="J51" s="84">
        <f t="shared" si="4"/>
        <v>0.92000000000000048</v>
      </c>
      <c r="K51" s="82">
        <f t="shared" ca="1" si="1"/>
        <v>41.40000000000002</v>
      </c>
      <c r="L51" s="85" t="str">
        <f t="shared" ca="1" si="2"/>
        <v/>
      </c>
      <c r="M51" s="83" t="str">
        <f t="shared" ca="1" si="3"/>
        <v/>
      </c>
      <c r="N51" s="82">
        <f ca="1">LN('Histogram Data'!K51+0.01)-LN(price)</f>
        <v>0.45357330250527506</v>
      </c>
      <c r="O51" s="82">
        <f ca="1">_xlfn.NORM.DIST(N51,0+0.03^3,AVERAGE('Valuation Model'!$K$22:$L$22),FALSE)/scaling</f>
        <v>6.3238047898921845E-2</v>
      </c>
    </row>
    <row r="52" spans="10:15" s="77" customFormat="1" ht="11.65">
      <c r="J52" s="84">
        <f t="shared" si="4"/>
        <v>0.9400000000000005</v>
      </c>
      <c r="K52" s="82">
        <f t="shared" ca="1" si="1"/>
        <v>42.300000000000026</v>
      </c>
      <c r="L52" s="85" t="str">
        <f t="shared" ca="1" si="2"/>
        <v/>
      </c>
      <c r="M52" s="83" t="str">
        <f t="shared" ca="1" si="3"/>
        <v/>
      </c>
      <c r="N52" s="82">
        <f ca="1">LN('Histogram Data'!K52+0.01)-LN(price)</f>
        <v>0.47507436967977545</v>
      </c>
      <c r="O52" s="82">
        <f ca="1">_xlfn.NORM.DIST(N52,0+0.03^3,AVERAGE('Valuation Model'!$K$22:$L$22),FALSE)/scaling</f>
        <v>5.4106028670944231E-2</v>
      </c>
    </row>
    <row r="53" spans="10:15" s="77" customFormat="1" ht="11.65">
      <c r="J53" s="84">
        <f t="shared" si="4"/>
        <v>0.96000000000000052</v>
      </c>
      <c r="K53" s="82">
        <f t="shared" ca="1" si="1"/>
        <v>43.200000000000024</v>
      </c>
      <c r="L53" s="85" t="str">
        <f t="shared" ca="1" si="2"/>
        <v/>
      </c>
      <c r="M53" s="83" t="str">
        <f t="shared" ca="1" si="3"/>
        <v/>
      </c>
      <c r="N53" s="82">
        <f ca="1">LN('Histogram Data'!K53+0.01)-LN(price)</f>
        <v>0.49612285489164121</v>
      </c>
      <c r="O53" s="82">
        <f ca="1">_xlfn.NORM.DIST(N53,0+0.03^3,AVERAGE('Valuation Model'!$K$22:$L$22),FALSE)/scaling</f>
        <v>4.6121168175070136E-2</v>
      </c>
    </row>
    <row r="54" spans="10:15" s="77" customFormat="1" ht="11.65">
      <c r="J54" s="84">
        <f t="shared" si="4"/>
        <v>0.98000000000000054</v>
      </c>
      <c r="K54" s="82">
        <f t="shared" ca="1" si="1"/>
        <v>44.100000000000023</v>
      </c>
      <c r="L54" s="85" t="str">
        <f t="shared" ca="1" si="2"/>
        <v/>
      </c>
      <c r="M54" s="83" t="str">
        <f t="shared" ca="1" si="3"/>
        <v/>
      </c>
      <c r="N54" s="82">
        <f ca="1">LN('Histogram Data'!K54+0.01)-LN(price)</f>
        <v>0.51673741906464743</v>
      </c>
      <c r="O54" s="82">
        <f ca="1">_xlfn.NORM.DIST(N54,0+0.03^3,AVERAGE('Valuation Model'!$K$22:$L$22),FALSE)/scaling</f>
        <v>3.9180579742771303E-2</v>
      </c>
    </row>
    <row r="55" spans="10:15">
      <c r="J55" s="84">
        <f t="shared" si="4"/>
        <v>1.0000000000000004</v>
      </c>
      <c r="K55" s="82">
        <f t="shared" ca="1" si="1"/>
        <v>45.000000000000021</v>
      </c>
      <c r="L55" s="85" t="str">
        <f t="shared" ca="1" si="2"/>
        <v/>
      </c>
      <c r="M55" s="83" t="str">
        <f t="shared" ca="1" si="3"/>
        <v/>
      </c>
      <c r="N55" s="82">
        <f ca="1">LN('Histogram Data'!K55+0.01)-LN(price)</f>
        <v>0.53693559225264043</v>
      </c>
      <c r="O55" s="82">
        <f ca="1">_xlfn.NORM.DIST(N55,0+0.03^3,AVERAGE('Valuation Model'!$K$22:$L$22),FALSE)/scaling</f>
        <v>3.317993657513283E-2</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3"/>
  <sheetViews>
    <sheetView topLeftCell="A37" workbookViewId="0">
      <selection activeCell="B71" sqref="B71"/>
    </sheetView>
  </sheetViews>
  <sheetFormatPr defaultRowHeight="14.25"/>
  <cols>
    <col min="1" max="1" width="10.73046875" bestFit="1" customWidth="1"/>
    <col min="3" max="3" width="10.73046875" bestFit="1" customWidth="1"/>
  </cols>
  <sheetData>
    <row r="1" spans="1:3">
      <c r="A1" t="s">
        <v>161</v>
      </c>
      <c r="B1" t="s">
        <v>162</v>
      </c>
    </row>
    <row r="2" spans="1:3">
      <c r="A2" s="131">
        <v>36616</v>
      </c>
      <c r="B2">
        <v>10036.1</v>
      </c>
      <c r="C2" s="131"/>
    </row>
    <row r="3" spans="1:3">
      <c r="A3" s="131">
        <v>36707</v>
      </c>
      <c r="B3">
        <v>10283.700000000001</v>
      </c>
      <c r="C3" s="131"/>
    </row>
    <row r="4" spans="1:3">
      <c r="A4" s="131">
        <v>36799</v>
      </c>
      <c r="B4">
        <v>10363.799999999999</v>
      </c>
      <c r="C4" s="131"/>
    </row>
    <row r="5" spans="1:3">
      <c r="A5" s="131">
        <v>36891</v>
      </c>
      <c r="B5">
        <v>10475.299999999999</v>
      </c>
      <c r="C5" s="131"/>
    </row>
    <row r="6" spans="1:3">
      <c r="A6" s="131">
        <v>36981</v>
      </c>
      <c r="B6">
        <v>10512.5</v>
      </c>
      <c r="C6" s="131"/>
    </row>
    <row r="7" spans="1:3">
      <c r="A7" s="131">
        <v>37072</v>
      </c>
      <c r="B7">
        <v>10641.6</v>
      </c>
      <c r="C7" s="131"/>
    </row>
    <row r="8" spans="1:3">
      <c r="A8" s="131">
        <v>37164</v>
      </c>
      <c r="B8">
        <v>10644.3</v>
      </c>
      <c r="C8" s="131"/>
    </row>
    <row r="9" spans="1:3">
      <c r="A9" s="131">
        <v>37256</v>
      </c>
      <c r="B9">
        <v>10702.7</v>
      </c>
      <c r="C9" s="131"/>
    </row>
    <row r="10" spans="1:3">
      <c r="A10" s="131">
        <v>37346</v>
      </c>
      <c r="B10">
        <v>10837.3</v>
      </c>
      <c r="C10" s="131"/>
    </row>
    <row r="11" spans="1:3">
      <c r="A11" s="131">
        <v>37437</v>
      </c>
      <c r="B11">
        <v>10938</v>
      </c>
      <c r="C11" s="131"/>
    </row>
    <row r="12" spans="1:3">
      <c r="A12" s="131">
        <v>37529</v>
      </c>
      <c r="B12">
        <v>11039.8</v>
      </c>
      <c r="C12" s="131"/>
    </row>
    <row r="13" spans="1:3">
      <c r="A13" s="131">
        <v>37621</v>
      </c>
      <c r="B13">
        <v>11105.7</v>
      </c>
      <c r="C13" s="131"/>
    </row>
    <row r="14" spans="1:3">
      <c r="A14" s="131">
        <v>37711</v>
      </c>
      <c r="B14">
        <v>11230.8</v>
      </c>
      <c r="C14" s="131"/>
    </row>
    <row r="15" spans="1:3">
      <c r="A15" s="131">
        <v>37802</v>
      </c>
      <c r="B15">
        <v>11371.4</v>
      </c>
      <c r="C15" s="131"/>
    </row>
    <row r="16" spans="1:3">
      <c r="A16" s="131">
        <v>37894</v>
      </c>
      <c r="B16">
        <v>11628.4</v>
      </c>
      <c r="C16" s="131"/>
    </row>
    <row r="17" spans="1:3">
      <c r="A17" s="131">
        <v>37986</v>
      </c>
      <c r="B17">
        <v>11818.5</v>
      </c>
      <c r="C17" s="131"/>
    </row>
    <row r="18" spans="1:3">
      <c r="A18" s="131">
        <v>38077</v>
      </c>
      <c r="B18">
        <v>11991.4</v>
      </c>
      <c r="C18" s="131"/>
    </row>
    <row r="19" spans="1:3">
      <c r="A19" s="131">
        <v>38168</v>
      </c>
      <c r="B19">
        <v>12183.5</v>
      </c>
      <c r="C19" s="131"/>
    </row>
    <row r="20" spans="1:3">
      <c r="A20" s="131">
        <v>38260</v>
      </c>
      <c r="B20">
        <v>12369.4</v>
      </c>
      <c r="C20" s="131"/>
    </row>
    <row r="21" spans="1:3">
      <c r="A21" s="131">
        <v>38352</v>
      </c>
      <c r="B21">
        <v>12563.8</v>
      </c>
      <c r="C21" s="131"/>
    </row>
    <row r="22" spans="1:3">
      <c r="A22" s="131">
        <v>38442</v>
      </c>
      <c r="B22">
        <v>12816.2</v>
      </c>
      <c r="C22" s="131"/>
    </row>
    <row r="23" spans="1:3">
      <c r="A23" s="131">
        <v>38533</v>
      </c>
      <c r="B23">
        <v>12975.7</v>
      </c>
      <c r="C23" s="131"/>
    </row>
    <row r="24" spans="1:3">
      <c r="A24" s="131">
        <v>38625</v>
      </c>
      <c r="B24">
        <v>13206.5</v>
      </c>
      <c r="C24" s="131"/>
    </row>
    <row r="25" spans="1:3">
      <c r="A25" s="131">
        <v>38717</v>
      </c>
      <c r="B25">
        <v>13383.3</v>
      </c>
      <c r="C25" s="131"/>
    </row>
    <row r="26" spans="1:3">
      <c r="A26" s="131">
        <v>38807</v>
      </c>
      <c r="B26">
        <v>13649.8</v>
      </c>
      <c r="C26" s="131"/>
    </row>
    <row r="27" spans="1:3">
      <c r="A27" s="131">
        <v>38898</v>
      </c>
      <c r="B27">
        <v>13802.9</v>
      </c>
      <c r="C27" s="131"/>
    </row>
    <row r="28" spans="1:3">
      <c r="A28" s="131">
        <v>38990</v>
      </c>
      <c r="B28">
        <v>13910.5</v>
      </c>
      <c r="C28" s="131"/>
    </row>
    <row r="29" spans="1:3">
      <c r="A29" s="131">
        <v>39082</v>
      </c>
      <c r="B29">
        <v>14068.4</v>
      </c>
    </row>
    <row r="30" spans="1:3">
      <c r="A30" s="131">
        <v>39172</v>
      </c>
      <c r="B30">
        <v>14235</v>
      </c>
    </row>
    <row r="31" spans="1:3">
      <c r="A31" s="131">
        <v>39263</v>
      </c>
      <c r="B31">
        <v>14424.5</v>
      </c>
    </row>
    <row r="32" spans="1:3">
      <c r="A32" s="131">
        <v>39355</v>
      </c>
      <c r="B32">
        <v>14571.9</v>
      </c>
    </row>
    <row r="33" spans="1:2">
      <c r="A33" s="131">
        <v>39447</v>
      </c>
      <c r="B33">
        <v>14690</v>
      </c>
    </row>
    <row r="34" spans="1:2">
      <c r="A34" s="131">
        <v>39538</v>
      </c>
      <c r="B34">
        <v>14672.9</v>
      </c>
    </row>
    <row r="35" spans="1:2">
      <c r="A35" s="131">
        <v>39629</v>
      </c>
      <c r="B35">
        <v>14813</v>
      </c>
    </row>
    <row r="36" spans="1:2">
      <c r="A36" s="131">
        <v>39721</v>
      </c>
      <c r="B36">
        <v>14843</v>
      </c>
    </row>
    <row r="37" spans="1:2">
      <c r="A37" s="131">
        <v>39813</v>
      </c>
      <c r="B37">
        <v>14549.9</v>
      </c>
    </row>
    <row r="38" spans="1:2">
      <c r="A38" s="131">
        <v>39903</v>
      </c>
      <c r="B38">
        <v>14383.9</v>
      </c>
    </row>
    <row r="39" spans="1:2">
      <c r="A39" s="131">
        <v>39994</v>
      </c>
      <c r="B39">
        <v>14340.4</v>
      </c>
    </row>
    <row r="40" spans="1:2">
      <c r="A40" s="131">
        <v>40086</v>
      </c>
      <c r="B40">
        <v>14384.1</v>
      </c>
    </row>
    <row r="41" spans="1:2">
      <c r="A41" s="131">
        <v>40178</v>
      </c>
      <c r="B41">
        <v>14566.5</v>
      </c>
    </row>
    <row r="42" spans="1:2">
      <c r="A42" s="131">
        <v>40268</v>
      </c>
      <c r="B42">
        <v>14681.1</v>
      </c>
    </row>
    <row r="43" spans="1:2">
      <c r="A43" s="131">
        <v>40359</v>
      </c>
      <c r="B43">
        <v>14888.6</v>
      </c>
    </row>
    <row r="44" spans="1:2">
      <c r="A44" s="131">
        <v>40451</v>
      </c>
      <c r="B44">
        <v>15057.7</v>
      </c>
    </row>
    <row r="45" spans="1:2">
      <c r="A45" s="131">
        <v>40543</v>
      </c>
      <c r="B45">
        <v>15230.2</v>
      </c>
    </row>
    <row r="46" spans="1:2">
      <c r="A46" s="131">
        <v>40633</v>
      </c>
      <c r="B46">
        <v>15238.4</v>
      </c>
    </row>
    <row r="47" spans="1:2">
      <c r="A47" s="131">
        <v>40724</v>
      </c>
      <c r="B47">
        <v>15460.9</v>
      </c>
    </row>
    <row r="48" spans="1:2">
      <c r="A48" s="131">
        <v>40816</v>
      </c>
      <c r="B48">
        <v>15587.1</v>
      </c>
    </row>
    <row r="49" spans="1:5">
      <c r="A49" s="131">
        <v>40908</v>
      </c>
      <c r="B49">
        <v>15785.3</v>
      </c>
    </row>
    <row r="50" spans="1:5">
      <c r="A50" s="131">
        <v>40999</v>
      </c>
      <c r="B50">
        <v>15956.5</v>
      </c>
    </row>
    <row r="51" spans="1:5">
      <c r="A51" s="131">
        <v>41090</v>
      </c>
      <c r="B51">
        <v>16094.7</v>
      </c>
    </row>
    <row r="52" spans="1:5">
      <c r="A52" s="131">
        <v>41182</v>
      </c>
      <c r="B52">
        <v>16268.9</v>
      </c>
    </row>
    <row r="53" spans="1:5">
      <c r="A53" s="131">
        <v>41274</v>
      </c>
      <c r="B53">
        <v>16332.5</v>
      </c>
    </row>
    <row r="54" spans="1:5">
      <c r="A54" s="131">
        <v>41364</v>
      </c>
      <c r="B54">
        <v>16502.400000000001</v>
      </c>
    </row>
    <row r="55" spans="1:5">
      <c r="A55" s="131">
        <v>41455</v>
      </c>
      <c r="B55">
        <v>16619.2</v>
      </c>
    </row>
    <row r="56" spans="1:5">
      <c r="A56" s="131">
        <v>41547</v>
      </c>
      <c r="B56">
        <v>16872.3</v>
      </c>
    </row>
    <row r="57" spans="1:5">
      <c r="A57" s="131">
        <v>41639</v>
      </c>
      <c r="B57">
        <v>17078.3</v>
      </c>
    </row>
    <row r="58" spans="1:5">
      <c r="A58" s="131">
        <v>41729</v>
      </c>
      <c r="B58">
        <v>17044</v>
      </c>
    </row>
    <row r="59" spans="1:5">
      <c r="A59" s="131">
        <v>41820</v>
      </c>
      <c r="B59">
        <v>17328.2</v>
      </c>
    </row>
    <row r="60" spans="1:5">
      <c r="A60" s="131">
        <v>41912</v>
      </c>
      <c r="B60">
        <v>17599.8</v>
      </c>
    </row>
    <row r="61" spans="1:5">
      <c r="A61" s="131">
        <v>42004</v>
      </c>
      <c r="B61">
        <v>17703.7</v>
      </c>
    </row>
    <row r="62" spans="1:5">
      <c r="A62" s="131">
        <v>42094</v>
      </c>
      <c r="B62">
        <v>17665</v>
      </c>
      <c r="E62" s="131"/>
    </row>
    <row r="63" spans="1:5">
      <c r="A63" s="131">
        <v>42185</v>
      </c>
      <c r="B63">
        <v>17913.7</v>
      </c>
      <c r="E63" s="131"/>
    </row>
    <row r="64" spans="1:5">
      <c r="A64" s="131">
        <v>42277</v>
      </c>
      <c r="B64">
        <v>18060.2</v>
      </c>
    </row>
    <row r="65" spans="1:2">
      <c r="A65" s="131">
        <v>42369</v>
      </c>
      <c r="B65">
        <v>18164.8</v>
      </c>
    </row>
    <row r="66" spans="1:2">
      <c r="A66" s="131">
        <v>42460</v>
      </c>
      <c r="B66">
        <v>18229.5</v>
      </c>
    </row>
    <row r="67" spans="1:2">
      <c r="A67" s="131">
        <v>42551</v>
      </c>
      <c r="B67">
        <v>18450.099999999999</v>
      </c>
    </row>
    <row r="68" spans="1:2">
      <c r="A68" s="131">
        <v>42643</v>
      </c>
      <c r="B68">
        <v>18651.2</v>
      </c>
    </row>
    <row r="69" spans="1:2">
      <c r="A69" s="131">
        <v>42735</v>
      </c>
      <c r="B69">
        <v>18869.400000000001</v>
      </c>
    </row>
    <row r="70" spans="1:2">
      <c r="A70" s="131">
        <v>42825</v>
      </c>
      <c r="B70" s="139">
        <v>19057.705000000002</v>
      </c>
    </row>
    <row r="71" spans="1:2">
      <c r="A71" s="131">
        <v>42916</v>
      </c>
      <c r="B71" s="139">
        <v>19250.008999999998</v>
      </c>
    </row>
    <row r="72" spans="1:2">
      <c r="A72" s="131">
        <v>43008</v>
      </c>
      <c r="B72">
        <v>19500.601999999999</v>
      </c>
    </row>
    <row r="73" spans="1:2">
      <c r="A73" s="131">
        <v>43100</v>
      </c>
      <c r="B73">
        <v>19754.101999999999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GridLines="0" workbookViewId="0"/>
  </sheetViews>
  <sheetFormatPr defaultRowHeight="14.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4.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2"/>
  <sheetViews>
    <sheetView workbookViewId="0"/>
  </sheetViews>
  <sheetFormatPr defaultRowHeight="14.2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
  <sheetViews>
    <sheetView workbookViewId="0"/>
  </sheetViews>
  <sheetFormatPr defaultRowHeight="14.25"/>
  <cols>
    <col min="1" max="5" width="6.265625" bestFit="1" customWidth="1"/>
    <col min="6" max="7" width="11" bestFit="1" customWidth="1"/>
    <col min="8" max="8" width="6.1328125" bestFit="1" customWidth="1"/>
    <col min="9" max="10" width="11" bestFit="1" customWidth="1"/>
    <col min="11" max="11" width="6.1328125" bestFit="1" customWidth="1"/>
    <col min="12" max="13" width="11" bestFit="1" customWidth="1"/>
    <col min="14" max="14" width="6.1328125" bestFit="1" customWidth="1"/>
    <col min="15" max="16" width="11" bestFit="1" customWidth="1"/>
    <col min="17" max="17" width="6.1328125" bestFit="1" customWidth="1"/>
    <col min="18" max="19" width="11" bestFit="1" customWidth="1"/>
    <col min="20" max="20" width="6.1328125" bestFit="1" customWidth="1"/>
    <col min="21" max="22" width="11" bestFit="1" customWidth="1"/>
    <col min="23" max="23" width="6.1328125" bestFit="1" customWidth="1"/>
    <col min="24" max="25" width="11" bestFit="1" customWidth="1"/>
    <col min="26" max="26" width="6.1328125" bestFit="1" customWidth="1"/>
    <col min="27" max="28" width="11" bestFit="1" customWidth="1"/>
    <col min="29" max="29" width="6.13281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7</vt:i4>
      </vt:variant>
      <vt:variant>
        <vt:lpstr>Named Ranges</vt:lpstr>
      </vt:variant>
      <vt:variant>
        <vt:i4>44</vt:i4>
      </vt:variant>
    </vt:vector>
  </HeadingPairs>
  <TitlesOfParts>
    <vt:vector size="60" baseType="lpstr">
      <vt:lpstr>Valuation Model</vt:lpstr>
      <vt:lpstr>Company Analysis</vt:lpstr>
      <vt:lpstr>Rent Expirations</vt:lpstr>
      <vt:lpstr>Debt Schedule</vt:lpstr>
      <vt:lpstr>Implied G</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2018-05-15T00:39:27Z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{504D94AF-F7F8-4A29-9228-F38A210441E7}</vt:lpwstr>
  </property>
</Properties>
</file>