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xml" ContentType="application/vnd.openxmlformats-officedocument.themeOverrid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2.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3.xml" ContentType="application/vnd.openxmlformats-officedocument.themeOverride+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https://d.docs.live.net/31dfedd50d51e5ce/Documents/Business/Company Research/NFLX - Netflix/"/>
    </mc:Choice>
  </mc:AlternateContent>
  <xr:revisionPtr revIDLastSave="978" documentId="13_ncr:1_{8D10BBBD-8818-4AC9-8307-52204AC4E404}" xr6:coauthVersionLast="31" xr6:coauthVersionMax="31" xr10:uidLastSave="{8AA862D3-DC61-427A-88DB-3FB8077FEE3A}"/>
  <bookViews>
    <workbookView xWindow="480" yWindow="0" windowWidth="18690" windowHeight="15" tabRatio="825" xr2:uid="{00000000-000D-0000-FFFF-FFFF00000000}"/>
  </bookViews>
  <sheets>
    <sheet name="Valuation Model" sheetId="1" r:id="rId1"/>
    <sheet name="Company Analysis" sheetId="19" r:id="rId2"/>
    <sheet name="OCP Calculations" sheetId="30" r:id="rId3"/>
    <sheet name="Segment &amp; Sub Data" sheetId="29" r:id="rId4"/>
    <sheet name="Revenue Model" sheetId="32" r:id="rId5"/>
    <sheet name="Streaming Content" sheetId="31" r:id="rId6"/>
    <sheet name="Graphing Data" sheetId="21" r:id="rId7"/>
    <sheet name="Revenue Chart" sheetId="22" r:id="rId8"/>
    <sheet name="Profit Chart" sheetId="23" r:id="rId9"/>
    <sheet name="ECF to OCP Chart" sheetId="25" r:id="rId10"/>
    <sheet name="ECF Breakdown Chart" sheetId="26" r:id="rId11"/>
    <sheet name="FCFO Chart" sheetId="27" r:id="rId12"/>
    <sheet name="Investment Efficacy Chart" sheetId="28" r:id="rId13"/>
    <sheet name="Valuation Histogram" sheetId="16" r:id="rId14"/>
    <sheet name="Histogram Data" sheetId="17" r:id="rId15"/>
    <sheet name="GDP Data" sheetId="20" r:id="rId16"/>
    <sheet name="Disclaimer" sheetId="18" r:id="rId17"/>
    <sheet name="PSW_Sheet" sheetId="11" state="veryHidden" r:id="rId18"/>
    <sheet name="_SSC" sheetId="12" state="veryHidden" r:id="rId19"/>
    <sheet name="_Options" sheetId="13" state="veryHidden" r:id="rId20"/>
  </sheets>
  <externalReferences>
    <externalReference r:id="rId21"/>
    <externalReference r:id="rId22"/>
    <externalReference r:id="rId23"/>
    <externalReference r:id="rId24"/>
    <externalReference r:id="rId25"/>
    <externalReference r:id="rId26"/>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hidden="1">#REF!</definedName>
    <definedName name="_xlnm._FilterDatabase" localSheetId="14" hidden="1">'Histogram Data'!$B$4:$L$54</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[1]Assumptions!$V$2</definedName>
    <definedName name="AbnormalMultiple">'[1]Valuation Overview'!$J$15</definedName>
    <definedName name="AnalysisDate">'[1]Valuation Overview'!$D$8</definedName>
    <definedName name="ar_AutoRefresh">[2]arConfig_StkPrice!$B$5</definedName>
    <definedName name="ar_enabled">[2]arConfig_StkPrice!$B$3</definedName>
    <definedName name="BestCase">'Valuation Model'!$I$20</definedName>
    <definedName name="BoundLower">'[1]Valuation Overview'!$N$28</definedName>
    <definedName name="BoundUpper">'[1]Valuation Overview'!$N$27</definedName>
    <definedName name="bsEffectPerShare">[3]Model!$C$17</definedName>
    <definedName name="DCFExplicit">[1]Assumptions!$V$102:$Z$102</definedName>
    <definedName name="DCFLastAbnormal">[1]Assumptions!$Z$185</definedName>
    <definedName name="DCFLastExplicit">[1]Assumptions!$Z$102</definedName>
    <definedName name="DiscountRate">'[1]Valuation Overview'!$D$12</definedName>
    <definedName name="DivYield">'[1]Valuation Overview'!$D$14</definedName>
    <definedName name="exp_best">[4]Control!$L$6</definedName>
    <definedName name="exp_likely">[4]Control!$J$6</definedName>
    <definedName name="exp_worst">[4]Control!$K$6</definedName>
    <definedName name="ExplicitYears">'[1]Valuation Overview'!$D$6</definedName>
    <definedName name="FairValue">'[1]Valuation Overview'!$O$10</definedName>
    <definedName name="GrowthRateAbnormal">'[1]Valuation Overview'!$J$13</definedName>
    <definedName name="GrowthYears">'[1]Valuation Overview'!$J$12</definedName>
    <definedName name="Inflation">'[1]Valuation Overview'!$D$15</definedName>
    <definedName name="iVol">'[1]Valuation Overview'!$D$24</definedName>
    <definedName name="iVol2">'[1]Valuation Overview'!$D$25</definedName>
    <definedName name="LikelyCase">[3]Model!$K$22</definedName>
    <definedName name="med_best">[4]Control!$L$7</definedName>
    <definedName name="med_likely">[4]Control!$J$7</definedName>
    <definedName name="med_worst">[4]Control!$K$7</definedName>
    <definedName name="NetDrift">'[1]Valuation Overview'!$D$19</definedName>
    <definedName name="ocp_best">[4]Control!$L$5</definedName>
    <definedName name="ocp_likely">[4]Control!$J$5</definedName>
    <definedName name="ocp_worst">[4]Control!$K$5</definedName>
    <definedName name="OptionChain">'[1]Security Pricing Data'!$F$3:$I$17</definedName>
    <definedName name="OutstandingShares">'[1]Valuation Overview'!$D$17</definedName>
    <definedName name="PerpetualMultiple">'[1]Valuation Overview'!$J$22</definedName>
    <definedName name="price">'Valuation Model'!$G$2</definedName>
    <definedName name="ProfitScenario">[1]Assumptions!$BP$6</definedName>
    <definedName name="ProjectionY1">'[1]Valuation Overview'!$D$7</definedName>
    <definedName name="PSRatioData">[5]Data!$Q$2:$Q$2516</definedName>
    <definedName name="PSRHigh">'Valuation Model'!$P$21</definedName>
    <definedName name="PSRLow">'Valuation Model'!$P$22</definedName>
    <definedName name="rev_best">[4]Control!$L$4</definedName>
    <definedName name="rev_likely">[4]Control!$J$4</definedName>
    <definedName name="rev_worst">[4]Control!$K$4</definedName>
    <definedName name="RevScenario">[1]Assumptions!$BP$4</definedName>
    <definedName name="RiskFree">'[1]Valuation Overview'!$D$13</definedName>
    <definedName name="scaling">'Histogram Data'!$E$1</definedName>
    <definedName name="Scenario1">'Valuation Model'!$G$67</definedName>
    <definedName name="Scenario2">'Valuation Model'!$G$78</definedName>
    <definedName name="Scenario3">'Valuation Model'!$G$89</definedName>
    <definedName name="Scenario4">'Valuation Model'!$G$100</definedName>
    <definedName name="Scenario5">'Valuation Model'!$G$111</definedName>
    <definedName name="Scenario6">'Valuation Model'!$G$122</definedName>
    <definedName name="Scenario7">'Valuation Model'!$G$133</definedName>
    <definedName name="Scenario8">'Valuation Model'!$G$144</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[4]Control!$L$8</definedName>
    <definedName name="StockPriceData">[5]Data!$K$2:$K$2516</definedName>
    <definedName name="TerminalDayCount">[1]Assumptions!$Z$184</definedName>
    <definedName name="TerminalMethod">'[1]Valuation Overview'!$D$11</definedName>
    <definedName name="ticker">'Valuation Model'!$B$2</definedName>
    <definedName name="ValuationMethod">'[1]Valuation Overview'!$D$11</definedName>
    <definedName name="value1">[6]Model!$J$9</definedName>
    <definedName name="value2">[6]Model!$J$10</definedName>
    <definedName name="value3">[6]Model!$J$11</definedName>
    <definedName name="value4">[6]Model!$J$12</definedName>
    <definedName name="value5">[6]Model!$J$13</definedName>
    <definedName name="value6">[6]Model!$J$14</definedName>
    <definedName name="value7">[6]Model!$J$15</definedName>
    <definedName name="value8">[6]Model!$J$16</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"long_term_debt"</definedName>
    <definedName name="YC_LTD_ANN">"long_term_debt_annual"</definedName>
    <definedName name="YC_LTD_CURR">"current_portion_debt"</definedName>
    <definedName name="YC_LTD_CURR_ANN">"current_portion_debt_annual"</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#REF!</definedName>
  </definedNames>
  <calcPr calcId="179017" concurrentCalc="0"/>
</workbook>
</file>

<file path=xl/calcChain.xml><?xml version="1.0" encoding="utf-8"?>
<calcChain xmlns="http://schemas.openxmlformats.org/spreadsheetml/2006/main">
  <c r="B19" i="30" l="1"/>
  <c r="D27" i="30"/>
  <c r="D28" i="30"/>
  <c r="D29" i="30"/>
  <c r="D30" i="30"/>
  <c r="D31" i="30"/>
  <c r="D32" i="30"/>
  <c r="D33" i="30"/>
  <c r="D34" i="30"/>
  <c r="D35" i="30"/>
  <c r="D36" i="30"/>
  <c r="D37" i="30"/>
  <c r="K2" i="21"/>
  <c r="G3" i="32"/>
  <c r="H3" i="32"/>
  <c r="G21" i="32"/>
  <c r="G12" i="32"/>
  <c r="H12" i="32"/>
  <c r="H21" i="32"/>
  <c r="G5" i="32"/>
  <c r="H5" i="32"/>
  <c r="G23" i="32"/>
  <c r="G14" i="32"/>
  <c r="H14" i="32"/>
  <c r="H23" i="32"/>
  <c r="G7" i="32"/>
  <c r="H7" i="32"/>
  <c r="G25" i="32"/>
  <c r="G16" i="32"/>
  <c r="H16" i="32"/>
  <c r="H25" i="32"/>
  <c r="H27" i="32"/>
  <c r="G27" i="32"/>
  <c r="H28" i="32"/>
  <c r="C8" i="1"/>
  <c r="L3" i="21"/>
  <c r="I3" i="32"/>
  <c r="I12" i="32"/>
  <c r="I21" i="32"/>
  <c r="I5" i="32"/>
  <c r="I14" i="32"/>
  <c r="I23" i="32"/>
  <c r="I8" i="32"/>
  <c r="I7" i="32"/>
  <c r="I16" i="32"/>
  <c r="I25" i="32"/>
  <c r="I27" i="32"/>
  <c r="I28" i="32"/>
  <c r="D8" i="1"/>
  <c r="M3" i="21"/>
  <c r="J3" i="32"/>
  <c r="J12" i="32"/>
  <c r="J21" i="32"/>
  <c r="J5" i="32"/>
  <c r="J14" i="32"/>
  <c r="J23" i="32"/>
  <c r="J8" i="32"/>
  <c r="J7" i="32"/>
  <c r="J16" i="32"/>
  <c r="J25" i="32"/>
  <c r="J27" i="32"/>
  <c r="J28" i="32"/>
  <c r="E8" i="1"/>
  <c r="N3" i="21"/>
  <c r="K3" i="32"/>
  <c r="K12" i="32"/>
  <c r="K21" i="32"/>
  <c r="K5" i="32"/>
  <c r="K14" i="32"/>
  <c r="K23" i="32"/>
  <c r="K8" i="32"/>
  <c r="K7" i="32"/>
  <c r="K16" i="32"/>
  <c r="K25" i="32"/>
  <c r="K27" i="32"/>
  <c r="K28" i="32"/>
  <c r="F8" i="1"/>
  <c r="O3" i="21"/>
  <c r="L3" i="32"/>
  <c r="L12" i="32"/>
  <c r="L21" i="32"/>
  <c r="L5" i="32"/>
  <c r="L14" i="32"/>
  <c r="L23" i="32"/>
  <c r="L8" i="32"/>
  <c r="L7" i="32"/>
  <c r="L16" i="32"/>
  <c r="L25" i="32"/>
  <c r="L27" i="32"/>
  <c r="L28" i="32"/>
  <c r="G8" i="1"/>
  <c r="P3" i="21"/>
  <c r="B27" i="30"/>
  <c r="B28" i="30"/>
  <c r="B29" i="30"/>
  <c r="B30" i="30"/>
  <c r="B31" i="30"/>
  <c r="B32" i="30"/>
  <c r="B33" i="30"/>
  <c r="B34" i="30"/>
  <c r="B35" i="30"/>
  <c r="B36" i="30"/>
  <c r="B37" i="30"/>
  <c r="F37" i="30"/>
  <c r="P11" i="21"/>
  <c r="F27" i="30"/>
  <c r="F39" i="30"/>
  <c r="B20" i="30"/>
  <c r="E27" i="30"/>
  <c r="E28" i="30"/>
  <c r="E29" i="30"/>
  <c r="E30" i="30"/>
  <c r="E31" i="30"/>
  <c r="E32" i="30"/>
  <c r="E33" i="30"/>
  <c r="E34" i="30"/>
  <c r="E35" i="30"/>
  <c r="E36" i="30"/>
  <c r="E37" i="30"/>
  <c r="T3" i="32"/>
  <c r="U3" i="32"/>
  <c r="T12" i="32"/>
  <c r="U12" i="32"/>
  <c r="U21" i="32"/>
  <c r="T5" i="32"/>
  <c r="U5" i="32"/>
  <c r="T14" i="32"/>
  <c r="U14" i="32"/>
  <c r="U23" i="32"/>
  <c r="T7" i="32"/>
  <c r="U7" i="32"/>
  <c r="T16" i="32"/>
  <c r="U16" i="32"/>
  <c r="U25" i="32"/>
  <c r="U27" i="32"/>
  <c r="T21" i="32"/>
  <c r="T23" i="32"/>
  <c r="T25" i="32"/>
  <c r="T27" i="32"/>
  <c r="U28" i="32"/>
  <c r="C9" i="1"/>
  <c r="L4" i="21"/>
  <c r="V3" i="32"/>
  <c r="V12" i="32"/>
  <c r="V21" i="32"/>
  <c r="V5" i="32"/>
  <c r="V14" i="32"/>
  <c r="V23" i="32"/>
  <c r="V8" i="32"/>
  <c r="V7" i="32"/>
  <c r="V17" i="32"/>
  <c r="V16" i="32"/>
  <c r="V25" i="32"/>
  <c r="V27" i="32"/>
  <c r="V28" i="32"/>
  <c r="D9" i="1"/>
  <c r="M4" i="21"/>
  <c r="W3" i="32"/>
  <c r="W12" i="32"/>
  <c r="W21" i="32"/>
  <c r="W5" i="32"/>
  <c r="W14" i="32"/>
  <c r="W23" i="32"/>
  <c r="W8" i="32"/>
  <c r="W7" i="32"/>
  <c r="W17" i="32"/>
  <c r="W16" i="32"/>
  <c r="W25" i="32"/>
  <c r="W27" i="32"/>
  <c r="W28" i="32"/>
  <c r="E9" i="1"/>
  <c r="N4" i="21"/>
  <c r="X3" i="32"/>
  <c r="X12" i="32"/>
  <c r="X21" i="32"/>
  <c r="X5" i="32"/>
  <c r="X14" i="32"/>
  <c r="X23" i="32"/>
  <c r="X8" i="32"/>
  <c r="X7" i="32"/>
  <c r="X17" i="32"/>
  <c r="X16" i="32"/>
  <c r="X25" i="32"/>
  <c r="X27" i="32"/>
  <c r="X28" i="32"/>
  <c r="F9" i="1"/>
  <c r="O4" i="21"/>
  <c r="Y3" i="32"/>
  <c r="Y12" i="32"/>
  <c r="Y21" i="32"/>
  <c r="Y5" i="32"/>
  <c r="Y14" i="32"/>
  <c r="Y23" i="32"/>
  <c r="Y8" i="32"/>
  <c r="Y7" i="32"/>
  <c r="Y17" i="32"/>
  <c r="Y16" i="32"/>
  <c r="Y25" i="32"/>
  <c r="Y27" i="32"/>
  <c r="Y28" i="32"/>
  <c r="G9" i="1"/>
  <c r="P4" i="21"/>
  <c r="C27" i="30"/>
  <c r="C28" i="30"/>
  <c r="C29" i="30"/>
  <c r="C30" i="30"/>
  <c r="C31" i="30"/>
  <c r="C32" i="30"/>
  <c r="C33" i="30"/>
  <c r="C34" i="30"/>
  <c r="C35" i="30"/>
  <c r="C36" i="30"/>
  <c r="C37" i="30"/>
  <c r="G37" i="30"/>
  <c r="P12" i="21"/>
  <c r="G27" i="30"/>
  <c r="G39" i="30"/>
  <c r="H37" i="30"/>
  <c r="H27" i="30"/>
  <c r="H39" i="30"/>
  <c r="I37" i="30"/>
  <c r="I27" i="30"/>
  <c r="I39" i="30"/>
  <c r="C18" i="1"/>
  <c r="C17" i="1"/>
  <c r="I29" i="30"/>
  <c r="I30" i="30"/>
  <c r="I31" i="30"/>
  <c r="I32" i="30"/>
  <c r="I33" i="30"/>
  <c r="I34" i="30"/>
  <c r="I35" i="30"/>
  <c r="I36" i="30"/>
  <c r="I28" i="30"/>
  <c r="H29" i="30"/>
  <c r="H30" i="30"/>
  <c r="H31" i="30"/>
  <c r="H32" i="30"/>
  <c r="H33" i="30"/>
  <c r="H34" i="30"/>
  <c r="H35" i="30"/>
  <c r="H36" i="30"/>
  <c r="H28" i="30"/>
  <c r="G29" i="30"/>
  <c r="G30" i="30"/>
  <c r="G31" i="30"/>
  <c r="G32" i="30"/>
  <c r="G33" i="30"/>
  <c r="G34" i="30"/>
  <c r="G35" i="30"/>
  <c r="G36" i="30"/>
  <c r="G28" i="30"/>
  <c r="F29" i="30"/>
  <c r="F30" i="30"/>
  <c r="F31" i="30"/>
  <c r="F32" i="30"/>
  <c r="F33" i="30"/>
  <c r="F34" i="30"/>
  <c r="F35" i="30"/>
  <c r="F36" i="30"/>
  <c r="F28" i="30"/>
  <c r="C25" i="32"/>
  <c r="C7" i="32"/>
  <c r="C16" i="32"/>
  <c r="D25" i="32"/>
  <c r="D7" i="32"/>
  <c r="D16" i="32"/>
  <c r="E25" i="32"/>
  <c r="E7" i="32"/>
  <c r="E16" i="32"/>
  <c r="F25" i="32"/>
  <c r="F7" i="32"/>
  <c r="F16" i="32"/>
  <c r="B25" i="32"/>
  <c r="B7" i="32"/>
  <c r="B16" i="32"/>
  <c r="C23" i="32"/>
  <c r="C5" i="32"/>
  <c r="C14" i="32"/>
  <c r="D23" i="32"/>
  <c r="D5" i="32"/>
  <c r="D14" i="32"/>
  <c r="E23" i="32"/>
  <c r="E5" i="32"/>
  <c r="E14" i="32"/>
  <c r="F23" i="32"/>
  <c r="F5" i="32"/>
  <c r="F14" i="32"/>
  <c r="B23" i="32"/>
  <c r="B5" i="32"/>
  <c r="B14" i="32"/>
  <c r="C21" i="32"/>
  <c r="C3" i="32"/>
  <c r="C12" i="32"/>
  <c r="D21" i="32"/>
  <c r="D3" i="32"/>
  <c r="D12" i="32"/>
  <c r="E21" i="32"/>
  <c r="E3" i="32"/>
  <c r="E12" i="32"/>
  <c r="F21" i="32"/>
  <c r="F3" i="32"/>
  <c r="F12" i="32"/>
  <c r="B21" i="32"/>
  <c r="B3" i="32"/>
  <c r="B12" i="32"/>
  <c r="D20" i="30"/>
  <c r="C20" i="30"/>
  <c r="C19" i="30"/>
  <c r="D19" i="30"/>
  <c r="B58" i="29"/>
  <c r="C58" i="29"/>
  <c r="D58" i="29"/>
  <c r="C57" i="29"/>
  <c r="D57" i="29"/>
  <c r="B57" i="29"/>
  <c r="Y26" i="32"/>
  <c r="X26" i="32"/>
  <c r="W26" i="32"/>
  <c r="V26" i="32"/>
  <c r="U26" i="32"/>
  <c r="Y24" i="32"/>
  <c r="X24" i="32"/>
  <c r="W24" i="32"/>
  <c r="V24" i="32"/>
  <c r="U24" i="32"/>
  <c r="Y22" i="32"/>
  <c r="X22" i="32"/>
  <c r="W22" i="32"/>
  <c r="V22" i="32"/>
  <c r="U22" i="32"/>
  <c r="I24" i="32"/>
  <c r="J24" i="32"/>
  <c r="K24" i="32"/>
  <c r="L24" i="32"/>
  <c r="I26" i="32"/>
  <c r="J26" i="32"/>
  <c r="K26" i="32"/>
  <c r="L26" i="32"/>
  <c r="H26" i="32"/>
  <c r="H24" i="32"/>
  <c r="Y18" i="32"/>
  <c r="X18" i="32"/>
  <c r="W18" i="32"/>
  <c r="V18" i="32"/>
  <c r="U18" i="32"/>
  <c r="T18" i="32"/>
  <c r="S12" i="32"/>
  <c r="S14" i="32"/>
  <c r="S16" i="32"/>
  <c r="S18" i="32"/>
  <c r="R12" i="32"/>
  <c r="R14" i="32"/>
  <c r="R16" i="32"/>
  <c r="R18" i="32"/>
  <c r="Q12" i="32"/>
  <c r="Q14" i="32"/>
  <c r="Q16" i="32"/>
  <c r="Q18" i="32"/>
  <c r="P12" i="32"/>
  <c r="P14" i="32"/>
  <c r="P16" i="32"/>
  <c r="P18" i="32"/>
  <c r="O12" i="32"/>
  <c r="O14" i="32"/>
  <c r="O16" i="32"/>
  <c r="O18" i="32"/>
  <c r="T17" i="32"/>
  <c r="S17" i="32"/>
  <c r="R17" i="32"/>
  <c r="Q17" i="32"/>
  <c r="P17" i="32"/>
  <c r="T15" i="32"/>
  <c r="S15" i="32"/>
  <c r="R15" i="32"/>
  <c r="Q15" i="32"/>
  <c r="P15" i="32"/>
  <c r="T13" i="32"/>
  <c r="S13" i="32"/>
  <c r="R13" i="32"/>
  <c r="Q13" i="32"/>
  <c r="P13" i="32"/>
  <c r="G18" i="32"/>
  <c r="F18" i="32"/>
  <c r="E18" i="32"/>
  <c r="D18" i="32"/>
  <c r="C18" i="32"/>
  <c r="B18" i="32"/>
  <c r="G17" i="32"/>
  <c r="F17" i="32"/>
  <c r="E17" i="32"/>
  <c r="D17" i="32"/>
  <c r="C17" i="32"/>
  <c r="G15" i="32"/>
  <c r="F15" i="32"/>
  <c r="E15" i="32"/>
  <c r="D15" i="32"/>
  <c r="C15" i="32"/>
  <c r="G13" i="32"/>
  <c r="F13" i="32"/>
  <c r="E13" i="32"/>
  <c r="D13" i="32"/>
  <c r="C13" i="32"/>
  <c r="P3" i="32"/>
  <c r="Q3" i="32"/>
  <c r="R3" i="32"/>
  <c r="S3" i="32"/>
  <c r="P5" i="32"/>
  <c r="Q5" i="32"/>
  <c r="R5" i="32"/>
  <c r="S5" i="32"/>
  <c r="P7" i="32"/>
  <c r="Q7" i="32"/>
  <c r="R7" i="32"/>
  <c r="S7" i="32"/>
  <c r="O7" i="32"/>
  <c r="O5" i="32"/>
  <c r="O3" i="32"/>
  <c r="Y9" i="32"/>
  <c r="X9" i="32"/>
  <c r="W9" i="32"/>
  <c r="V9" i="32"/>
  <c r="U9" i="32"/>
  <c r="T9" i="32"/>
  <c r="S9" i="32"/>
  <c r="R9" i="32"/>
  <c r="Q9" i="32"/>
  <c r="P9" i="32"/>
  <c r="O9" i="32"/>
  <c r="T8" i="32"/>
  <c r="S8" i="32"/>
  <c r="R8" i="32"/>
  <c r="Q8" i="32"/>
  <c r="P8" i="32"/>
  <c r="T6" i="32"/>
  <c r="S6" i="32"/>
  <c r="R6" i="32"/>
  <c r="Q6" i="32"/>
  <c r="P6" i="32"/>
  <c r="T4" i="32"/>
  <c r="S4" i="32"/>
  <c r="R4" i="32"/>
  <c r="Q4" i="32"/>
  <c r="P4" i="32"/>
  <c r="H9" i="32"/>
  <c r="I9" i="32"/>
  <c r="J9" i="32"/>
  <c r="K9" i="32"/>
  <c r="L9" i="32"/>
  <c r="G8" i="32"/>
  <c r="F8" i="32"/>
  <c r="E8" i="32"/>
  <c r="D8" i="32"/>
  <c r="C8" i="32"/>
  <c r="G6" i="32"/>
  <c r="F6" i="32"/>
  <c r="E6" i="32"/>
  <c r="D6" i="32"/>
  <c r="C6" i="32"/>
  <c r="G9" i="32"/>
  <c r="F9" i="32"/>
  <c r="E9" i="32"/>
  <c r="D9" i="32"/>
  <c r="C9" i="32"/>
  <c r="B9" i="32"/>
  <c r="G4" i="32"/>
  <c r="F4" i="32"/>
  <c r="E4" i="32"/>
  <c r="D4" i="32"/>
  <c r="C4" i="32"/>
  <c r="S25" i="32"/>
  <c r="T26" i="32"/>
  <c r="R25" i="32"/>
  <c r="S26" i="32"/>
  <c r="Q25" i="32"/>
  <c r="R26" i="32"/>
  <c r="P25" i="32"/>
  <c r="Q26" i="32"/>
  <c r="O25" i="32"/>
  <c r="P26" i="32"/>
  <c r="S23" i="32"/>
  <c r="T24" i="32"/>
  <c r="R23" i="32"/>
  <c r="S24" i="32"/>
  <c r="Q23" i="32"/>
  <c r="R24" i="32"/>
  <c r="P23" i="32"/>
  <c r="Q24" i="32"/>
  <c r="O23" i="32"/>
  <c r="P24" i="32"/>
  <c r="S21" i="32"/>
  <c r="T22" i="32"/>
  <c r="R21" i="32"/>
  <c r="S22" i="32"/>
  <c r="Q21" i="32"/>
  <c r="R22" i="32"/>
  <c r="P21" i="32"/>
  <c r="Q22" i="32"/>
  <c r="O21" i="32"/>
  <c r="P22" i="32"/>
  <c r="G26" i="32"/>
  <c r="F26" i="32"/>
  <c r="E26" i="32"/>
  <c r="D26" i="32"/>
  <c r="C26" i="32"/>
  <c r="G24" i="32"/>
  <c r="F24" i="32"/>
  <c r="E24" i="32"/>
  <c r="D24" i="32"/>
  <c r="C24" i="32"/>
  <c r="D22" i="32"/>
  <c r="E22" i="32"/>
  <c r="F22" i="32"/>
  <c r="G22" i="32"/>
  <c r="C22" i="32"/>
  <c r="S27" i="32"/>
  <c r="R27" i="32"/>
  <c r="Q27" i="32"/>
  <c r="P27" i="32"/>
  <c r="O27" i="32"/>
  <c r="C27" i="32"/>
  <c r="D27" i="32"/>
  <c r="E27" i="32"/>
  <c r="F27" i="32"/>
  <c r="B27" i="32"/>
  <c r="B9" i="31"/>
  <c r="B7" i="31"/>
  <c r="B11" i="31"/>
  <c r="G9" i="31"/>
  <c r="F9" i="31"/>
  <c r="E9" i="31"/>
  <c r="D9" i="31"/>
  <c r="C9" i="31"/>
  <c r="C7" i="31"/>
  <c r="C11" i="31"/>
  <c r="D7" i="31"/>
  <c r="D11" i="31"/>
  <c r="E7" i="31"/>
  <c r="E11" i="31"/>
  <c r="F7" i="31"/>
  <c r="F11" i="31"/>
  <c r="G7" i="31"/>
  <c r="G11" i="31"/>
  <c r="N28" i="29"/>
  <c r="M28" i="29"/>
  <c r="N19" i="29"/>
  <c r="M19" i="29"/>
  <c r="N10" i="29"/>
  <c r="M10" i="29"/>
  <c r="F40" i="29"/>
  <c r="E40" i="29"/>
  <c r="F41" i="29"/>
  <c r="G40" i="29"/>
  <c r="G41" i="29"/>
  <c r="H40" i="29"/>
  <c r="H41" i="29"/>
  <c r="I40" i="29"/>
  <c r="I41" i="29"/>
  <c r="J40" i="29"/>
  <c r="J41" i="29"/>
  <c r="K40" i="29"/>
  <c r="K41" i="29"/>
  <c r="L40" i="29"/>
  <c r="L41" i="29"/>
  <c r="M40" i="29"/>
  <c r="M41" i="29"/>
  <c r="N40" i="29"/>
  <c r="N41" i="29"/>
  <c r="D40" i="29"/>
  <c r="C40" i="29"/>
  <c r="F42" i="29"/>
  <c r="G42" i="29"/>
  <c r="H42" i="29"/>
  <c r="I42" i="29"/>
  <c r="J42" i="29"/>
  <c r="K42" i="29"/>
  <c r="L42" i="29"/>
  <c r="M42" i="29"/>
  <c r="N42" i="29"/>
  <c r="B40" i="29"/>
  <c r="C41" i="29"/>
  <c r="D41" i="29"/>
  <c r="E42" i="29"/>
  <c r="E41" i="29"/>
  <c r="C33" i="29"/>
  <c r="D33" i="29"/>
  <c r="E33" i="29"/>
  <c r="F33" i="29"/>
  <c r="G33" i="29"/>
  <c r="H33" i="29"/>
  <c r="E34" i="29"/>
  <c r="F34" i="29"/>
  <c r="G34" i="29"/>
  <c r="H34" i="29"/>
  <c r="N27" i="29"/>
  <c r="M27" i="29"/>
  <c r="L27" i="29"/>
  <c r="N26" i="29"/>
  <c r="M26" i="29"/>
  <c r="L26" i="29"/>
  <c r="K26" i="29"/>
  <c r="J26" i="29"/>
  <c r="N18" i="29"/>
  <c r="M18" i="29"/>
  <c r="L18" i="29"/>
  <c r="N17" i="29"/>
  <c r="M17" i="29"/>
  <c r="L17" i="29"/>
  <c r="K17" i="29"/>
  <c r="J17" i="29"/>
  <c r="M9" i="29"/>
  <c r="N9" i="29"/>
  <c r="L9" i="29"/>
  <c r="K8" i="29"/>
  <c r="L8" i="29"/>
  <c r="M8" i="29"/>
  <c r="N8" i="29"/>
  <c r="J8" i="29"/>
  <c r="C25" i="19"/>
  <c r="B25" i="19"/>
  <c r="C26" i="19"/>
  <c r="E25" i="19"/>
  <c r="D25" i="19"/>
  <c r="F26" i="19"/>
  <c r="E26" i="19"/>
  <c r="D26" i="19"/>
  <c r="G26" i="19"/>
  <c r="H26" i="19"/>
  <c r="J26" i="19"/>
  <c r="I26" i="19"/>
  <c r="K10" i="19"/>
  <c r="J10" i="19"/>
  <c r="J19" i="19"/>
  <c r="I10" i="19"/>
  <c r="I11" i="19"/>
  <c r="I12" i="19"/>
  <c r="H10" i="19"/>
  <c r="H19" i="19"/>
  <c r="G10" i="19"/>
  <c r="G19" i="19"/>
  <c r="F10" i="19"/>
  <c r="F11" i="19"/>
  <c r="F12" i="19"/>
  <c r="E10" i="19"/>
  <c r="D10" i="19"/>
  <c r="D19" i="19"/>
  <c r="C10" i="19"/>
  <c r="C11" i="19"/>
  <c r="C12" i="19"/>
  <c r="B10" i="19"/>
  <c r="B11" i="19"/>
  <c r="B12" i="19"/>
  <c r="E11" i="19"/>
  <c r="E12" i="19"/>
  <c r="H11" i="19"/>
  <c r="H12" i="19"/>
  <c r="K11" i="19"/>
  <c r="K12" i="19"/>
  <c r="E19" i="19"/>
  <c r="F19" i="19"/>
  <c r="I19" i="19"/>
  <c r="K19" i="19"/>
  <c r="E2" i="30"/>
  <c r="E3" i="30"/>
  <c r="E4" i="30"/>
  <c r="E5" i="30"/>
  <c r="E6" i="30"/>
  <c r="E7" i="30"/>
  <c r="E8" i="30"/>
  <c r="J11" i="19"/>
  <c r="J12" i="19"/>
  <c r="K13" i="19"/>
  <c r="G11" i="19"/>
  <c r="G12" i="19"/>
  <c r="G13" i="19"/>
  <c r="D11" i="19"/>
  <c r="D12" i="19"/>
  <c r="C19" i="19"/>
  <c r="B19" i="19"/>
  <c r="C13" i="19"/>
  <c r="K14" i="19"/>
  <c r="J13" i="19"/>
  <c r="J15" i="19"/>
  <c r="F13" i="19"/>
  <c r="E13" i="19"/>
  <c r="I15" i="19"/>
  <c r="F14" i="19"/>
  <c r="I13" i="19"/>
  <c r="I14" i="19"/>
  <c r="E14" i="19"/>
  <c r="D13" i="19"/>
  <c r="F3" i="30"/>
  <c r="F4" i="30"/>
  <c r="F5" i="30"/>
  <c r="F6" i="30"/>
  <c r="F7" i="30"/>
  <c r="F8" i="30"/>
  <c r="F2" i="30"/>
  <c r="E10" i="30"/>
  <c r="F10" i="30"/>
  <c r="E11" i="30"/>
  <c r="F11" i="30"/>
  <c r="E9" i="30"/>
  <c r="F9" i="30"/>
  <c r="K15" i="19"/>
  <c r="H14" i="19"/>
  <c r="J14" i="19"/>
  <c r="G14" i="19"/>
  <c r="H15" i="19"/>
  <c r="H13" i="19"/>
  <c r="G15" i="19"/>
  <c r="B2" i="19"/>
  <c r="C2" i="19"/>
  <c r="D2" i="19"/>
  <c r="E2" i="19"/>
  <c r="F2" i="19"/>
  <c r="G2" i="19"/>
  <c r="H2" i="19"/>
  <c r="I2" i="19"/>
  <c r="I17" i="19"/>
  <c r="J2" i="19"/>
  <c r="K2" i="19"/>
  <c r="C26" i="21"/>
  <c r="D26" i="21"/>
  <c r="E26" i="21"/>
  <c r="F26" i="21"/>
  <c r="G26" i="21"/>
  <c r="H26" i="21"/>
  <c r="I26" i="21"/>
  <c r="J26" i="21"/>
  <c r="K26" i="21"/>
  <c r="B26" i="21"/>
  <c r="G3" i="1"/>
  <c r="B92" i="1"/>
  <c r="B93" i="1"/>
  <c r="B94" i="1"/>
  <c r="M34" i="21"/>
  <c r="N34" i="21"/>
  <c r="O34" i="21"/>
  <c r="P34" i="21"/>
  <c r="M35" i="21"/>
  <c r="N35" i="21"/>
  <c r="O35" i="21"/>
  <c r="P35" i="21"/>
  <c r="L35" i="21"/>
  <c r="L34" i="21"/>
  <c r="A41" i="21"/>
  <c r="A40" i="21"/>
  <c r="A39" i="21"/>
  <c r="A38" i="21"/>
  <c r="C24" i="21"/>
  <c r="D24" i="21"/>
  <c r="E24" i="21"/>
  <c r="F24" i="21"/>
  <c r="G24" i="21"/>
  <c r="H24" i="21"/>
  <c r="I24" i="21"/>
  <c r="J24" i="21"/>
  <c r="K24" i="21"/>
  <c r="C25" i="21"/>
  <c r="D25" i="21"/>
  <c r="E25" i="21"/>
  <c r="F25" i="21"/>
  <c r="G25" i="21"/>
  <c r="H25" i="21"/>
  <c r="I25" i="21"/>
  <c r="J25" i="21"/>
  <c r="K25" i="21"/>
  <c r="B24" i="21"/>
  <c r="B25" i="21"/>
  <c r="C23" i="21"/>
  <c r="D23" i="21"/>
  <c r="E23" i="21"/>
  <c r="F23" i="21"/>
  <c r="G23" i="21"/>
  <c r="H23" i="21"/>
  <c r="I23" i="21"/>
  <c r="J23" i="21"/>
  <c r="K23" i="21"/>
  <c r="B23" i="21"/>
  <c r="A22" i="21"/>
  <c r="L15" i="21"/>
  <c r="M15" i="21"/>
  <c r="N15" i="21"/>
  <c r="O15" i="21"/>
  <c r="P15" i="21"/>
  <c r="M14" i="21"/>
  <c r="N14" i="21"/>
  <c r="O14" i="21"/>
  <c r="P14" i="21"/>
  <c r="L14" i="21"/>
  <c r="L7" i="21"/>
  <c r="M7" i="21"/>
  <c r="N7" i="21"/>
  <c r="O7" i="21"/>
  <c r="P7" i="21"/>
  <c r="C2" i="21"/>
  <c r="D2" i="21"/>
  <c r="E2" i="21"/>
  <c r="F2" i="21"/>
  <c r="G2" i="21"/>
  <c r="H2" i="21"/>
  <c r="I2" i="21"/>
  <c r="J2" i="21"/>
  <c r="B2" i="21"/>
  <c r="D1" i="21"/>
  <c r="D37" i="21"/>
  <c r="K27" i="19"/>
  <c r="K27" i="21"/>
  <c r="J27" i="19"/>
  <c r="I27" i="19"/>
  <c r="I27" i="21"/>
  <c r="H27" i="19"/>
  <c r="H27" i="21"/>
  <c r="G27" i="19"/>
  <c r="G27" i="21"/>
  <c r="F27" i="19"/>
  <c r="F27" i="21"/>
  <c r="E27" i="19"/>
  <c r="E27" i="21"/>
  <c r="D27" i="19"/>
  <c r="D27" i="21"/>
  <c r="C27" i="19"/>
  <c r="C27" i="21"/>
  <c r="B27" i="19"/>
  <c r="K22" i="21"/>
  <c r="J22" i="21"/>
  <c r="I22" i="21"/>
  <c r="H22" i="21"/>
  <c r="G22" i="21"/>
  <c r="E22" i="21"/>
  <c r="D22" i="21"/>
  <c r="C22" i="21"/>
  <c r="K10" i="21"/>
  <c r="J10" i="21"/>
  <c r="I10" i="21"/>
  <c r="H10" i="21"/>
  <c r="G10" i="21"/>
  <c r="E10" i="21"/>
  <c r="D10" i="21"/>
  <c r="D38" i="21"/>
  <c r="C10" i="21"/>
  <c r="K6" i="19"/>
  <c r="J6" i="19"/>
  <c r="I6" i="19"/>
  <c r="H6" i="19"/>
  <c r="G6" i="19"/>
  <c r="K5" i="19"/>
  <c r="J5" i="19"/>
  <c r="I5" i="19"/>
  <c r="H5" i="19"/>
  <c r="G5" i="19"/>
  <c r="F5" i="19"/>
  <c r="E5" i="19"/>
  <c r="K4" i="19"/>
  <c r="J4" i="19"/>
  <c r="I4" i="19"/>
  <c r="H4" i="19"/>
  <c r="G4" i="19"/>
  <c r="F4" i="19"/>
  <c r="E4" i="19"/>
  <c r="D4" i="19"/>
  <c r="C4" i="19"/>
  <c r="I31" i="19"/>
  <c r="D31" i="19"/>
  <c r="B22" i="21"/>
  <c r="C31" i="19"/>
  <c r="J31" i="19"/>
  <c r="H7" i="17"/>
  <c r="G7" i="17"/>
  <c r="G5" i="17"/>
  <c r="G6" i="17"/>
  <c r="G8" i="17"/>
  <c r="G9" i="17"/>
  <c r="G10" i="17"/>
  <c r="G11" i="17"/>
  <c r="G12" i="17"/>
  <c r="E7" i="17"/>
  <c r="H9" i="17"/>
  <c r="H6" i="17"/>
  <c r="H11" i="17"/>
  <c r="E11" i="17"/>
  <c r="H5" i="17"/>
  <c r="C2" i="1"/>
  <c r="H8" i="17"/>
  <c r="E8" i="17"/>
  <c r="H10" i="17"/>
  <c r="E10" i="17"/>
  <c r="H12"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B51" i="1"/>
  <c r="B45" i="1"/>
  <c r="B46" i="1"/>
  <c r="C25" i="1"/>
  <c r="C42" i="1"/>
  <c r="D25" i="1"/>
  <c r="D42" i="1"/>
  <c r="E25" i="1"/>
  <c r="E42" i="1"/>
  <c r="F25" i="1"/>
  <c r="F42" i="1"/>
  <c r="B25" i="1"/>
  <c r="B42" i="1"/>
  <c r="B70" i="1"/>
  <c r="B71" i="1"/>
  <c r="B72" i="1"/>
  <c r="B37" i="1"/>
  <c r="B38" i="1"/>
  <c r="B36" i="1"/>
  <c r="I11" i="1"/>
  <c r="I2" i="1"/>
  <c r="B5" i="17"/>
  <c r="I4" i="1"/>
  <c r="B7" i="17"/>
  <c r="I5" i="1"/>
  <c r="B11" i="17"/>
  <c r="I3" i="1"/>
  <c r="B8" i="17"/>
  <c r="D18" i="1"/>
  <c r="F85" i="1"/>
  <c r="D17" i="1"/>
  <c r="F118" i="1"/>
  <c r="E21" i="1"/>
  <c r="J38" i="19"/>
  <c r="J39" i="19"/>
  <c r="I38" i="19"/>
  <c r="I39" i="19"/>
  <c r="J40" i="19"/>
  <c r="J17" i="19"/>
  <c r="F38" i="19"/>
  <c r="F39" i="19"/>
  <c r="E38" i="19"/>
  <c r="E39" i="19"/>
  <c r="F40" i="19"/>
  <c r="F17" i="19"/>
  <c r="B38" i="19"/>
  <c r="B39" i="19"/>
  <c r="B17" i="19"/>
  <c r="B31" i="19"/>
  <c r="D38" i="19"/>
  <c r="D39" i="19"/>
  <c r="E40" i="19"/>
  <c r="E17" i="19"/>
  <c r="J8" i="19"/>
  <c r="B1" i="21"/>
  <c r="H31" i="19"/>
  <c r="H17" i="19"/>
  <c r="D8" i="19"/>
  <c r="D17" i="19"/>
  <c r="F63" i="1"/>
  <c r="F140" i="1"/>
  <c r="B8" i="19"/>
  <c r="F1" i="21"/>
  <c r="F29" i="21"/>
  <c r="K38" i="19"/>
  <c r="K39" i="19"/>
  <c r="K40" i="19"/>
  <c r="K17" i="19"/>
  <c r="G38" i="19"/>
  <c r="G39" i="19"/>
  <c r="H38" i="19"/>
  <c r="H39" i="19"/>
  <c r="I42" i="19"/>
  <c r="G17" i="19"/>
  <c r="C38" i="19"/>
  <c r="C39" i="19"/>
  <c r="E42" i="19"/>
  <c r="C17" i="19"/>
  <c r="F28" i="19"/>
  <c r="F32" i="19"/>
  <c r="B26" i="1"/>
  <c r="C26" i="1"/>
  <c r="C27" i="1"/>
  <c r="C28" i="1"/>
  <c r="C29" i="1"/>
  <c r="C43" i="1"/>
  <c r="B81" i="1"/>
  <c r="B58" i="1"/>
  <c r="C58" i="1"/>
  <c r="J1" i="21"/>
  <c r="J29" i="21"/>
  <c r="F42" i="19"/>
  <c r="E12" i="17"/>
  <c r="C28" i="19"/>
  <c r="C29" i="19"/>
  <c r="E1" i="21"/>
  <c r="J5" i="21"/>
  <c r="F107" i="1"/>
  <c r="E9" i="17"/>
  <c r="I8" i="19"/>
  <c r="E31" i="19"/>
  <c r="I1" i="21"/>
  <c r="E5" i="21"/>
  <c r="I28" i="19"/>
  <c r="I32" i="19"/>
  <c r="D41" i="19"/>
  <c r="H28" i="19"/>
  <c r="H19" i="21"/>
  <c r="I41" i="19"/>
  <c r="E43" i="19"/>
  <c r="B59" i="1"/>
  <c r="B61" i="1"/>
  <c r="E18" i="21"/>
  <c r="E38" i="21"/>
  <c r="E13" i="21"/>
  <c r="K28" i="19"/>
  <c r="K29" i="19"/>
  <c r="F9" i="21"/>
  <c r="F17" i="21"/>
  <c r="F21" i="21"/>
  <c r="F5" i="21"/>
  <c r="E5" i="17"/>
  <c r="F8" i="19"/>
  <c r="J28" i="19"/>
  <c r="J29" i="19"/>
  <c r="F74" i="1"/>
  <c r="F96" i="1"/>
  <c r="B60" i="1"/>
  <c r="B53" i="1"/>
  <c r="C92" i="1"/>
  <c r="C93" i="1"/>
  <c r="C94" i="1"/>
  <c r="F31" i="19"/>
  <c r="K45" i="19"/>
  <c r="E41" i="19"/>
  <c r="B28" i="19"/>
  <c r="B19" i="21"/>
  <c r="G5" i="21"/>
  <c r="C5" i="21"/>
  <c r="I38" i="21"/>
  <c r="I13" i="21"/>
  <c r="I18" i="21"/>
  <c r="C59" i="1"/>
  <c r="D58" i="1"/>
  <c r="E58" i="1"/>
  <c r="H13" i="21"/>
  <c r="H38" i="21"/>
  <c r="C70" i="1"/>
  <c r="B47" i="1"/>
  <c r="B48" i="1"/>
  <c r="H43" i="19"/>
  <c r="H8" i="19"/>
  <c r="D18" i="21"/>
  <c r="E29" i="21"/>
  <c r="E6" i="17"/>
  <c r="G41" i="19"/>
  <c r="J45" i="19"/>
  <c r="F22" i="21"/>
  <c r="G28" i="19"/>
  <c r="D9" i="21"/>
  <c r="D17" i="21"/>
  <c r="D21" i="21"/>
  <c r="H1" i="21"/>
  <c r="H29" i="21"/>
  <c r="H41" i="19"/>
  <c r="G43" i="19"/>
  <c r="H45" i="19"/>
  <c r="I45" i="19"/>
  <c r="E28" i="19"/>
  <c r="E8" i="19"/>
  <c r="B27" i="21"/>
  <c r="J27" i="21"/>
  <c r="H5" i="21"/>
  <c r="D5" i="21"/>
  <c r="F129" i="1"/>
  <c r="B27" i="1"/>
  <c r="J18" i="21"/>
  <c r="J38" i="21"/>
  <c r="J13" i="21"/>
  <c r="B52" i="1"/>
  <c r="B54" i="1"/>
  <c r="C13" i="21"/>
  <c r="C18" i="21"/>
  <c r="C38" i="21"/>
  <c r="K13" i="21"/>
  <c r="K38" i="21"/>
  <c r="K18" i="21"/>
  <c r="G38" i="21"/>
  <c r="G13" i="21"/>
  <c r="G18" i="21"/>
  <c r="F43" i="19"/>
  <c r="D13" i="21"/>
  <c r="G8" i="19"/>
  <c r="D29" i="21"/>
  <c r="H9" i="21"/>
  <c r="H17" i="21"/>
  <c r="H21" i="21"/>
  <c r="K1" i="21"/>
  <c r="G1" i="21"/>
  <c r="C1" i="21"/>
  <c r="I5" i="21"/>
  <c r="K43" i="19"/>
  <c r="J41" i="19"/>
  <c r="I43" i="19"/>
  <c r="K31" i="19"/>
  <c r="G45" i="19"/>
  <c r="K41" i="19"/>
  <c r="C41" i="19"/>
  <c r="F41" i="19"/>
  <c r="F10" i="21"/>
  <c r="B10" i="21"/>
  <c r="H18" i="21"/>
  <c r="D28" i="19"/>
  <c r="H37" i="21"/>
  <c r="B9" i="21"/>
  <c r="B17" i="21"/>
  <c r="B21" i="21"/>
  <c r="K5" i="21"/>
  <c r="G31" i="19"/>
  <c r="J43" i="19"/>
  <c r="C8" i="19"/>
  <c r="K8" i="19"/>
  <c r="B62" i="1"/>
  <c r="B95" i="1"/>
  <c r="B73" i="1"/>
  <c r="C95" i="1"/>
  <c r="K40" i="21"/>
  <c r="C40" i="19"/>
  <c r="G42" i="19"/>
  <c r="D40" i="19"/>
  <c r="G40" i="19"/>
  <c r="G40" i="21"/>
  <c r="G44" i="19"/>
  <c r="I44" i="19"/>
  <c r="D26" i="1"/>
  <c r="B29" i="21"/>
  <c r="B37" i="21"/>
  <c r="F37" i="21"/>
  <c r="F19" i="21"/>
  <c r="F29" i="19"/>
  <c r="J32" i="19"/>
  <c r="J34" i="19"/>
  <c r="J19" i="21"/>
  <c r="H32" i="19"/>
  <c r="H33" i="19"/>
  <c r="C81" i="1"/>
  <c r="B82" i="1"/>
  <c r="B83" i="1"/>
  <c r="B84" i="1"/>
  <c r="J37" i="21"/>
  <c r="J9" i="21"/>
  <c r="J17" i="21"/>
  <c r="J21" i="21"/>
  <c r="C19" i="21"/>
  <c r="I37" i="21"/>
  <c r="I29" i="21"/>
  <c r="I9" i="21"/>
  <c r="I17" i="21"/>
  <c r="I21" i="21"/>
  <c r="C32" i="19"/>
  <c r="C30" i="21"/>
  <c r="C33" i="21"/>
  <c r="E37" i="21"/>
  <c r="E9" i="21"/>
  <c r="E17" i="21"/>
  <c r="E21" i="21"/>
  <c r="H29" i="19"/>
  <c r="E40" i="21"/>
  <c r="I29" i="19"/>
  <c r="I19" i="21"/>
  <c r="E41" i="21"/>
  <c r="D59" i="1"/>
  <c r="D92" i="1"/>
  <c r="B32" i="19"/>
  <c r="B30" i="21"/>
  <c r="B33" i="21"/>
  <c r="J40" i="21"/>
  <c r="B29" i="19"/>
  <c r="K19" i="21"/>
  <c r="K32" i="19"/>
  <c r="K35" i="19"/>
  <c r="G41" i="21"/>
  <c r="F40" i="21"/>
  <c r="J42" i="19"/>
  <c r="J41" i="21"/>
  <c r="J44" i="19"/>
  <c r="K44" i="19"/>
  <c r="I40" i="19"/>
  <c r="H42" i="19"/>
  <c r="H41" i="21"/>
  <c r="H44" i="19"/>
  <c r="H40" i="19"/>
  <c r="H40" i="21"/>
  <c r="I41" i="21"/>
  <c r="F41" i="21"/>
  <c r="K42" i="19"/>
  <c r="K41" i="21"/>
  <c r="L12" i="21"/>
  <c r="L32" i="21"/>
  <c r="I30" i="21"/>
  <c r="I33" i="21"/>
  <c r="I33" i="19"/>
  <c r="D93" i="1"/>
  <c r="D94" i="1"/>
  <c r="D95" i="1"/>
  <c r="E92" i="1"/>
  <c r="F30" i="21"/>
  <c r="F33" i="21"/>
  <c r="F33" i="19"/>
  <c r="G29" i="19"/>
  <c r="G19" i="21"/>
  <c r="G32" i="19"/>
  <c r="E29" i="19"/>
  <c r="E19" i="21"/>
  <c r="E32" i="19"/>
  <c r="C71" i="1"/>
  <c r="C72" i="1"/>
  <c r="C73" i="1"/>
  <c r="D70" i="1"/>
  <c r="C61" i="1"/>
  <c r="C62" i="1"/>
  <c r="C60" i="1"/>
  <c r="B13" i="21"/>
  <c r="B38" i="21"/>
  <c r="B39" i="21"/>
  <c r="C39" i="21"/>
  <c r="B18" i="21"/>
  <c r="C37" i="21"/>
  <c r="C9" i="21"/>
  <c r="C17" i="21"/>
  <c r="C21" i="21"/>
  <c r="C29" i="21"/>
  <c r="F13" i="21"/>
  <c r="F38" i="21"/>
  <c r="F18" i="21"/>
  <c r="G9" i="21"/>
  <c r="G17" i="21"/>
  <c r="G21" i="21"/>
  <c r="G29" i="21"/>
  <c r="G37" i="21"/>
  <c r="D61" i="1"/>
  <c r="D62" i="1"/>
  <c r="D60" i="1"/>
  <c r="K7" i="21"/>
  <c r="K6" i="21"/>
  <c r="K29" i="21"/>
  <c r="K37" i="21"/>
  <c r="L1" i="21"/>
  <c r="K9" i="21"/>
  <c r="K17" i="21"/>
  <c r="K21" i="21"/>
  <c r="K14" i="21"/>
  <c r="K15" i="21"/>
  <c r="E59" i="1"/>
  <c r="F58" i="1"/>
  <c r="F59" i="1"/>
  <c r="D40" i="21"/>
  <c r="D29" i="19"/>
  <c r="D19" i="21"/>
  <c r="D32" i="19"/>
  <c r="C40" i="21"/>
  <c r="I40" i="21"/>
  <c r="B28" i="1"/>
  <c r="B29" i="1"/>
  <c r="E26" i="1"/>
  <c r="D27" i="1"/>
  <c r="D28" i="1"/>
  <c r="D29" i="1"/>
  <c r="D43" i="1"/>
  <c r="D39" i="21"/>
  <c r="E39" i="21"/>
  <c r="F39" i="21"/>
  <c r="G39" i="21"/>
  <c r="C33" i="19"/>
  <c r="H30" i="21"/>
  <c r="H33" i="21"/>
  <c r="I34" i="19"/>
  <c r="J30" i="21"/>
  <c r="J33" i="21"/>
  <c r="J33" i="19"/>
  <c r="J35" i="19"/>
  <c r="K34" i="19"/>
  <c r="C82" i="1"/>
  <c r="C83" i="1"/>
  <c r="C84" i="1"/>
  <c r="D81" i="1"/>
  <c r="J36" i="19"/>
  <c r="C34" i="19"/>
  <c r="B33" i="19"/>
  <c r="K36" i="19"/>
  <c r="K30" i="21"/>
  <c r="K33" i="21"/>
  <c r="K33" i="19"/>
  <c r="H39" i="21"/>
  <c r="I39" i="21"/>
  <c r="J39" i="21"/>
  <c r="K39" i="21"/>
  <c r="E93" i="1"/>
  <c r="E94" i="1"/>
  <c r="E95" i="1"/>
  <c r="F92" i="1"/>
  <c r="F93" i="1"/>
  <c r="F94" i="1"/>
  <c r="M12" i="21"/>
  <c r="M32" i="21"/>
  <c r="E70" i="1"/>
  <c r="D71" i="1"/>
  <c r="D72" i="1"/>
  <c r="D73" i="1"/>
  <c r="E30" i="21"/>
  <c r="E33" i="21"/>
  <c r="E33" i="19"/>
  <c r="F34" i="19"/>
  <c r="G30" i="21"/>
  <c r="G33" i="21"/>
  <c r="G34" i="19"/>
  <c r="I35" i="19"/>
  <c r="G33" i="19"/>
  <c r="H35" i="19"/>
  <c r="H34" i="19"/>
  <c r="D30" i="21"/>
  <c r="D33" i="21"/>
  <c r="G36" i="19"/>
  <c r="E34" i="19"/>
  <c r="F35" i="19"/>
  <c r="D33" i="19"/>
  <c r="E35" i="19"/>
  <c r="D34" i="19"/>
  <c r="G35" i="19"/>
  <c r="H36" i="19"/>
  <c r="I36" i="19"/>
  <c r="F61" i="1"/>
  <c r="F60" i="1"/>
  <c r="L29" i="21"/>
  <c r="L9" i="21"/>
  <c r="M1" i="21"/>
  <c r="B43" i="1"/>
  <c r="E61" i="1"/>
  <c r="E62" i="1"/>
  <c r="E60" i="1"/>
  <c r="F26" i="1"/>
  <c r="E27" i="1"/>
  <c r="D82" i="1"/>
  <c r="D83" i="1"/>
  <c r="D84" i="1"/>
  <c r="E81" i="1"/>
  <c r="K34" i="21"/>
  <c r="K35" i="21"/>
  <c r="N12" i="21"/>
  <c r="N32" i="21"/>
  <c r="F97" i="1"/>
  <c r="F98" i="1"/>
  <c r="G98" i="1"/>
  <c r="F95" i="1"/>
  <c r="G96" i="1"/>
  <c r="F70" i="1"/>
  <c r="F71" i="1"/>
  <c r="F72" i="1"/>
  <c r="E71" i="1"/>
  <c r="E72" i="1"/>
  <c r="E73" i="1"/>
  <c r="N1" i="21"/>
  <c r="M29" i="21"/>
  <c r="M9" i="21"/>
  <c r="F64" i="1"/>
  <c r="F65" i="1"/>
  <c r="G65" i="1"/>
  <c r="F62" i="1"/>
  <c r="G63" i="1"/>
  <c r="E28" i="1"/>
  <c r="E29" i="1"/>
  <c r="L16" i="1"/>
  <c r="F27" i="1"/>
  <c r="E82" i="1"/>
  <c r="E83" i="1"/>
  <c r="E84" i="1"/>
  <c r="F81" i="1"/>
  <c r="F82" i="1"/>
  <c r="F83" i="1"/>
  <c r="G95" i="1"/>
  <c r="G99" i="1"/>
  <c r="G100" i="1"/>
  <c r="K5" i="1"/>
  <c r="C11" i="17"/>
  <c r="F75" i="1"/>
  <c r="F76" i="1"/>
  <c r="G76" i="1"/>
  <c r="F73" i="1"/>
  <c r="G74" i="1"/>
  <c r="P32" i="21"/>
  <c r="O12" i="21"/>
  <c r="O32" i="21"/>
  <c r="G62" i="1"/>
  <c r="G66" i="1"/>
  <c r="G67" i="1"/>
  <c r="K2" i="1"/>
  <c r="C5" i="17"/>
  <c r="O1" i="21"/>
  <c r="N29" i="21"/>
  <c r="N9" i="21"/>
  <c r="E43" i="1"/>
  <c r="F28" i="1"/>
  <c r="F29" i="1"/>
  <c r="F86" i="1"/>
  <c r="F87" i="1"/>
  <c r="G87" i="1"/>
  <c r="F84" i="1"/>
  <c r="G85" i="1"/>
  <c r="G73" i="1"/>
  <c r="G77" i="1"/>
  <c r="G78" i="1"/>
  <c r="K3" i="1"/>
  <c r="C8" i="17"/>
  <c r="O9" i="21"/>
  <c r="P1" i="21"/>
  <c r="O29" i="21"/>
  <c r="F43" i="1"/>
  <c r="C21" i="1"/>
  <c r="B49" i="1"/>
  <c r="B50" i="1"/>
  <c r="D21" i="1"/>
  <c r="L17" i="1"/>
  <c r="G84" i="1"/>
  <c r="G88" i="1"/>
  <c r="G89" i="1"/>
  <c r="K4" i="1"/>
  <c r="C7" i="17"/>
  <c r="P29" i="21"/>
  <c r="P9" i="21"/>
  <c r="B21" i="1"/>
  <c r="F21" i="1"/>
  <c r="B22" i="1"/>
  <c r="C22" i="1"/>
  <c r="D22" i="1"/>
  <c r="L18" i="1"/>
  <c r="I12" i="1"/>
  <c r="E22" i="1"/>
  <c r="B103" i="1"/>
  <c r="B104" i="1"/>
  <c r="B105" i="1"/>
  <c r="B106" i="1"/>
  <c r="C103" i="1"/>
  <c r="C104" i="1"/>
  <c r="C105" i="1"/>
  <c r="C106" i="1"/>
  <c r="D103" i="1"/>
  <c r="D104" i="1"/>
  <c r="D105" i="1"/>
  <c r="D106" i="1"/>
  <c r="E103" i="1"/>
  <c r="E104" i="1"/>
  <c r="E105" i="1"/>
  <c r="E106" i="1"/>
  <c r="F103" i="1"/>
  <c r="F104" i="1"/>
  <c r="F105" i="1"/>
  <c r="F106" i="1"/>
  <c r="G106" i="1"/>
  <c r="G107" i="1"/>
  <c r="F108" i="1"/>
  <c r="F109" i="1"/>
  <c r="G109" i="1"/>
  <c r="G110" i="1"/>
  <c r="G111" i="1"/>
  <c r="K6" i="1"/>
  <c r="C6" i="17"/>
  <c r="B125" i="1"/>
  <c r="B126" i="1"/>
  <c r="B127" i="1"/>
  <c r="B128" i="1"/>
  <c r="C125" i="1"/>
  <c r="C126" i="1"/>
  <c r="C127" i="1"/>
  <c r="C128" i="1"/>
  <c r="D125" i="1"/>
  <c r="D126" i="1"/>
  <c r="D127" i="1"/>
  <c r="D128" i="1"/>
  <c r="E125" i="1"/>
  <c r="E126" i="1"/>
  <c r="E127" i="1"/>
  <c r="E128" i="1"/>
  <c r="F125" i="1"/>
  <c r="F126" i="1"/>
  <c r="F127" i="1"/>
  <c r="F128" i="1"/>
  <c r="G128" i="1"/>
  <c r="G129" i="1"/>
  <c r="F130" i="1"/>
  <c r="F131" i="1"/>
  <c r="G131" i="1"/>
  <c r="G132" i="1"/>
  <c r="G133" i="1"/>
  <c r="K8" i="1"/>
  <c r="C9" i="17"/>
  <c r="B114" i="1"/>
  <c r="B115" i="1"/>
  <c r="B116" i="1"/>
  <c r="B117" i="1"/>
  <c r="C114" i="1"/>
  <c r="C115" i="1"/>
  <c r="C116" i="1"/>
  <c r="C117" i="1"/>
  <c r="D114" i="1"/>
  <c r="D115" i="1"/>
  <c r="D116" i="1"/>
  <c r="D117" i="1"/>
  <c r="E114" i="1"/>
  <c r="E115" i="1"/>
  <c r="E116" i="1"/>
  <c r="E117" i="1"/>
  <c r="F114" i="1"/>
  <c r="F115" i="1"/>
  <c r="F116" i="1"/>
  <c r="F117" i="1"/>
  <c r="G117" i="1"/>
  <c r="G118" i="1"/>
  <c r="F119" i="1"/>
  <c r="F120" i="1"/>
  <c r="G120" i="1"/>
  <c r="G121" i="1"/>
  <c r="G122" i="1"/>
  <c r="K7" i="1"/>
  <c r="C10" i="17"/>
  <c r="B136" i="1"/>
  <c r="B137" i="1"/>
  <c r="B138" i="1"/>
  <c r="B139" i="1"/>
  <c r="C136" i="1"/>
  <c r="C137" i="1"/>
  <c r="C138" i="1"/>
  <c r="C139" i="1"/>
  <c r="D136" i="1"/>
  <c r="D137" i="1"/>
  <c r="D138" i="1"/>
  <c r="D139" i="1"/>
  <c r="E136" i="1"/>
  <c r="E137" i="1"/>
  <c r="E138" i="1"/>
  <c r="E139" i="1"/>
  <c r="F136" i="1"/>
  <c r="F137" i="1"/>
  <c r="F138" i="1"/>
  <c r="F139" i="1"/>
  <c r="G139" i="1"/>
  <c r="G140" i="1"/>
  <c r="F141" i="1"/>
  <c r="F142" i="1"/>
  <c r="G142" i="1"/>
  <c r="G143" i="1"/>
  <c r="G144" i="1"/>
  <c r="K9" i="1"/>
  <c r="C12" i="17"/>
  <c r="B1" i="17"/>
  <c r="K8" i="17"/>
  <c r="K30" i="17"/>
  <c r="K17" i="17"/>
  <c r="K11" i="17"/>
  <c r="K6" i="17"/>
  <c r="K7" i="17"/>
  <c r="K9" i="17"/>
  <c r="K10" i="17"/>
  <c r="K12" i="17"/>
  <c r="K13" i="17"/>
  <c r="K14" i="17"/>
  <c r="K15" i="17"/>
  <c r="K16" i="17"/>
  <c r="K18" i="17"/>
  <c r="K19" i="17"/>
  <c r="K20" i="17"/>
  <c r="K21" i="17"/>
  <c r="K22" i="17"/>
  <c r="K23" i="17"/>
  <c r="K24" i="17"/>
  <c r="K25" i="17"/>
  <c r="K26" i="17"/>
  <c r="K27" i="17"/>
  <c r="K28" i="17"/>
  <c r="K29"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D5" i="17"/>
  <c r="D6" i="17"/>
  <c r="D7" i="17"/>
  <c r="D8" i="17"/>
  <c r="D9" i="17"/>
  <c r="D10" i="17"/>
  <c r="D11" i="17"/>
  <c r="D12" i="17"/>
  <c r="L8" i="17"/>
  <c r="L55" i="17"/>
  <c r="M54" i="17"/>
  <c r="L50" i="17"/>
  <c r="L12" i="17"/>
  <c r="L39" i="17"/>
  <c r="K5" i="17"/>
  <c r="L5" i="17"/>
  <c r="L48" i="17"/>
  <c r="L13" i="17"/>
  <c r="M22" i="17"/>
  <c r="L20" i="17"/>
  <c r="M16" i="17"/>
  <c r="L27" i="17"/>
  <c r="M37" i="17"/>
  <c r="L40" i="17"/>
  <c r="L38" i="17"/>
  <c r="M17" i="17"/>
  <c r="M7" i="17"/>
  <c r="L24" i="17"/>
  <c r="M32" i="17"/>
  <c r="L6" i="17"/>
  <c r="L31" i="17"/>
  <c r="L41" i="17"/>
  <c r="M8" i="17"/>
  <c r="M12" i="17"/>
  <c r="L23" i="17"/>
  <c r="M20" i="17"/>
  <c r="M11" i="17"/>
  <c r="M19" i="17"/>
  <c r="L21" i="17"/>
  <c r="M33" i="17"/>
  <c r="L47" i="17"/>
  <c r="M55" i="17"/>
  <c r="M28" i="17"/>
  <c r="M50" i="17"/>
  <c r="L42" i="17"/>
  <c r="M39" i="17"/>
  <c r="L26" i="17"/>
  <c r="M48" i="17"/>
  <c r="L10" i="17"/>
  <c r="L22" i="17"/>
  <c r="L51" i="17"/>
  <c r="L16" i="17"/>
  <c r="M35" i="17"/>
  <c r="L37" i="17"/>
  <c r="M30" i="17"/>
  <c r="L29" i="17"/>
  <c r="M43" i="17"/>
  <c r="M45" i="17"/>
  <c r="M38" i="17"/>
  <c r="M15" i="17"/>
  <c r="L7" i="17"/>
  <c r="M52" i="17"/>
  <c r="L32" i="17"/>
  <c r="L46" i="17"/>
  <c r="M31" i="17"/>
  <c r="L14" i="17"/>
  <c r="L54" i="17"/>
  <c r="M21" i="17"/>
  <c r="M14" i="17"/>
  <c r="M47" i="17"/>
  <c r="M18" i="17"/>
  <c r="L28" i="17"/>
  <c r="M49" i="17"/>
  <c r="M42" i="17"/>
  <c r="M25" i="17"/>
  <c r="M26" i="17"/>
  <c r="M23" i="17"/>
  <c r="M10" i="17"/>
  <c r="L11" i="17"/>
  <c r="M51" i="17"/>
  <c r="L19" i="17"/>
  <c r="L35" i="17"/>
  <c r="M29" i="17"/>
  <c r="M44" i="17"/>
  <c r="L45" i="17"/>
  <c r="L34" i="17"/>
  <c r="L15" i="17"/>
  <c r="M36" i="17"/>
  <c r="L52" i="17"/>
  <c r="L9" i="17"/>
  <c r="M46" i="17"/>
  <c r="L53" i="17"/>
  <c r="L18" i="17"/>
  <c r="L49" i="17"/>
  <c r="M5" i="17"/>
  <c r="L25" i="17"/>
  <c r="M13" i="17"/>
  <c r="M27" i="17"/>
  <c r="L33" i="17"/>
  <c r="L30" i="17"/>
  <c r="M34" i="17"/>
  <c r="M24" i="17"/>
  <c r="L17" i="17"/>
  <c r="L36" i="17"/>
  <c r="L43" i="17"/>
  <c r="M9" i="17"/>
  <c r="M41" i="17"/>
  <c r="M6" i="17"/>
  <c r="M53" i="17"/>
  <c r="L44" i="17"/>
  <c r="M40" i="17"/>
  <c r="N53" i="17"/>
  <c r="O53" i="17"/>
  <c r="N41" i="17"/>
  <c r="O41" i="17"/>
  <c r="N31" i="17"/>
  <c r="O31" i="17"/>
  <c r="N46" i="17"/>
  <c r="O46" i="17"/>
  <c r="N9" i="17"/>
  <c r="O9" i="17"/>
  <c r="N6" i="17"/>
  <c r="O6" i="17"/>
  <c r="N32" i="17"/>
  <c r="O32" i="17"/>
  <c r="N52" i="17"/>
  <c r="O52" i="17"/>
  <c r="N36" i="17"/>
  <c r="O36" i="17"/>
  <c r="N24" i="17"/>
  <c r="O24" i="17"/>
  <c r="N7" i="17"/>
  <c r="O7" i="17"/>
  <c r="N15" i="17"/>
  <c r="O15" i="17"/>
  <c r="N34" i="17"/>
  <c r="O34" i="17"/>
  <c r="N17" i="17"/>
  <c r="O17" i="17"/>
  <c r="N38" i="17"/>
  <c r="O38" i="17"/>
  <c r="N45" i="17"/>
  <c r="O45" i="17"/>
  <c r="N44" i="17"/>
  <c r="O44" i="17"/>
  <c r="N40" i="17"/>
  <c r="O40" i="17"/>
  <c r="N43" i="17"/>
  <c r="O43" i="17"/>
  <c r="N29" i="17"/>
  <c r="O29" i="17"/>
  <c r="N30" i="17"/>
  <c r="O30" i="17"/>
  <c r="N37" i="17"/>
  <c r="O37" i="17"/>
  <c r="N35" i="17"/>
  <c r="O35" i="17"/>
  <c r="N19" i="17"/>
  <c r="O19" i="17"/>
  <c r="N27" i="17"/>
  <c r="O27" i="17"/>
  <c r="N16" i="17"/>
  <c r="O16" i="17"/>
  <c r="N51" i="17"/>
  <c r="O51" i="17"/>
  <c r="N11" i="17"/>
  <c r="O11" i="17"/>
  <c r="N20" i="17"/>
  <c r="O20" i="17"/>
  <c r="N22" i="17"/>
  <c r="O22" i="17"/>
  <c r="N10" i="17"/>
  <c r="O10" i="17"/>
  <c r="N23" i="17"/>
  <c r="O23" i="17"/>
  <c r="N13" i="17"/>
  <c r="O13" i="17"/>
  <c r="N48" i="17"/>
  <c r="O48" i="17"/>
  <c r="N26" i="17"/>
  <c r="O26" i="17"/>
  <c r="N25" i="17"/>
  <c r="O25" i="17"/>
  <c r="N5" i="17"/>
  <c r="O5" i="17"/>
  <c r="N39" i="17"/>
  <c r="O39" i="17"/>
  <c r="N42" i="17"/>
  <c r="O42" i="17"/>
  <c r="N49" i="17"/>
  <c r="O49" i="17"/>
  <c r="N12" i="17"/>
  <c r="O12" i="17"/>
  <c r="N50" i="17"/>
  <c r="O50" i="17"/>
  <c r="N28" i="17"/>
  <c r="O28" i="17"/>
  <c r="N18" i="17"/>
  <c r="O18" i="17"/>
  <c r="N54" i="17"/>
  <c r="O54" i="17"/>
  <c r="N55" i="17"/>
  <c r="O55" i="17"/>
  <c r="N47" i="17"/>
  <c r="O47" i="17"/>
  <c r="N14" i="17"/>
  <c r="O14" i="17"/>
  <c r="N8" i="17"/>
  <c r="O8" i="17"/>
  <c r="N33" i="17"/>
  <c r="O33" i="17"/>
  <c r="N21" i="17"/>
  <c r="O21" i="17"/>
  <c r="B2" i="17"/>
  <c r="P31" i="21"/>
  <c r="O11" i="21"/>
  <c r="O31" i="21"/>
  <c r="N11" i="21"/>
  <c r="N31" i="21"/>
  <c r="M11" i="21"/>
  <c r="M31" i="21"/>
  <c r="L11" i="21"/>
  <c r="L31" i="21"/>
  <c r="I6" i="1"/>
  <c r="B6" i="17"/>
  <c r="I7" i="1"/>
  <c r="B10" i="17"/>
  <c r="I8" i="1"/>
  <c r="B9" i="17"/>
  <c r="I9" i="1"/>
  <c r="B12" i="17"/>
  <c r="L6" i="21"/>
  <c r="P6" i="21"/>
  <c r="O6" i="21"/>
  <c r="N6" i="21"/>
  <c r="M6" i="21"/>
  <c r="H18" i="32"/>
  <c r="I18" i="32"/>
  <c r="J18" i="32"/>
  <c r="K18" i="32"/>
  <c r="L18" i="32"/>
  <c r="L22" i="32"/>
  <c r="K22" i="32"/>
  <c r="J22" i="32"/>
  <c r="I22" i="32"/>
  <c r="H2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Kobayashi-Solomon</author>
  </authors>
  <commentList>
    <comment ref="I1" authorId="0" shapeId="0" xr:uid="{00000000-0006-0000-0000-00000100000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xr:uid="{00000000-0006-0000-0000-000002000000}">
      <text>
        <r>
          <rPr>
            <b/>
            <sz val="9"/>
            <color indexed="81"/>
            <rFont val="Tahoma"/>
            <family val="2"/>
          </rPr>
          <t>Erik Kobayashi-Solomon:</t>
        </r>
        <r>
          <rPr>
            <sz val="9"/>
            <color indexed="81"/>
            <rFont val="Tahoma"/>
            <family val="2"/>
          </rPr>
          <t xml:space="preserve">
We usually recommend 10% for a large cap firm and 12% for a small cap one.</t>
        </r>
      </text>
    </comment>
    <comment ref="G4" authorId="0" shapeId="0" xr:uid="{94AFE0C0-BCE7-4CC8-B675-C9B67D14FD8E}">
      <text>
        <r>
          <rPr>
            <b/>
            <sz val="9"/>
            <color indexed="81"/>
            <rFont val="Tahoma"/>
            <family val="2"/>
          </rPr>
          <t>Erik Kobayashi-Solomon:</t>
        </r>
        <r>
          <rPr>
            <sz val="9"/>
            <color indexed="81"/>
            <rFont val="Tahoma"/>
            <family val="2"/>
          </rPr>
          <t xml:space="preserve">
2017 10-K (Jan 25, '18)</t>
        </r>
      </text>
    </comment>
    <comment ref="A8" authorId="0" shapeId="0" xr:uid="{00000000-0006-0000-0000-00000300000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3" authorId="0" shapeId="0" xr:uid="{00000000-0006-0000-0000-00000400000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6" authorId="0" shapeId="0" xr:uid="{00000000-0006-0000-0000-00000500000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Kobayashi-Solomon</author>
  </authors>
  <commentList>
    <comment ref="A10" authorId="0" shapeId="0" xr:uid="{00000000-0006-0000-0100-00000100000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xr:uid="{00000000-0006-0000-0100-00000200000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xr:uid="{00000000-0006-0000-0100-00000300000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0" authorId="0" shapeId="0" xr:uid="{00000000-0006-0000-0100-000004000000}">
      <text>
        <r>
          <rPr>
            <b/>
            <sz val="9"/>
            <color indexed="81"/>
            <rFont val="Tahoma"/>
            <family val="2"/>
          </rPr>
          <t>Erik Kobayashi-Solomon:</t>
        </r>
        <r>
          <rPr>
            <sz val="9"/>
            <color indexed="81"/>
            <rFont val="Tahoma"/>
            <family val="2"/>
          </rPr>
          <t xml:space="preserve">
Enter as a positive value.</t>
        </r>
      </text>
    </comment>
    <comment ref="A21" authorId="0" shapeId="0" xr:uid="{00000000-0006-0000-0100-000005000000}">
      <text>
        <r>
          <rPr>
            <b/>
            <sz val="9"/>
            <color indexed="81"/>
            <rFont val="Tahoma"/>
            <family val="2"/>
          </rPr>
          <t>Erik Kobayashi-Solomon:</t>
        </r>
        <r>
          <rPr>
            <sz val="9"/>
            <color indexed="81"/>
            <rFont val="Tahoma"/>
            <family val="2"/>
          </rPr>
          <t xml:space="preserve">
Enter as a negative value.</t>
        </r>
      </text>
    </comment>
    <comment ref="A25" authorId="0" shapeId="0" xr:uid="{00000000-0006-0000-0100-000007000000}">
      <text>
        <r>
          <rPr>
            <b/>
            <sz val="9"/>
            <color indexed="81"/>
            <rFont val="Tahoma"/>
            <family val="2"/>
          </rPr>
          <t>Erik Kobayashi-Solomon:</t>
        </r>
        <r>
          <rPr>
            <sz val="9"/>
            <color indexed="81"/>
            <rFont val="Tahoma"/>
            <family val="2"/>
          </rPr>
          <t xml:space="preserve">
Make sure that you get the units right on this.</t>
        </r>
      </text>
    </comment>
  </commentList>
</comments>
</file>

<file path=xl/sharedStrings.xml><?xml version="1.0" encoding="utf-8"?>
<sst xmlns="http://schemas.openxmlformats.org/spreadsheetml/2006/main" count="501" uniqueCount="243">
  <si>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</si>
  <si>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</si>
  <si>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</si>
  <si>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</si>
  <si>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</si>
  <si>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</si>
  <si>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</si>
  <si>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</si>
  <si>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</si>
  <si>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</si>
  <si>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</si>
  <si>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</si>
  <si>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</si>
  <si>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</si>
  <si>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</si>
  <si>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</si>
  <si>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</si>
  <si>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</si>
  <si>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</si>
  <si>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</si>
  <si>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</si>
  <si>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</si>
  <si>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</si>
  <si>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</si>
  <si>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</si>
  <si>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</si>
  <si>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</si>
  <si>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</si>
  <si>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</si>
  <si>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</si>
  <si>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</si>
  <si>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</si>
  <si>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</si>
  <si>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</si>
  <si>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</si>
  <si>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</si>
  <si>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</si>
  <si>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</si>
  <si>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</si>
  <si>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</si>
  <si>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</si>
  <si>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</si>
  <si>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</si>
  <si>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</si>
  <si>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</si>
  <si>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</si>
  <si>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</si>
  <si>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</si>
  <si>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</si>
  <si>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</si>
  <si>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</si>
  <si>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</si>
  <si>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</si>
  <si>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</si>
  <si>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</si>
  <si>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</si>
  <si>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</si>
  <si>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</si>
  <si>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</si>
  <si>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</si>
  <si>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</si>
  <si>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</si>
  <si>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</si>
  <si>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</si>
  <si>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</si>
  <si>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</si>
  <si>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</si>
  <si>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</si>
  <si>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</si>
  <si>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</si>
  <si>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</si>
  <si>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</si>
  <si>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</si>
  <si>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</si>
  <si>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</si>
  <si>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</si>
  <si>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</si>
  <si>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</si>
  <si>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</si>
  <si>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</si>
  <si>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</si>
  <si>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</si>
  <si>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</si>
  <si>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</si>
  <si>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</si>
  <si>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</si>
  <si>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</si>
  <si>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</si>
  <si>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</si>
  <si>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</si>
  <si>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</si>
  <si>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</si>
  <si>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</si>
  <si>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</si>
  <si>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</si>
  <si>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</si>
  <si>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</si>
  <si>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</si>
  <si>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</si>
  <si>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</si>
  <si>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</si>
  <si>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</si>
  <si>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</si>
  <si>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</si>
  <si>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</si>
  <si>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</si>
  <si>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</si>
  <si>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</si>
  <si>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</si>
  <si>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</si>
  <si>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</si>
  <si>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</si>
  <si>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</si>
  <si>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</si>
  <si>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</si>
  <si>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</si>
  <si>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</si>
  <si>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</si>
  <si>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</si>
  <si>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</si>
  <si>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</si>
  <si>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</si>
  <si>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</si>
  <si>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</si>
  <si>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</si>
  <si>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</si>
  <si>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</si>
  <si>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</si>
  <si>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</si>
  <si>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</si>
  <si>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</si>
  <si>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</si>
  <si>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</si>
  <si>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</si>
  <si>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</si>
  <si>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</si>
  <si>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</si>
  <si>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</si>
  <si>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</si>
  <si>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</si>
  <si>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</si>
  <si>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</si>
  <si>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Cash in-flow from Asset Sales</t>
  </si>
  <si>
    <t>Less: Acquisition Costs</t>
  </si>
  <si>
    <t>Plus / Less: Cash in- / out-flows from JVs</t>
  </si>
  <si>
    <t>Avg Stock Price</t>
  </si>
  <si>
    <t>No. of Shares Issued</t>
  </si>
  <si>
    <t>Cash Received from Stock Issuance</t>
  </si>
  <si>
    <t>Less: Anti-dilutive Stock Buybacks</t>
  </si>
  <si>
    <t>Net Expansionary Cash Flow (ECF)</t>
  </si>
  <si>
    <t>Net ECF % OCP</t>
  </si>
  <si>
    <t>Cash Flow</t>
  </si>
  <si>
    <t>Free Cash Flow to Owners</t>
  </si>
  <si>
    <t>Investment Efficacy</t>
  </si>
  <si>
    <t>Nominal US GDP</t>
  </si>
  <si>
    <t>YoY Change in GDP</t>
  </si>
  <si>
    <t>YoY Change in Company OCP</t>
  </si>
  <si>
    <t>3Y RGR in Nominal US GDP</t>
  </si>
  <si>
    <t>3Y RGR in Company OCP</t>
  </si>
  <si>
    <t>5Y CAGR in Nominal US GDP</t>
  </si>
  <si>
    <t>5Y CAGR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</si>
  <si>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</si>
  <si>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</si>
  <si>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</si>
  <si>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</si>
  <si>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</si>
  <si>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</si>
  <si>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</si>
  <si>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</si>
  <si>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</si>
  <si>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</si>
  <si>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</si>
  <si>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</si>
  <si>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</si>
  <si>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</si>
  <si>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</si>
  <si>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</si>
  <si>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</si>
  <si>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</si>
  <si>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</si>
  <si>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</si>
  <si>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</si>
  <si>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</si>
  <si>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</si>
  <si>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</si>
  <si>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</si>
  <si>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</si>
  <si>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</si>
  <si>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</si>
  <si>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Less: Cash out-flow from Capital Leases</t>
  </si>
  <si>
    <t>Capital Lease Payments</t>
  </si>
  <si>
    <t>Domestic Streaming</t>
  </si>
  <si>
    <t xml:space="preserve"> </t>
  </si>
  <si>
    <t>Net additions</t>
  </si>
  <si>
    <t>Memberships at end of period</t>
  </si>
  <si>
    <t>of which, paid</t>
  </si>
  <si>
    <t>ARPU (monthly)</t>
  </si>
  <si>
    <t>International Streaming</t>
  </si>
  <si>
    <t>Domestic DVD</t>
  </si>
  <si>
    <t>Domestic Streaming Revenues</t>
  </si>
  <si>
    <t>Intl Streaming Revenues</t>
  </si>
  <si>
    <t>Domestic DVD Revenues</t>
  </si>
  <si>
    <t>Depreciation of PPE &amp; Intangibles</t>
  </si>
  <si>
    <t>CFO</t>
  </si>
  <si>
    <t>CPI</t>
  </si>
  <si>
    <t>Estimated Maintenance Capex</t>
  </si>
  <si>
    <t>OCP</t>
  </si>
  <si>
    <t>Netflix</t>
  </si>
  <si>
    <t>NFLX</t>
  </si>
  <si>
    <t>Domestic</t>
  </si>
  <si>
    <t>Unique Subscribers</t>
  </si>
  <si>
    <t>International</t>
  </si>
  <si>
    <t>Subscriber acquisition cost</t>
  </si>
  <si>
    <t>Total Subscribers</t>
  </si>
  <si>
    <t>Years 1-3</t>
  </si>
  <si>
    <t>Years 3-5</t>
  </si>
  <si>
    <t>Years 5+</t>
  </si>
  <si>
    <t>Years 0-1</t>
  </si>
  <si>
    <t>Total Obligations</t>
  </si>
  <si>
    <t>Total Streaming Revenues</t>
  </si>
  <si>
    <t>Revenues / Obligations</t>
  </si>
  <si>
    <t>Int'l Streaming</t>
  </si>
  <si>
    <t>Best Case Revenues</t>
  </si>
  <si>
    <t>Worst Case Revenues</t>
  </si>
  <si>
    <t>Disney Comparables</t>
  </si>
  <si>
    <t>Revenue</t>
  </si>
  <si>
    <t>Operating Income</t>
  </si>
  <si>
    <t>Media Networks</t>
  </si>
  <si>
    <t>Studio Entertainment</t>
  </si>
  <si>
    <t>Op Margin</t>
  </si>
  <si>
    <t>Best-Case</t>
  </si>
  <si>
    <t>Worst-Case</t>
  </si>
  <si>
    <t>year medium-term period</t>
  </si>
  <si>
    <t>Best-Case medium-term growth</t>
  </si>
  <si>
    <t>Worst-Case medium-term growth</t>
  </si>
  <si>
    <t>Y5 OCP margin</t>
  </si>
  <si>
    <t>Ending OCP Margin</t>
  </si>
  <si>
    <t>Best Case Annual Price</t>
  </si>
  <si>
    <t>Worst Case Annual Price</t>
  </si>
  <si>
    <t>Best Case User Count</t>
  </si>
  <si>
    <t>Worst Case User Count</t>
  </si>
  <si>
    <t>Med-Term Growth Rates</t>
  </si>
  <si>
    <t>Y5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</si>
</sst>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s>
  <fonts count="53">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
      <patternFill patternType="solid">
        <fgColor rgb="FF0049AA"/>
        <bgColor indexed="64"/>
      </patternFill>
    </fill>
    <fill>
      <patternFill patternType="solid">
        <fgColor rgb="FFFFC000"/>
        <bgColor indexed="64"/>
      </patternFill>
    </fill>
  </fills>
  <borders count="30">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96">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1" xfId="3" applyFont="1" applyFill="1" applyBorder="1"/>
    <xf numFmtId="165" fontId="0" fillId="2" borderId="1" xfId="1" applyNumberFormat="1" applyFont="1" applyFill="1" applyBorder="1" applyAlignment="1">
      <alignment horizontal="right"/>
    </xf>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5" fontId="0" fillId="2" borderId="0" xfId="1" applyNumberFormat="1" applyFont="1" applyFill="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9" fontId="0" fillId="0" borderId="17"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3" fillId="3" borderId="0" xfId="0" applyFont="1" applyFill="1" applyBorder="1" applyAlignment="1">
      <alignment horizontal="center"/>
    </xf>
    <xf numFmtId="0" fontId="3" fillId="3" borderId="19" xfId="0" applyFont="1" applyFill="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0" fontId="3" fillId="3" borderId="18" xfId="0" applyFont="1" applyFill="1" applyBorder="1"/>
    <xf numFmtId="0" fontId="3" fillId="3" borderId="0" xfId="0" applyFont="1" applyFill="1" applyBorder="1"/>
    <xf numFmtId="167" fontId="0" fillId="0" borderId="6" xfId="0" applyNumberFormat="1" applyBorder="1" applyAlignment="1">
      <alignment horizontal="center"/>
    </xf>
    <xf numFmtId="167" fontId="0" fillId="0" borderId="20" xfId="0" applyNumberFormat="1" applyBorder="1" applyAlignment="1">
      <alignment horizontal="center"/>
    </xf>
    <xf numFmtId="37" fontId="0" fillId="0" borderId="0" xfId="0" applyNumberFormat="1"/>
    <xf numFmtId="206" fontId="6" fillId="0" borderId="0" xfId="0" applyNumberFormat="1" applyFont="1"/>
    <xf numFmtId="165" fontId="0" fillId="2" borderId="1" xfId="1" applyNumberFormat="1" applyFont="1" applyFill="1" applyBorder="1" applyProtection="1">
      <protection locked="0"/>
    </xf>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165" fontId="52" fillId="2" borderId="0" xfId="1" applyNumberFormat="1" applyFont="1" applyFill="1" applyBorder="1" applyProtection="1">
      <protection locked="0"/>
    </xf>
    <xf numFmtId="0" fontId="52" fillId="0" borderId="23" xfId="0" applyFont="1" applyBorder="1" applyAlignment="1">
      <alignment horizontal="left" indent="2"/>
    </xf>
    <xf numFmtId="165" fontId="52" fillId="2" borderId="23" xfId="1" applyNumberFormat="1" applyFont="1" applyFill="1" applyBorder="1" applyProtection="1">
      <protection locked="0"/>
    </xf>
    <xf numFmtId="165" fontId="0" fillId="0" borderId="0" xfId="1" applyNumberFormat="1" applyFont="1" applyFill="1" applyProtection="1">
      <protection locked="0"/>
    </xf>
    <xf numFmtId="0" fontId="0" fillId="0" borderId="2" xfId="0" applyBorder="1"/>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9" fontId="2" fillId="2" borderId="9" xfId="3" applyFont="1" applyFill="1" applyBorder="1"/>
    <xf numFmtId="9" fontId="2" fillId="2" borderId="0" xfId="3" applyFont="1" applyFill="1" applyBorder="1"/>
    <xf numFmtId="38" fontId="0" fillId="0" borderId="0" xfId="0" applyNumberFormat="1"/>
    <xf numFmtId="40" fontId="0" fillId="0" borderId="0" xfId="0" applyNumberFormat="1"/>
    <xf numFmtId="3" fontId="0" fillId="0" borderId="0" xfId="0" applyNumberFormat="1"/>
    <xf numFmtId="10" fontId="0" fillId="0" borderId="0" xfId="0" applyNumberFormat="1" applyAlignment="1">
      <alignment vertical="center" wrapText="1"/>
    </xf>
    <xf numFmtId="10" fontId="0" fillId="0" borderId="0" xfId="0" applyNumberFormat="1" applyAlignment="1">
      <alignment horizontal="center" vertical="center" wrapText="1"/>
    </xf>
    <xf numFmtId="0" fontId="0" fillId="0" borderId="0" xfId="0" applyFill="1" applyBorder="1"/>
    <xf numFmtId="188" fontId="0" fillId="0" borderId="0" xfId="0" applyNumberFormat="1"/>
    <xf numFmtId="4" fontId="0" fillId="0" borderId="0" xfId="0" applyNumberFormat="1"/>
    <xf numFmtId="4" fontId="0" fillId="0" borderId="1" xfId="0" applyNumberFormat="1" applyBorder="1"/>
    <xf numFmtId="4" fontId="0" fillId="0" borderId="0" xfId="0" applyNumberFormat="1" applyBorder="1"/>
    <xf numFmtId="0" fontId="3" fillId="9" borderId="0" xfId="0" applyFont="1" applyFill="1"/>
    <xf numFmtId="0" fontId="43" fillId="10" borderId="0" xfId="0" applyFont="1" applyFill="1"/>
    <xf numFmtId="38" fontId="0" fillId="0" borderId="1" xfId="0" applyNumberFormat="1" applyBorder="1"/>
    <xf numFmtId="9" fontId="0" fillId="2" borderId="0" xfId="0" applyNumberFormat="1" applyFill="1"/>
    <xf numFmtId="38" fontId="0" fillId="0" borderId="5" xfId="0" applyNumberFormat="1" applyBorder="1"/>
    <xf numFmtId="9" fontId="0" fillId="0" borderId="24" xfId="3" applyFont="1" applyBorder="1"/>
    <xf numFmtId="9" fontId="0" fillId="0" borderId="12" xfId="3" applyFont="1" applyBorder="1"/>
    <xf numFmtId="9" fontId="0" fillId="0" borderId="25" xfId="3" applyFont="1" applyBorder="1"/>
    <xf numFmtId="9" fontId="0" fillId="0" borderId="26" xfId="3" applyFont="1" applyBorder="1"/>
    <xf numFmtId="9" fontId="0" fillId="0" borderId="27" xfId="3" applyFont="1" applyBorder="1"/>
    <xf numFmtId="9" fontId="0" fillId="0" borderId="28" xfId="3" applyFont="1" applyBorder="1"/>
    <xf numFmtId="9" fontId="0" fillId="0" borderId="29" xfId="3" applyFont="1" applyBorder="1"/>
    <xf numFmtId="38" fontId="0" fillId="0" borderId="18" xfId="0" applyNumberFormat="1" applyBorder="1"/>
    <xf numFmtId="38" fontId="0" fillId="0" borderId="0" xfId="0" applyNumberFormat="1" applyBorder="1"/>
    <xf numFmtId="0" fontId="0" fillId="0" borderId="19" xfId="0" applyBorder="1"/>
    <xf numFmtId="9" fontId="0" fillId="0" borderId="18" xfId="0" applyNumberFormat="1" applyBorder="1"/>
    <xf numFmtId="165" fontId="0" fillId="0" borderId="18" xfId="1" applyNumberFormat="1" applyFont="1" applyBorder="1"/>
    <xf numFmtId="9" fontId="0" fillId="0" borderId="0" xfId="3" applyFont="1" applyFill="1" applyBorder="1"/>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xf numFmtId="0" fontId="0" fillId="0" borderId="4" xfId="0" applyBorder="1" applyAlignment="1">
      <alignment horizontal="center"/>
    </xf>
    <xf numFmtId="0" fontId="0" fillId="0" borderId="0" xfId="0"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center"/>
    </xf>
  </cellXfs>
  <cellStyles count="127">
    <cellStyle name="$(0)" xfId="8" xr:uid="{00000000-0005-0000-0000-000000000000}"/>
    <cellStyle name="(0)" xfId="9" xr:uid="{00000000-0005-0000-0000-000001000000}"/>
    <cellStyle name="(0.0%)" xfId="10" xr:uid="{00000000-0005-0000-0000-000002000000}"/>
    <cellStyle name="75" xfId="11" xr:uid="{00000000-0005-0000-0000-000003000000}"/>
    <cellStyle name="AcNote" xfId="12" xr:uid="{00000000-0005-0000-0000-000004000000}"/>
    <cellStyle name="ÅëÈ­ [0]_±âÅ¸" xfId="13" xr:uid="{00000000-0005-0000-0000-000005000000}"/>
    <cellStyle name="ÅëÈ­_±âÅ¸" xfId="14" xr:uid="{00000000-0005-0000-0000-000006000000}"/>
    <cellStyle name="args.style" xfId="15" xr:uid="{00000000-0005-0000-0000-000007000000}"/>
    <cellStyle name="ÄÞ¸¶ [0]_±âÅ¸" xfId="16" xr:uid="{00000000-0005-0000-0000-000008000000}"/>
    <cellStyle name="ÄÞ¸¶_±âÅ¸" xfId="17" xr:uid="{00000000-0005-0000-0000-000009000000}"/>
    <cellStyle name="Body" xfId="18" xr:uid="{00000000-0005-0000-0000-00000A000000}"/>
    <cellStyle name="Ç¥ÁØ_¿¬°£´©°è¿¹»ó" xfId="19" xr:uid="{00000000-0005-0000-0000-00000B000000}"/>
    <cellStyle name="Calc Currency (0)" xfId="20" xr:uid="{00000000-0005-0000-0000-00000C000000}"/>
    <cellStyle name="Calc Currency (2)" xfId="21" xr:uid="{00000000-0005-0000-0000-00000D000000}"/>
    <cellStyle name="Calc Percent (0)" xfId="22" xr:uid="{00000000-0005-0000-0000-00000E000000}"/>
    <cellStyle name="Calc Percent (1)" xfId="23" xr:uid="{00000000-0005-0000-0000-00000F000000}"/>
    <cellStyle name="Calc Percent (2)" xfId="24" xr:uid="{00000000-0005-0000-0000-000010000000}"/>
    <cellStyle name="Calc Units (0)" xfId="25" xr:uid="{00000000-0005-0000-0000-000011000000}"/>
    <cellStyle name="Calc Units (1)" xfId="26" xr:uid="{00000000-0005-0000-0000-000012000000}"/>
    <cellStyle name="Calc Units (2)" xfId="27" xr:uid="{00000000-0005-0000-0000-000013000000}"/>
    <cellStyle name="Comma" xfId="1" builtinId="3"/>
    <cellStyle name="Comma  - Style1" xfId="28" xr:uid="{00000000-0005-0000-0000-000015000000}"/>
    <cellStyle name="Comma  - Style2" xfId="29" xr:uid="{00000000-0005-0000-0000-000016000000}"/>
    <cellStyle name="Comma  - Style3" xfId="30" xr:uid="{00000000-0005-0000-0000-000017000000}"/>
    <cellStyle name="Comma  - Style4" xfId="31" xr:uid="{00000000-0005-0000-0000-000018000000}"/>
    <cellStyle name="Comma  - Style5" xfId="32" xr:uid="{00000000-0005-0000-0000-000019000000}"/>
    <cellStyle name="Comma  - Style6" xfId="33" xr:uid="{00000000-0005-0000-0000-00001A000000}"/>
    <cellStyle name="Comma  - Style7" xfId="34" xr:uid="{00000000-0005-0000-0000-00001B000000}"/>
    <cellStyle name="Comma  - Style8" xfId="35" xr:uid="{00000000-0005-0000-0000-00001C000000}"/>
    <cellStyle name="Comma [00]" xfId="36" xr:uid="{00000000-0005-0000-0000-00001D000000}"/>
    <cellStyle name="Comma 2" xfId="6" xr:uid="{00000000-0005-0000-0000-00001E000000}"/>
    <cellStyle name="Comma0" xfId="37" xr:uid="{00000000-0005-0000-0000-00001F000000}"/>
    <cellStyle name="Copied" xfId="38" xr:uid="{00000000-0005-0000-0000-000020000000}"/>
    <cellStyle name="Currency" xfId="2" builtinId="4"/>
    <cellStyle name="Currency [00]" xfId="39" xr:uid="{00000000-0005-0000-0000-000022000000}"/>
    <cellStyle name="Currency 2" xfId="40" xr:uid="{00000000-0005-0000-0000-000023000000}"/>
    <cellStyle name="Currency M*" xfId="41" xr:uid="{00000000-0005-0000-0000-000024000000}"/>
    <cellStyle name="Currency0" xfId="42" xr:uid="{00000000-0005-0000-0000-000025000000}"/>
    <cellStyle name="Currwncy [0]_laroux_1¿ùÈ¸ºñ³»¿ª (2)_±¸¹Ì´ëÃ¥" xfId="43" xr:uid="{00000000-0005-0000-0000-000026000000}"/>
    <cellStyle name="Date" xfId="44" xr:uid="{00000000-0005-0000-0000-000027000000}"/>
    <cellStyle name="Date Short" xfId="45" xr:uid="{00000000-0005-0000-0000-000028000000}"/>
    <cellStyle name="Date_BRANCHWISE FOR BDTEAM FY 07-08(BEFORE AUDIT)" xfId="46" xr:uid="{00000000-0005-0000-0000-000029000000}"/>
    <cellStyle name="DELTA" xfId="47" xr:uid="{00000000-0005-0000-0000-00002A000000}"/>
    <cellStyle name="Dollar" xfId="48" xr:uid="{00000000-0005-0000-0000-00002B000000}"/>
    <cellStyle name="Dollar0Decimals" xfId="49" xr:uid="{00000000-0005-0000-0000-00002C000000}"/>
    <cellStyle name="Dollar2Decimals" xfId="50" xr:uid="{00000000-0005-0000-0000-00002D000000}"/>
    <cellStyle name="Enter Currency (0)" xfId="51" xr:uid="{00000000-0005-0000-0000-00002E000000}"/>
    <cellStyle name="Enter Currency (2)" xfId="52" xr:uid="{00000000-0005-0000-0000-00002F000000}"/>
    <cellStyle name="Enter Units (0)" xfId="53" xr:uid="{00000000-0005-0000-0000-000030000000}"/>
    <cellStyle name="Enter Units (1)" xfId="54" xr:uid="{00000000-0005-0000-0000-000031000000}"/>
    <cellStyle name="Enter Units (2)" xfId="55" xr:uid="{00000000-0005-0000-0000-000032000000}"/>
    <cellStyle name="Entered" xfId="56" xr:uid="{00000000-0005-0000-0000-000033000000}"/>
    <cellStyle name="Euro" xfId="57" xr:uid="{00000000-0005-0000-0000-000034000000}"/>
    <cellStyle name="Fixed" xfId="58" xr:uid="{00000000-0005-0000-0000-000035000000}"/>
    <cellStyle name="Formula" xfId="59" xr:uid="{00000000-0005-0000-0000-000036000000}"/>
    <cellStyle name="Grey" xfId="60" xr:uid="{00000000-0005-0000-0000-000037000000}"/>
    <cellStyle name="Header" xfId="61" xr:uid="{00000000-0005-0000-0000-000038000000}"/>
    <cellStyle name="Header1" xfId="62" xr:uid="{00000000-0005-0000-0000-000039000000}"/>
    <cellStyle name="Header2" xfId="63" xr:uid="{00000000-0005-0000-0000-00003A000000}"/>
    <cellStyle name="HEADINGS" xfId="64" xr:uid="{00000000-0005-0000-0000-00003B000000}"/>
    <cellStyle name="HEADINGSTOP" xfId="65" xr:uid="{00000000-0005-0000-0000-00003C000000}"/>
    <cellStyle name="Hypertextový odkaz" xfId="66" xr:uid="{00000000-0005-0000-0000-00003D000000}"/>
    <cellStyle name="Input [yellow]" xfId="67" xr:uid="{00000000-0005-0000-0000-00003E000000}"/>
    <cellStyle name="Inputs" xfId="68" xr:uid="{00000000-0005-0000-0000-00003F000000}"/>
    <cellStyle name="Link Currency (0)" xfId="69" xr:uid="{00000000-0005-0000-0000-000040000000}"/>
    <cellStyle name="Link Currency (2)" xfId="70" xr:uid="{00000000-0005-0000-0000-000041000000}"/>
    <cellStyle name="Link Units (0)" xfId="71" xr:uid="{00000000-0005-0000-0000-000042000000}"/>
    <cellStyle name="Link Units (1)" xfId="72" xr:uid="{00000000-0005-0000-0000-000043000000}"/>
    <cellStyle name="Link Units (2)" xfId="73" xr:uid="{00000000-0005-0000-0000-000044000000}"/>
    <cellStyle name="Multiple" xfId="74" xr:uid="{00000000-0005-0000-0000-000045000000}"/>
    <cellStyle name="Name" xfId="75" xr:uid="{00000000-0005-0000-0000-000046000000}"/>
    <cellStyle name="New Times Roman" xfId="76" xr:uid="{00000000-0005-0000-0000-000047000000}"/>
    <cellStyle name="NewAcct" xfId="77" xr:uid="{00000000-0005-0000-0000-000048000000}"/>
    <cellStyle name="no dec" xfId="78" xr:uid="{00000000-0005-0000-0000-000049000000}"/>
    <cellStyle name="Normal" xfId="0" builtinId="0"/>
    <cellStyle name="Normal - Style1" xfId="79" xr:uid="{00000000-0005-0000-0000-00004B000000}"/>
    <cellStyle name="Normal 2" xfId="5" xr:uid="{00000000-0005-0000-0000-00004C000000}"/>
    <cellStyle name="Normal 3" xfId="80" xr:uid="{00000000-0005-0000-0000-00004D000000}"/>
    <cellStyle name="Normal 4" xfId="81" xr:uid="{00000000-0005-0000-0000-00004E000000}"/>
    <cellStyle name="Normal 5" xfId="82" xr:uid="{00000000-0005-0000-0000-00004F000000}"/>
    <cellStyle name="Normal 6" xfId="83" xr:uid="{00000000-0005-0000-0000-000050000000}"/>
    <cellStyle name="Normal 6 2" xfId="84" xr:uid="{00000000-0005-0000-0000-000051000000}"/>
    <cellStyle name="Normal 6 3" xfId="4" xr:uid="{00000000-0005-0000-0000-000052000000}"/>
    <cellStyle name="per.style" xfId="85" xr:uid="{00000000-0005-0000-0000-000053000000}"/>
    <cellStyle name="Percent" xfId="3" builtinId="5"/>
    <cellStyle name="Percent [0]" xfId="86" xr:uid="{00000000-0005-0000-0000-000055000000}"/>
    <cellStyle name="Percent [00]" xfId="87" xr:uid="{00000000-0005-0000-0000-000056000000}"/>
    <cellStyle name="Percent [2]" xfId="88" xr:uid="{00000000-0005-0000-0000-000057000000}"/>
    <cellStyle name="Percent 2" xfId="7" xr:uid="{00000000-0005-0000-0000-000058000000}"/>
    <cellStyle name="Plain2Decimals" xfId="89" xr:uid="{00000000-0005-0000-0000-000059000000}"/>
    <cellStyle name="PlainDollar" xfId="90" xr:uid="{00000000-0005-0000-0000-00005A000000}"/>
    <cellStyle name="PlainDollarBoldwBorders" xfId="91" xr:uid="{00000000-0005-0000-0000-00005B000000}"/>
    <cellStyle name="PlainDollardBLUndLine" xfId="92" xr:uid="{00000000-0005-0000-0000-00005C000000}"/>
    <cellStyle name="PlainDollarSS" xfId="93" xr:uid="{00000000-0005-0000-0000-00005D000000}"/>
    <cellStyle name="PlainDollarUndLine" xfId="94" xr:uid="{00000000-0005-0000-0000-00005E000000}"/>
    <cellStyle name="Popis" xfId="95" xr:uid="{00000000-0005-0000-0000-00005F000000}"/>
    <cellStyle name="PrePop Currency (0)" xfId="96" xr:uid="{00000000-0005-0000-0000-000060000000}"/>
    <cellStyle name="PrePop Currency (2)" xfId="97" xr:uid="{00000000-0005-0000-0000-000061000000}"/>
    <cellStyle name="PrePop Units (0)" xfId="98" xr:uid="{00000000-0005-0000-0000-000062000000}"/>
    <cellStyle name="PrePop Units (1)" xfId="99" xr:uid="{00000000-0005-0000-0000-000063000000}"/>
    <cellStyle name="PrePop Units (2)" xfId="100" xr:uid="{00000000-0005-0000-0000-000064000000}"/>
    <cellStyle name="R(0)" xfId="101" xr:uid="{00000000-0005-0000-0000-000065000000}"/>
    <cellStyle name="regstoresfromspecstores" xfId="102" xr:uid="{00000000-0005-0000-0000-000066000000}"/>
    <cellStyle name="RevList" xfId="103" xr:uid="{00000000-0005-0000-0000-000067000000}"/>
    <cellStyle name="Row head" xfId="104" xr:uid="{00000000-0005-0000-0000-000068000000}"/>
    <cellStyle name="SCH1" xfId="105" xr:uid="{00000000-0005-0000-0000-000069000000}"/>
    <cellStyle name="ScratchPad" xfId="106" xr:uid="{00000000-0005-0000-0000-00006A000000}"/>
    <cellStyle name="SHADEDSTORES" xfId="107" xr:uid="{00000000-0005-0000-0000-00006B000000}"/>
    <cellStyle name="Sledovaný hypertextový odkaz" xfId="108" xr:uid="{00000000-0005-0000-0000-00006C000000}"/>
    <cellStyle name="specstores" xfId="109" xr:uid="{00000000-0005-0000-0000-00006D000000}"/>
    <cellStyle name="SSComma0" xfId="110" xr:uid="{00000000-0005-0000-0000-00006E000000}"/>
    <cellStyle name="SSComma2" xfId="111" xr:uid="{00000000-0005-0000-0000-00006F000000}"/>
    <cellStyle name="SSDecs3" xfId="112" xr:uid="{00000000-0005-0000-0000-000070000000}"/>
    <cellStyle name="SSDflt" xfId="113" xr:uid="{00000000-0005-0000-0000-000071000000}"/>
    <cellStyle name="SSDfltPct" xfId="114" xr:uid="{00000000-0005-0000-0000-000072000000}"/>
    <cellStyle name="SSDfltPct0" xfId="115" xr:uid="{00000000-0005-0000-0000-000073000000}"/>
    <cellStyle name="SSFixed2" xfId="116" xr:uid="{00000000-0005-0000-0000-000074000000}"/>
    <cellStyle name="Standard_Balance Sheet" xfId="117" xr:uid="{00000000-0005-0000-0000-000075000000}"/>
    <cellStyle name="Subtotal" xfId="118" xr:uid="{00000000-0005-0000-0000-000076000000}"/>
    <cellStyle name="Text Indent A" xfId="119" xr:uid="{00000000-0005-0000-0000-000077000000}"/>
    <cellStyle name="Text Indent B" xfId="120" xr:uid="{00000000-0005-0000-0000-000078000000}"/>
    <cellStyle name="Text Indent C" xfId="121" xr:uid="{00000000-0005-0000-0000-000079000000}"/>
    <cellStyle name="桁区切り [0.00]_PERSONAL" xfId="122" xr:uid="{00000000-0005-0000-0000-00007A000000}"/>
    <cellStyle name="桁区切り_PERSONAL" xfId="123" xr:uid="{00000000-0005-0000-0000-00007B000000}"/>
    <cellStyle name="標準_PERSONAL" xfId="124" xr:uid="{00000000-0005-0000-0000-00007C000000}"/>
    <cellStyle name="通貨 [0.00]_PERSONAL" xfId="125" xr:uid="{00000000-0005-0000-0000-00007D000000}"/>
    <cellStyle name="通貨_PERSONAL" xfId="126" xr:uid="{00000000-0005-0000-0000-00007E000000}"/>
  </cellStyles>
  <dxfs count="10">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575A5D"/>
      <color rgb="FF004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solidFill>
                <a:latin typeface="Arial Narrow" panose="020B0606020202030204" pitchFamily="34" charset="0"/>
                <a:ea typeface="+mn-ea"/>
                <a:cs typeface="+mn-cs"/>
              </a:defRPr>
            </a:pPr>
            <a:r>
              <a:rPr lang="en-US">
                <a:solidFill>
                  <a:schemeClr val="tx1"/>
                </a:solidFill>
              </a:rPr>
              <a:t>Netflix Revenue Share by Segment (2017)</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pieChart>
        <c:varyColors val="1"/>
        <c:ser>
          <c:idx val="0"/>
          <c:order val="0"/>
          <c:dPt>
            <c:idx val="0"/>
            <c:bubble3D val="0"/>
            <c:spPr>
              <a:solidFill>
                <a:srgbClr val="0049AA"/>
              </a:solidFill>
              <a:ln w="19050">
                <a:solidFill>
                  <a:schemeClr val="lt1"/>
                </a:solidFill>
              </a:ln>
              <a:effectLst/>
            </c:spPr>
            <c:extLst>
              <c:ext xmlns:c16="http://schemas.microsoft.com/office/drawing/2014/chart" uri="{C3380CC4-5D6E-409C-BE32-E72D297353CC}">
                <c16:uniqueId val="{00000001-BFB3-4104-A971-97B3B9C0379C}"/>
              </c:ext>
            </c:extLst>
          </c:dPt>
          <c:dPt>
            <c:idx val="1"/>
            <c:bubble3D val="0"/>
            <c:spPr>
              <a:solidFill>
                <a:srgbClr val="575A5D"/>
              </a:solidFill>
              <a:ln w="19050">
                <a:solidFill>
                  <a:schemeClr val="lt1"/>
                </a:solidFill>
              </a:ln>
              <a:effectLst/>
            </c:spPr>
            <c:extLst>
              <c:ext xmlns:c16="http://schemas.microsoft.com/office/drawing/2014/chart" uri="{C3380CC4-5D6E-409C-BE32-E72D297353CC}">
                <c16:uniqueId val="{00000002-BFB3-4104-A971-97B3B9C0379C}"/>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3-BFB3-4104-A971-97B3B9C0379C}"/>
              </c:ext>
            </c:extLst>
          </c:dPt>
          <c:dLbls>
            <c:dLbl>
              <c:idx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BFB3-4104-A971-97B3B9C0379C}"/>
                </c:ext>
              </c:extLst>
            </c:dLbl>
            <c:dLbl>
              <c:idx val="1"/>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BFB3-4104-A971-97B3B9C0379C}"/>
                </c:ext>
              </c:extLst>
            </c:dLbl>
            <c:dLbl>
              <c:idx val="2"/>
              <c:layout>
                <c:manualLayout>
                  <c:x val="-0.15490048118985131"/>
                  <c:y val="4.894794400699911E-2"/>
                </c:manualLayout>
              </c:layout>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FB3-4104-A971-97B3B9C0379C}"/>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('Segment &amp; Sub Data'!$A$7,'Segment &amp; Sub Data'!$A$16,'Segment &amp; Sub Data'!$A$25)</c:f>
              <c:strCache>
                <c:ptCount val="3"/>
                <c:pt idx="0">
                  <c:v>Domestic Streaming Revenues</c:v>
                </c:pt>
                <c:pt idx="1">
                  <c:v>Intl Streaming Revenues</c:v>
                </c:pt>
                <c:pt idx="2">
                  <c:v>Domestic DVD Revenues</c:v>
                </c:pt>
              </c:strCache>
            </c:strRef>
          </c:cat>
          <c:val>
            <c:numRef>
              <c:f>('Segment &amp; Sub Data'!$N$7,'Segment &amp; Sub Data'!$N$16,'Segment &amp; Sub Data'!$N$25)</c:f>
              <c:numCache>
                <c:formatCode>#,##0_);[Red]\(#,##0\)</c:formatCode>
                <c:ptCount val="3"/>
                <c:pt idx="0">
                  <c:v>6153025</c:v>
                </c:pt>
                <c:pt idx="1">
                  <c:v>5089191</c:v>
                </c:pt>
                <c:pt idx="2">
                  <c:v>450497</c:v>
                </c:pt>
              </c:numCache>
            </c:numRef>
          </c:val>
          <c:extLst>
            <c:ext xmlns:c16="http://schemas.microsoft.com/office/drawing/2014/chart" uri="{C3380CC4-5D6E-409C-BE32-E72D297353CC}">
              <c16:uniqueId val="{00000000-BFB3-4104-A971-97B3B9C037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Narrow" panose="020B060602020203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latin typeface="Arial Narrow" panose="020B0606020202030204" pitchFamily="34" charset="0"/>
              </a:rPr>
              <a:t>Free Cash Flow History &amp; Scenarios</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Data'!$A$30</c:f>
              <c:strCache>
                <c:ptCount val="1"/>
                <c:pt idx="0">
                  <c:v>Historical FCFO (LHS)</c:v>
                </c:pt>
              </c:strCache>
            </c:strRef>
          </c:tx>
          <c:spPr>
            <a:solidFill>
              <a:srgbClr val="0046AD"/>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Data'!$B$30:$P$30</c:f>
              <c:numCache>
                <c:formatCode>_(* #,##0_);_(* \(#,##0\);_(* "-"??_);_(@_)</c:formatCode>
                <c:ptCount val="15"/>
                <c:pt idx="0">
                  <c:v>-570.21580110853142</c:v>
                </c:pt>
                <c:pt idx="1">
                  <c:v>-843.43307338461761</c:v>
                </c:pt>
                <c:pt idx="2">
                  <c:v>-1454.2223541492435</c:v>
                </c:pt>
                <c:pt idx="3">
                  <c:v>-1846.2540032017916</c:v>
                </c:pt>
                <c:pt idx="4">
                  <c:v>-2379.5352941169194</c:v>
                </c:pt>
                <c:pt idx="5">
                  <c:v>-1129.7968722777273</c:v>
                </c:pt>
                <c:pt idx="6">
                  <c:v>-1285.5327455775939</c:v>
                </c:pt>
                <c:pt idx="7">
                  <c:v>-1689.4300661746483</c:v>
                </c:pt>
                <c:pt idx="8">
                  <c:v>-1695.2059120788733</c:v>
                </c:pt>
                <c:pt idx="9">
                  <c:v>-2422.9696771210615</c:v>
                </c:pt>
              </c:numCache>
            </c:numRef>
          </c:val>
          <c:extLst>
            <c:ext xmlns:c16="http://schemas.microsoft.com/office/drawing/2014/chart" uri="{C3380CC4-5D6E-409C-BE32-E72D297353CC}">
              <c16:uniqueId val="{00000000-C675-4998-8FDA-70AF59AE3ABC}"/>
            </c:ext>
          </c:extLst>
        </c:ser>
        <c:ser>
          <c:idx val="1"/>
          <c:order val="1"/>
          <c:tx>
            <c:strRef>
              <c:f>'Graphing Data'!$A$32</c:f>
              <c:strCache>
                <c:ptCount val="1"/>
                <c:pt idx="0">
                  <c:v>Worst Case FCFO (LHS)</c:v>
                </c:pt>
              </c:strCache>
            </c:strRef>
          </c:tx>
          <c:spPr>
            <a:solidFill>
              <a:srgbClr val="FFC000">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Data'!$B$32:$P$32</c:f>
              <c:numCache>
                <c:formatCode>General</c:formatCode>
                <c:ptCount val="15"/>
                <c:pt idx="10" formatCode="_(* #,##0_);_(* \(#,##0\);_(* &quot;-&quot;??_);_(@_)">
                  <c:v>-1989.5844299500002</c:v>
                </c:pt>
                <c:pt idx="11" formatCode="_(* #,##0_);_(* \(#,##0\);_(* &quot;-&quot;??_);_(@_)">
                  <c:v>-2513.0195509103751</c:v>
                </c:pt>
                <c:pt idx="12" formatCode="_(* #,##0_);_(* \(#,##0\);_(* &quot;-&quot;??_);_(@_)">
                  <c:v>-3134.8986176847025</c:v>
                </c:pt>
                <c:pt idx="13" formatCode="_(* #,##0_);_(* \(#,##0\);_(* &quot;-&quot;??_);_(@_)">
                  <c:v>-1838.2204653136032</c:v>
                </c:pt>
                <c:pt idx="14" formatCode="_(* #,##0_);_(* \(#,##0\);_(* &quot;-&quot;??_);_(@_)">
                  <c:v>213.97075062546187</c:v>
                </c:pt>
              </c:numCache>
            </c:numRef>
          </c:val>
          <c:extLst>
            <c:ext xmlns:c16="http://schemas.microsoft.com/office/drawing/2014/chart" uri="{C3380CC4-5D6E-409C-BE32-E72D297353CC}">
              <c16:uniqueId val="{00000001-C675-4998-8FDA-70AF59AE3ABC}"/>
            </c:ext>
          </c:extLst>
        </c:ser>
        <c:ser>
          <c:idx val="2"/>
          <c:order val="2"/>
          <c:tx>
            <c:strRef>
              <c:f>'Graphing Data'!$A$31</c:f>
              <c:strCache>
                <c:ptCount val="1"/>
                <c:pt idx="0">
                  <c:v>Best Case FCFO (LHS)</c:v>
                </c:pt>
              </c:strCache>
            </c:strRef>
          </c:tx>
          <c:spPr>
            <a:solidFill>
              <a:srgbClr val="0046AD">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Data'!$B$31:$P$31</c:f>
              <c:numCache>
                <c:formatCode>General</c:formatCode>
                <c:ptCount val="15"/>
                <c:pt idx="10" formatCode="_(* #,##0_);_(* \(#,##0\);_(* &quot;-&quot;??_);_(@_)">
                  <c:v>-2033.5785587000005</c:v>
                </c:pt>
                <c:pt idx="11" formatCode="_(* #,##0_);_(* \(#,##0\);_(* &quot;-&quot;??_);_(@_)">
                  <c:v>-2777.6433565530006</c:v>
                </c:pt>
                <c:pt idx="12" formatCode="_(* #,##0_);_(* \(#,##0\);_(* &quot;-&quot;??_);_(@_)">
                  <c:v>-2643.9466479599819</c:v>
                </c:pt>
                <c:pt idx="13" formatCode="_(* #,##0_);_(* \(#,##0\);_(* &quot;-&quot;??_);_(@_)">
                  <c:v>-2599.3563833417552</c:v>
                </c:pt>
                <c:pt idx="14" formatCode="_(* #,##0_);_(* \(#,##0\);_(* &quot;-&quot;??_);_(@_)">
                  <c:v>704.18254874993443</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Data'!$A$33</c:f>
              <c:strCache>
                <c:ptCount val="1"/>
                <c:pt idx="0">
                  <c:v>FCFO Margin (RHS)</c:v>
                </c:pt>
              </c:strCache>
            </c:strRef>
          </c:tx>
          <c:spPr>
            <a:ln w="19050" cap="rnd">
              <a:solidFill>
                <a:schemeClr val="tx1"/>
              </a:solidFill>
              <a:round/>
            </a:ln>
            <a:effectLst/>
          </c:spPr>
          <c:marker>
            <c:symbol val="none"/>
          </c:marker>
          <c:cat>
            <c:numRef>
              <c:f>'Graphing Data'!$B$29:$P$29</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Data'!$B$33:$P$33</c:f>
              <c:numCache>
                <c:formatCode>0%</c:formatCode>
                <c:ptCount val="15"/>
                <c:pt idx="0">
                  <c:v>-0.41784428594979367</c:v>
                </c:pt>
                <c:pt idx="1">
                  <c:v>-0.50496840531951293</c:v>
                </c:pt>
                <c:pt idx="2">
                  <c:v>-0.67243389591318126</c:v>
                </c:pt>
                <c:pt idx="3">
                  <c:v>-0.57613032958852028</c:v>
                </c:pt>
                <c:pt idx="4">
                  <c:v>-0.65928217693073565</c:v>
                </c:pt>
                <c:pt idx="5">
                  <c:v>-0.2582651411221803</c:v>
                </c:pt>
                <c:pt idx="6">
                  <c:v>-0.23353552802892569</c:v>
                </c:pt>
                <c:pt idx="7">
                  <c:v>-0.24919644885518266</c:v>
                </c:pt>
                <c:pt idx="8">
                  <c:v>-0.19196800515101103</c:v>
                </c:pt>
                <c:pt idx="9">
                  <c:v>-0.20722048656467165</c:v>
                </c:pt>
              </c:numCache>
            </c:numRef>
          </c:val>
          <c:smooth val="0"/>
          <c:extLst>
            <c:ext xmlns:c16="http://schemas.microsoft.com/office/drawing/2014/chart" uri="{C3380CC4-5D6E-409C-BE32-E72D297353CC}">
              <c16:uniqueId val="{00000003-C675-4998-8FDA-70AF59AE3ABC}"/>
            </c:ext>
          </c:extLst>
        </c:ser>
        <c:ser>
          <c:idx val="4"/>
          <c:order val="4"/>
          <c:tx>
            <c:strRef>
              <c:f>'Graphing Data'!$A$35</c:f>
              <c:strCache>
                <c:ptCount val="1"/>
                <c:pt idx="0">
                  <c:v>Worst Case FCFO Margin (RHS)</c:v>
                </c:pt>
              </c:strCache>
            </c:strRef>
          </c:tx>
          <c:spPr>
            <a:ln w="19050" cap="rnd">
              <a:solidFill>
                <a:schemeClr val="tx1"/>
              </a:solidFill>
              <a:prstDash val="sysDot"/>
              <a:round/>
            </a:ln>
            <a:effectLst/>
          </c:spPr>
          <c:marker>
            <c:symbol val="none"/>
          </c:marker>
          <c:cat>
            <c:numRef>
              <c:f>'Graphing Data'!$B$29:$P$29</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Data'!$B$35:$P$35</c:f>
              <c:numCache>
                <c:formatCode>General</c:formatCode>
                <c:ptCount val="15"/>
                <c:pt idx="9" formatCode="0%">
                  <c:v>-0.20722048656467165</c:v>
                </c:pt>
                <c:pt idx="10" formatCode="0.0%">
                  <c:v>-0.13</c:v>
                </c:pt>
                <c:pt idx="11" formatCode="0.0%">
                  <c:v>-0.13</c:v>
                </c:pt>
                <c:pt idx="12" formatCode="0.0%">
                  <c:v>-0.13</c:v>
                </c:pt>
                <c:pt idx="13" formatCode="0.0%">
                  <c:v>-6.5000000000000002E-2</c:v>
                </c:pt>
                <c:pt idx="14" formatCode="0.0%">
                  <c:v>6.5000000000000006E-3</c:v>
                </c:pt>
              </c:numCache>
            </c:numRef>
          </c:val>
          <c:smooth val="0"/>
          <c:extLst>
            <c:ext xmlns:c16="http://schemas.microsoft.com/office/drawing/2014/chart" uri="{C3380CC4-5D6E-409C-BE32-E72D297353CC}">
              <c16:uniqueId val="{00000004-C675-4998-8FDA-70AF59AE3ABC}"/>
            </c:ext>
          </c:extLst>
        </c:ser>
        <c:ser>
          <c:idx val="5"/>
          <c:order val="5"/>
          <c:tx>
            <c:strRef>
              <c:f>'Graphing Data'!$A$34</c:f>
              <c:strCache>
                <c:ptCount val="1"/>
                <c:pt idx="0">
                  <c:v>Best Case FCFO Margin (RHS)</c:v>
                </c:pt>
              </c:strCache>
            </c:strRef>
          </c:tx>
          <c:spPr>
            <a:ln w="19050" cap="rnd">
              <a:solidFill>
                <a:schemeClr val="tx1"/>
              </a:solidFill>
              <a:prstDash val="dash"/>
              <a:round/>
            </a:ln>
            <a:effectLst/>
          </c:spPr>
          <c:marker>
            <c:symbol val="none"/>
          </c:marker>
          <c:cat>
            <c:numRef>
              <c:f>'Graphing Data'!$B$29:$P$29</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Data'!$B$34:$P$34</c:f>
              <c:numCache>
                <c:formatCode>General</c:formatCode>
                <c:ptCount val="15"/>
                <c:pt idx="9" formatCode="0%">
                  <c:v>-0.20722048656467165</c:v>
                </c:pt>
                <c:pt idx="10" formatCode="0.0%">
                  <c:v>-0.13</c:v>
                </c:pt>
                <c:pt idx="11" formatCode="0.0%">
                  <c:v>-0.13</c:v>
                </c:pt>
                <c:pt idx="12" formatCode="0.0%">
                  <c:v>-9.1000000000000011E-2</c:v>
                </c:pt>
                <c:pt idx="13" formatCode="0.0%">
                  <c:v>-6.5000000000000002E-2</c:v>
                </c:pt>
                <c:pt idx="14" formatCode="0.0%">
                  <c:v>1.3000000000000001E-2</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Historical Investment Efficacy</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Data'!$A$38</c:f>
              <c:strCache>
                <c:ptCount val="1"/>
                <c:pt idx="0">
                  <c:v>NFLX Actual OCP ($, LHS)</c:v>
                </c:pt>
              </c:strCache>
            </c:strRef>
          </c:tx>
          <c:spPr>
            <a:solidFill>
              <a:srgbClr val="0046AD"/>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Data'!$B$38:$K$38</c:f>
              <c:numCache>
                <c:formatCode>_(* #,##0_);_(* \(#,##0\);_(* "-"??_);_(@_)</c:formatCode>
                <c:ptCount val="10"/>
                <c:pt idx="0">
                  <c:v>87.500747999999987</c:v>
                </c:pt>
                <c:pt idx="1">
                  <c:v>94.127175999999963</c:v>
                </c:pt>
                <c:pt idx="2">
                  <c:v>113.79141600000003</c:v>
                </c:pt>
                <c:pt idx="3">
                  <c:v>187.41109599999999</c:v>
                </c:pt>
                <c:pt idx="4">
                  <c:v>-73.112848999999997</c:v>
                </c:pt>
                <c:pt idx="5">
                  <c:v>-17.195610000000002</c:v>
                </c:pt>
                <c:pt idx="6">
                  <c:v>-113.19944800000002</c:v>
                </c:pt>
                <c:pt idx="7">
                  <c:v>-889.74228299999993</c:v>
                </c:pt>
                <c:pt idx="8">
                  <c:v>-1609.436864</c:v>
                </c:pt>
                <c:pt idx="9">
                  <c:v>-1913.0891310000002</c:v>
                </c:pt>
              </c:numCache>
            </c:numRef>
          </c:val>
          <c:extLst>
            <c:ext xmlns:c16="http://schemas.microsoft.com/office/drawing/2014/chart" uri="{C3380CC4-5D6E-409C-BE32-E72D297353CC}">
              <c16:uniqueId val="{00000000-5AAF-4240-ADEA-D3BAD06AAC9A}"/>
            </c:ext>
          </c:extLst>
        </c:ser>
        <c:ser>
          <c:idx val="1"/>
          <c:order val="1"/>
          <c:tx>
            <c:strRef>
              <c:f>'Graphing Data'!$A$39</c:f>
              <c:strCache>
                <c:ptCount val="1"/>
                <c:pt idx="0">
                  <c:v>NFLX OCP if GDP-Growth ($, LHS)</c:v>
                </c:pt>
              </c:strCache>
            </c:strRef>
          </c:tx>
          <c:spPr>
            <a:solidFill>
              <a:srgbClr val="0046AD">
                <a:alpha val="50000"/>
              </a:srgbClr>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Data'!$B$39:$K$39</c:f>
              <c:numCache>
                <c:formatCode>_(* #,##0_);_(* \(#,##0\);_(* "-"??_);_(@_)</c:formatCode>
                <c:ptCount val="10"/>
                <c:pt idx="0">
                  <c:v>87.500747999999987</c:v>
                </c:pt>
                <c:pt idx="1">
                  <c:v>87.600577718197357</c:v>
                </c:pt>
                <c:pt idx="2">
                  <c:v>91.591962294558712</c:v>
                </c:pt>
                <c:pt idx="3">
                  <c:v>94.930244015725165</c:v>
                </c:pt>
                <c:pt idx="4">
                  <c:v>98.221016413171213</c:v>
                </c:pt>
                <c:pt idx="5">
                  <c:v>102.70613712591839</c:v>
                </c:pt>
                <c:pt idx="6">
                  <c:v>106.4671916898123</c:v>
                </c:pt>
                <c:pt idx="7">
                  <c:v>109.24017259709001</c:v>
                </c:pt>
                <c:pt idx="8">
                  <c:v>113.47752316587744</c:v>
                </c:pt>
                <c:pt idx="9">
                  <c:v>118.79797806639881</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Data'!$A$40</c:f>
              <c:strCache>
                <c:ptCount val="1"/>
                <c:pt idx="0">
                  <c:v>NFLX - GDP Growth Difference (YoY, %, RHS)</c:v>
                </c:pt>
              </c:strCache>
            </c:strRef>
          </c:tx>
          <c:spPr>
            <a:ln w="19050" cap="rnd">
              <a:solidFill>
                <a:sysClr val="windowText" lastClr="000000"/>
              </a:solidFill>
              <a:prstDash val="dash"/>
              <a:round/>
            </a:ln>
            <a:effectLst/>
          </c:spPr>
          <c:marker>
            <c:symbol val="none"/>
          </c:marker>
          <c:cat>
            <c:numRef>
              <c:f>'Graphing Data'!$B$37:$K$37</c:f>
              <c:numCache>
                <c:formatCode>yyyy</c:formatCode>
                <c:ptCount val="10"/>
                <c:pt idx="0">
                  <c:v>39813</c:v>
                </c:pt>
                <c:pt idx="1">
                  <c:v>40178</c:v>
                </c:pt>
                <c:pt idx="2">
                  <c:v>40543</c:v>
                </c:pt>
                <c:pt idx="3">
                  <c:v>40908</c:v>
                </c:pt>
                <c:pt idx="4">
                  <c:v>41274</c:v>
                </c:pt>
                <c:pt idx="5">
                  <c:v>41639</c:v>
                </c:pt>
                <c:pt idx="6">
                  <c:v>42004</c:v>
                </c:pt>
                <c:pt idx="7">
                  <c:v>42369</c:v>
                </c:pt>
                <c:pt idx="8">
                  <c:v>42735</c:v>
                </c:pt>
                <c:pt idx="9">
                  <c:v>43100</c:v>
                </c:pt>
              </c:numCache>
            </c:numRef>
          </c:cat>
          <c:val>
            <c:numRef>
              <c:f>'Graphing Data'!$B$40:$K$40</c:f>
              <c:numCache>
                <c:formatCode>0%</c:formatCode>
                <c:ptCount val="10"/>
                <c:pt idx="1">
                  <c:v>7.4589057019290861E-2</c:v>
                </c:pt>
                <c:pt idx="2">
                  <c:v>0.16334794838270517</c:v>
                </c:pt>
                <c:pt idx="3">
                  <c:v>0.61052309645697989</c:v>
                </c:pt>
                <c:pt idx="4">
                  <c:v>-1.4247853351248938</c:v>
                </c:pt>
                <c:pt idx="5">
                  <c:v>-0.81047083184560376</c:v>
                </c:pt>
                <c:pt idx="6">
                  <c:v>5.5464238929738068</c:v>
                </c:pt>
                <c:pt idx="7">
                  <c:v>6.8339070855225268</c:v>
                </c:pt>
                <c:pt idx="8">
                  <c:v>0.77009051689594599</c:v>
                </c:pt>
                <c:pt idx="9">
                  <c:v>0.14178434479949953</c:v>
                </c:pt>
              </c:numCache>
            </c:numRef>
          </c:val>
          <c:smooth val="0"/>
          <c:extLst>
            <c:ext xmlns:c16="http://schemas.microsoft.com/office/drawing/2014/chart" uri="{C3380CC4-5D6E-409C-BE32-E72D297353CC}">
              <c16:uniqueId val="{00000002-5AAF-4240-ADEA-D3BAD06AAC9A}"/>
            </c:ext>
          </c:extLst>
        </c:ser>
        <c:ser>
          <c:idx val="3"/>
          <c:order val="3"/>
          <c:tx>
            <c:strRef>
              <c:f>'Graphing Data'!$A$41</c:f>
              <c:strCache>
                <c:ptCount val="1"/>
                <c:pt idx="0">
                  <c:v>NFLX - GDP Growth Difference (3Y, %, RHS)</c:v>
                </c:pt>
              </c:strCache>
            </c:strRef>
          </c:tx>
          <c:spPr>
            <a:ln w="19050" cap="rnd">
              <a:solidFill>
                <a:sysClr val="windowText" lastClr="000000"/>
              </a:solidFill>
              <a:round/>
            </a:ln>
            <a:effectLst/>
          </c:spPr>
          <c:marker>
            <c:symbol val="none"/>
          </c:marker>
          <c:cat>
            <c:numRef>
              <c:f>'Graphing Data'!$B$37:$K$37</c:f>
              <c:numCache>
                <c:formatCode>yyyy</c:formatCode>
                <c:ptCount val="10"/>
                <c:pt idx="0">
                  <c:v>39813</c:v>
                </c:pt>
                <c:pt idx="1">
                  <c:v>40178</c:v>
                </c:pt>
                <c:pt idx="2">
                  <c:v>40543</c:v>
                </c:pt>
                <c:pt idx="3">
                  <c:v>40908</c:v>
                </c:pt>
                <c:pt idx="4">
                  <c:v>41274</c:v>
                </c:pt>
                <c:pt idx="5">
                  <c:v>41639</c:v>
                </c:pt>
                <c:pt idx="6">
                  <c:v>42004</c:v>
                </c:pt>
                <c:pt idx="7">
                  <c:v>42369</c:v>
                </c:pt>
                <c:pt idx="8">
                  <c:v>42735</c:v>
                </c:pt>
                <c:pt idx="9">
                  <c:v>43100</c:v>
                </c:pt>
              </c:numCache>
            </c:numRef>
          </c:cat>
          <c:val>
            <c:numRef>
              <c:f>'Graphing Data'!$B$41:$K$41</c:f>
              <c:numCache>
                <c:formatCode>0%</c:formatCode>
                <c:ptCount val="10"/>
                <c:pt idx="3">
                  <c:v>0.31034057059319653</c:v>
                </c:pt>
                <c:pt idx="4">
                  <c:v>-0.46178274080796045</c:v>
                </c:pt>
                <c:pt idx="5">
                  <c:v>-0.61331093156993255</c:v>
                </c:pt>
                <c:pt idx="6">
                  <c:v>-3.1347970245249916</c:v>
                </c:pt>
                <c:pt idx="7">
                  <c:v>3.9769181644437697</c:v>
                </c:pt>
                <c:pt idx="8">
                  <c:v>1.5269823815854771</c:v>
                </c:pt>
                <c:pt idx="9">
                  <c:v>0.65152646305249329</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Netflix (NFLX)</c:v>
            </c:pt>
          </c:strCache>
        </c:strRef>
      </c:tx>
      <c:overlay val="0"/>
      <c:txPr>
        <a:bodyPr/>
        <a:lstStyle/>
        <a:p>
          <a:pPr>
            <a:defRPr sz="1200"/>
          </a:pPr>
          <a:endParaRPr lang="en-US"/>
        </a:p>
      </c:txPr>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19.260000000000002</c:v>
                </c:pt>
                <c:pt idx="2">
                  <c:v>38.520000000000003</c:v>
                </c:pt>
                <c:pt idx="3">
                  <c:v>57.78</c:v>
                </c:pt>
                <c:pt idx="4">
                  <c:v>77.040000000000006</c:v>
                </c:pt>
                <c:pt idx="5">
                  <c:v>96.300000000000011</c:v>
                </c:pt>
                <c:pt idx="6">
                  <c:v>115.56</c:v>
                </c:pt>
                <c:pt idx="7">
                  <c:v>134.82000000000002</c:v>
                </c:pt>
                <c:pt idx="8">
                  <c:v>154.08000000000001</c:v>
                </c:pt>
                <c:pt idx="9">
                  <c:v>173.34</c:v>
                </c:pt>
                <c:pt idx="10">
                  <c:v>192.6</c:v>
                </c:pt>
                <c:pt idx="11">
                  <c:v>211.85999999999999</c:v>
                </c:pt>
                <c:pt idx="12">
                  <c:v>231.11999999999998</c:v>
                </c:pt>
                <c:pt idx="13">
                  <c:v>250.37999999999997</c:v>
                </c:pt>
                <c:pt idx="14">
                  <c:v>269.64</c:v>
                </c:pt>
                <c:pt idx="15">
                  <c:v>288.89999999999998</c:v>
                </c:pt>
                <c:pt idx="16">
                  <c:v>308.16000000000003</c:v>
                </c:pt>
                <c:pt idx="17">
                  <c:v>327.42</c:v>
                </c:pt>
                <c:pt idx="18">
                  <c:v>346.68000000000006</c:v>
                </c:pt>
                <c:pt idx="19">
                  <c:v>365.94000000000005</c:v>
                </c:pt>
                <c:pt idx="20">
                  <c:v>385.2000000000001</c:v>
                </c:pt>
                <c:pt idx="21">
                  <c:v>404.46000000000009</c:v>
                </c:pt>
                <c:pt idx="22">
                  <c:v>423.72000000000008</c:v>
                </c:pt>
                <c:pt idx="23">
                  <c:v>442.98000000000013</c:v>
                </c:pt>
                <c:pt idx="24">
                  <c:v>462.24000000000012</c:v>
                </c:pt>
                <c:pt idx="25">
                  <c:v>481.50000000000011</c:v>
                </c:pt>
                <c:pt idx="26">
                  <c:v>500.7600000000001</c:v>
                </c:pt>
                <c:pt idx="27">
                  <c:v>520.0200000000001</c:v>
                </c:pt>
                <c:pt idx="28">
                  <c:v>539.2800000000002</c:v>
                </c:pt>
                <c:pt idx="29">
                  <c:v>558.54000000000019</c:v>
                </c:pt>
                <c:pt idx="30">
                  <c:v>577.80000000000018</c:v>
                </c:pt>
                <c:pt idx="31">
                  <c:v>597.06000000000017</c:v>
                </c:pt>
                <c:pt idx="32">
                  <c:v>616.32000000000028</c:v>
                </c:pt>
                <c:pt idx="33">
                  <c:v>635.58000000000027</c:v>
                </c:pt>
                <c:pt idx="34">
                  <c:v>654.84000000000026</c:v>
                </c:pt>
                <c:pt idx="35">
                  <c:v>674.10000000000025</c:v>
                </c:pt>
                <c:pt idx="36">
                  <c:v>693.36000000000024</c:v>
                </c:pt>
                <c:pt idx="37">
                  <c:v>712.62000000000035</c:v>
                </c:pt>
                <c:pt idx="38">
                  <c:v>731.88000000000034</c:v>
                </c:pt>
                <c:pt idx="39">
                  <c:v>751.14000000000033</c:v>
                </c:pt>
                <c:pt idx="40">
                  <c:v>770.40000000000032</c:v>
                </c:pt>
                <c:pt idx="41">
                  <c:v>789.66000000000042</c:v>
                </c:pt>
                <c:pt idx="42">
                  <c:v>808.92000000000041</c:v>
                </c:pt>
                <c:pt idx="43">
                  <c:v>828.1800000000004</c:v>
                </c:pt>
                <c:pt idx="44">
                  <c:v>847.4400000000004</c:v>
                </c:pt>
                <c:pt idx="45">
                  <c:v>866.7000000000005</c:v>
                </c:pt>
                <c:pt idx="46">
                  <c:v>885.96000000000049</c:v>
                </c:pt>
                <c:pt idx="47">
                  <c:v>905.22000000000048</c:v>
                </c:pt>
                <c:pt idx="48">
                  <c:v>924.48000000000047</c:v>
                </c:pt>
                <c:pt idx="49">
                  <c:v>943.74000000000046</c:v>
                </c:pt>
                <c:pt idx="50">
                  <c:v>963.00000000000045</c:v>
                </c:pt>
              </c:numCache>
            </c:numRef>
          </c:cat>
          <c:val>
            <c:numRef>
              <c:f>'Histogram Data'!$L$5:$L$55</c:f>
              <c:numCache>
                <c:formatCode>0%</c:formatCode>
                <c:ptCount val="51"/>
                <c:pt idx="0">
                  <c:v>0</c:v>
                </c:pt>
                <c:pt idx="1">
                  <c:v>6.25E-2</c:v>
                </c:pt>
                <c:pt idx="2">
                  <c:v>0</c:v>
                </c:pt>
                <c:pt idx="3">
                  <c:v>6.25E-2</c:v>
                </c:pt>
                <c:pt idx="4">
                  <c:v>6.25E-2</c:v>
                </c:pt>
                <c:pt idx="5">
                  <c:v>0</c:v>
                </c:pt>
                <c:pt idx="6">
                  <c:v>6.25E-2</c:v>
                </c:pt>
                <c:pt idx="7">
                  <c:v>0</c:v>
                </c:pt>
                <c:pt idx="8">
                  <c:v>0</c:v>
                </c:pt>
                <c:pt idx="9">
                  <c:v>0</c:v>
                </c:pt>
                <c:pt idx="10">
                  <c:v>0</c:v>
                </c:pt>
                <c:pt idx="11">
                  <c:v>0</c:v>
                </c:pt>
                <c:pt idx="12">
                  <c:v>0</c:v>
                </c:pt>
                <c:pt idx="13">
                  <c:v>0</c:v>
                </c:pt>
                <c:pt idx="14">
                  <c:v>6.25E-2</c:v>
                </c:pt>
                <c:pt idx="15">
                  <c:v>0</c:v>
                </c:pt>
                <c:pt idx="16">
                  <c:v>0</c:v>
                </c:pt>
                <c:pt idx="17">
                  <c:v>0</c:v>
                </c:pt>
                <c:pt idx="18">
                  <c:v>0</c:v>
                </c:pt>
                <c:pt idx="19">
                  <c:v>0</c:v>
                </c:pt>
                <c:pt idx="20">
                  <c:v>0</c:v>
                </c:pt>
                <c:pt idx="21">
                  <c:v>0</c:v>
                </c:pt>
                <c:pt idx="22">
                  <c:v>0</c:v>
                </c:pt>
                <c:pt idx="23">
                  <c:v>0</c:v>
                </c:pt>
                <c:pt idx="24">
                  <c:v>6.25E-2</c:v>
                </c:pt>
                <c:pt idx="25">
                  <c:v>0</c:v>
                </c:pt>
                <c:pt idx="26">
                  <c:v>0</c:v>
                </c:pt>
                <c:pt idx="27">
                  <c:v>0</c:v>
                </c:pt>
                <c:pt idx="28">
                  <c:v>0</c:v>
                </c:pt>
                <c:pt idx="29">
                  <c:v>0</c:v>
                </c:pt>
                <c:pt idx="30">
                  <c:v>6.25E-2</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6.25E-2</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19.260000000000002</c:v>
                </c:pt>
                <c:pt idx="2">
                  <c:v>38.520000000000003</c:v>
                </c:pt>
                <c:pt idx="3">
                  <c:v>57.78</c:v>
                </c:pt>
                <c:pt idx="4">
                  <c:v>77.040000000000006</c:v>
                </c:pt>
                <c:pt idx="5">
                  <c:v>96.300000000000011</c:v>
                </c:pt>
                <c:pt idx="6">
                  <c:v>115.56</c:v>
                </c:pt>
                <c:pt idx="7">
                  <c:v>134.82000000000002</c:v>
                </c:pt>
                <c:pt idx="8">
                  <c:v>154.08000000000001</c:v>
                </c:pt>
                <c:pt idx="9">
                  <c:v>173.34</c:v>
                </c:pt>
                <c:pt idx="10">
                  <c:v>192.6</c:v>
                </c:pt>
                <c:pt idx="11">
                  <c:v>211.85999999999999</c:v>
                </c:pt>
                <c:pt idx="12">
                  <c:v>231.11999999999998</c:v>
                </c:pt>
                <c:pt idx="13">
                  <c:v>250.37999999999997</c:v>
                </c:pt>
                <c:pt idx="14">
                  <c:v>269.64</c:v>
                </c:pt>
                <c:pt idx="15">
                  <c:v>288.89999999999998</c:v>
                </c:pt>
                <c:pt idx="16">
                  <c:v>308.16000000000003</c:v>
                </c:pt>
                <c:pt idx="17">
                  <c:v>327.42</c:v>
                </c:pt>
                <c:pt idx="18">
                  <c:v>346.68000000000006</c:v>
                </c:pt>
                <c:pt idx="19">
                  <c:v>365.94000000000005</c:v>
                </c:pt>
                <c:pt idx="20">
                  <c:v>385.2000000000001</c:v>
                </c:pt>
                <c:pt idx="21">
                  <c:v>404.46000000000009</c:v>
                </c:pt>
                <c:pt idx="22">
                  <c:v>423.72000000000008</c:v>
                </c:pt>
                <c:pt idx="23">
                  <c:v>442.98000000000013</c:v>
                </c:pt>
                <c:pt idx="24">
                  <c:v>462.24000000000012</c:v>
                </c:pt>
                <c:pt idx="25">
                  <c:v>481.50000000000011</c:v>
                </c:pt>
                <c:pt idx="26">
                  <c:v>500.7600000000001</c:v>
                </c:pt>
                <c:pt idx="27">
                  <c:v>520.0200000000001</c:v>
                </c:pt>
                <c:pt idx="28">
                  <c:v>539.2800000000002</c:v>
                </c:pt>
                <c:pt idx="29">
                  <c:v>558.54000000000019</c:v>
                </c:pt>
                <c:pt idx="30">
                  <c:v>577.80000000000018</c:v>
                </c:pt>
                <c:pt idx="31">
                  <c:v>597.06000000000017</c:v>
                </c:pt>
                <c:pt idx="32">
                  <c:v>616.32000000000028</c:v>
                </c:pt>
                <c:pt idx="33">
                  <c:v>635.58000000000027</c:v>
                </c:pt>
                <c:pt idx="34">
                  <c:v>654.84000000000026</c:v>
                </c:pt>
                <c:pt idx="35">
                  <c:v>674.10000000000025</c:v>
                </c:pt>
                <c:pt idx="36">
                  <c:v>693.36000000000024</c:v>
                </c:pt>
                <c:pt idx="37">
                  <c:v>712.62000000000035</c:v>
                </c:pt>
                <c:pt idx="38">
                  <c:v>731.88000000000034</c:v>
                </c:pt>
                <c:pt idx="39">
                  <c:v>751.14000000000033</c:v>
                </c:pt>
                <c:pt idx="40">
                  <c:v>770.40000000000032</c:v>
                </c:pt>
                <c:pt idx="41">
                  <c:v>789.66000000000042</c:v>
                </c:pt>
                <c:pt idx="42">
                  <c:v>808.92000000000041</c:v>
                </c:pt>
                <c:pt idx="43">
                  <c:v>828.1800000000004</c:v>
                </c:pt>
                <c:pt idx="44">
                  <c:v>847.4400000000004</c:v>
                </c:pt>
                <c:pt idx="45">
                  <c:v>866.7000000000005</c:v>
                </c:pt>
                <c:pt idx="46">
                  <c:v>885.96000000000049</c:v>
                </c:pt>
                <c:pt idx="47">
                  <c:v>905.22000000000048</c:v>
                </c:pt>
                <c:pt idx="48">
                  <c:v>924.48000000000047</c:v>
                </c:pt>
                <c:pt idx="49">
                  <c:v>943.74000000000046</c:v>
                </c:pt>
                <c:pt idx="50">
                  <c:v>963.00000000000045</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0</c:v>
                </c:pt>
                <c:pt idx="1">
                  <c:v>2.7727574599802379E-27</c:v>
                </c:pt>
                <c:pt idx="2">
                  <c:v>6.9656972360566207E-16</c:v>
                </c:pt>
                <c:pt idx="3">
                  <c:v>1.0052583613887849E-10</c:v>
                </c:pt>
                <c:pt idx="4">
                  <c:v>9.7018142760871314E-8</c:v>
                </c:pt>
                <c:pt idx="5">
                  <c:v>8.2290378176389218E-6</c:v>
                </c:pt>
                <c:pt idx="6">
                  <c:v>1.7391720271819888E-4</c:v>
                </c:pt>
                <c:pt idx="7">
                  <c:v>1.530020057631669E-3</c:v>
                </c:pt>
                <c:pt idx="8">
                  <c:v>7.4549100571287465E-3</c:v>
                </c:pt>
                <c:pt idx="9">
                  <c:v>2.3915310336034931E-2</c:v>
                </c:pt>
                <c:pt idx="10">
                  <c:v>5.6463932946294537E-2</c:v>
                </c:pt>
                <c:pt idx="11">
                  <c:v>0.10577943298197286</c:v>
                </c:pt>
                <c:pt idx="12">
                  <c:v>0.16576052480964631</c:v>
                </c:pt>
                <c:pt idx="13">
                  <c:v>0.22572502957498908</c:v>
                </c:pt>
                <c:pt idx="14">
                  <c:v>0.27477956339177712</c:v>
                </c:pt>
                <c:pt idx="15">
                  <c:v>0.30549459830816994</c:v>
                </c:pt>
                <c:pt idx="16">
                  <c:v>0.31536811590563085</c:v>
                </c:pt>
                <c:pt idx="17">
                  <c:v>0.30623452895009812</c:v>
                </c:pt>
                <c:pt idx="18">
                  <c:v>0.2826068556449729</c:v>
                </c:pt>
                <c:pt idx="19">
                  <c:v>0.24991780120666726</c:v>
                </c:pt>
                <c:pt idx="20">
                  <c:v>0.2132150168315082</c:v>
                </c:pt>
                <c:pt idx="21">
                  <c:v>0.17645734641024188</c:v>
                </c:pt>
                <c:pt idx="22">
                  <c:v>0.1423129579722861</c:v>
                </c:pt>
                <c:pt idx="23">
                  <c:v>0.11227509212274063</c:v>
                </c:pt>
                <c:pt idx="24">
                  <c:v>8.6924602969749437E-2</c:v>
                </c:pt>
                <c:pt idx="25">
                  <c:v>6.6220556099088626E-2</c:v>
                </c:pt>
                <c:pt idx="26">
                  <c:v>4.9753976176705135E-2</c:v>
                </c:pt>
                <c:pt idx="27">
                  <c:v>3.6939939858623858E-2</c:v>
                </c:pt>
                <c:pt idx="28">
                  <c:v>2.7147244850092223E-2</c:v>
                </c:pt>
                <c:pt idx="29">
                  <c:v>1.9776224124186909E-2</c:v>
                </c:pt>
                <c:pt idx="30">
                  <c:v>1.4298520067683696E-2</c:v>
                </c:pt>
                <c:pt idx="31">
                  <c:v>1.0271629069404903E-2</c:v>
                </c:pt>
                <c:pt idx="32">
                  <c:v>7.338337799865674E-3</c:v>
                </c:pt>
                <c:pt idx="33">
                  <c:v>5.2182386734464323E-3</c:v>
                </c:pt>
                <c:pt idx="34">
                  <c:v>3.695994737079193E-3</c:v>
                </c:pt>
                <c:pt idx="35">
                  <c:v>2.6091256292021989E-3</c:v>
                </c:pt>
                <c:pt idx="36">
                  <c:v>1.836779218859786E-3</c:v>
                </c:pt>
                <c:pt idx="37">
                  <c:v>1.2901218493332888E-3</c:v>
                </c:pt>
                <c:pt idx="38">
                  <c:v>9.0449244592698209E-4</c:v>
                </c:pt>
                <c:pt idx="39">
                  <c:v>6.33208241189161E-4</c:v>
                </c:pt>
                <c:pt idx="40">
                  <c:v>4.4279588831792459E-4</c:v>
                </c:pt>
                <c:pt idx="41">
                  <c:v>3.093907956543705E-4</c:v>
                </c:pt>
                <c:pt idx="42">
                  <c:v>2.1606019025770116E-4</c:v>
                </c:pt>
                <c:pt idx="43">
                  <c:v>1.5083758023584043E-4</c:v>
                </c:pt>
                <c:pt idx="44">
                  <c:v>1.052941632686805E-4</c:v>
                </c:pt>
                <c:pt idx="45">
                  <c:v>7.350914990534682E-5</c:v>
                </c:pt>
                <c:pt idx="46">
                  <c:v>5.1332728243244458E-5</c:v>
                </c:pt>
                <c:pt idx="47">
                  <c:v>3.5861518201643245E-5</c:v>
                </c:pt>
                <c:pt idx="48">
                  <c:v>2.506702711135359E-5</c:v>
                </c:pt>
                <c:pt idx="49">
                  <c:v>1.7533514086226649E-5</c:v>
                </c:pt>
                <c:pt idx="50">
                  <c:v>1.2273645606842979E-5</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'Segment &amp; Sub Data'!$A$40</c:f>
              <c:strCache>
                <c:ptCount val="1"/>
                <c:pt idx="0">
                  <c:v>Total Subscribers</c:v>
                </c:pt>
              </c:strCache>
            </c:strRef>
          </c:tx>
          <c:spPr>
            <a:ln w="28575" cap="rnd">
              <a:solidFill>
                <a:srgbClr val="0049AA"/>
              </a:solidFill>
              <a:round/>
            </a:ln>
            <a:effectLst/>
          </c:spPr>
          <c:marker>
            <c:symbol val="none"/>
          </c:marker>
          <c:trendline>
            <c:spPr>
              <a:ln w="19050" cap="rnd">
                <a:solidFill>
                  <a:srgbClr val="575A5D"/>
                </a:solidFill>
                <a:prstDash val="sysDot"/>
              </a:ln>
              <a:effectLst/>
            </c:spPr>
            <c:trendlineType val="exp"/>
            <c:dispRSqr val="0"/>
            <c:dispEq val="0"/>
          </c:trendline>
          <c:cat>
            <c:numRef>
              <c:f>'Segment &amp; Sub Data'!$B$1:$N$1</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'Segment &amp; Sub Data'!$B$40:$N$40</c:f>
              <c:numCache>
                <c:formatCode>#,##0_);[Red]\(#,##0\)</c:formatCode>
                <c:ptCount val="13"/>
                <c:pt idx="0">
                  <c:v>4170</c:v>
                </c:pt>
                <c:pt idx="1">
                  <c:v>6316</c:v>
                </c:pt>
                <c:pt idx="2">
                  <c:v>7479</c:v>
                </c:pt>
                <c:pt idx="3">
                  <c:v>9390</c:v>
                </c:pt>
                <c:pt idx="4">
                  <c:v>12268</c:v>
                </c:pt>
                <c:pt idx="5">
                  <c:v>20010</c:v>
                </c:pt>
                <c:pt idx="6">
                  <c:v>26253</c:v>
                </c:pt>
                <c:pt idx="7">
                  <c:v>41491</c:v>
                </c:pt>
                <c:pt idx="8">
                  <c:v>51280</c:v>
                </c:pt>
                <c:pt idx="9">
                  <c:v>63158</c:v>
                </c:pt>
                <c:pt idx="10">
                  <c:v>79666</c:v>
                </c:pt>
                <c:pt idx="11">
                  <c:v>97910</c:v>
                </c:pt>
                <c:pt idx="12">
                  <c:v>120965</c:v>
                </c:pt>
              </c:numCache>
            </c:numRef>
          </c:val>
          <c:smooth val="0"/>
          <c:extLst>
            <c:ext xmlns:c16="http://schemas.microsoft.com/office/drawing/2014/chart" uri="{C3380CC4-5D6E-409C-BE32-E72D297353CC}">
              <c16:uniqueId val="{00000001-6C5D-41E1-979E-571E71CFE6F0}"/>
            </c:ext>
          </c:extLst>
        </c:ser>
        <c:dLbls>
          <c:showLegendKey val="0"/>
          <c:showVal val="0"/>
          <c:showCatName val="0"/>
          <c:showSerName val="0"/>
          <c:showPercent val="0"/>
          <c:showBubbleSize val="0"/>
        </c:dLbls>
        <c:smooth val="0"/>
        <c:axId val="577059336"/>
        <c:axId val="577056712"/>
      </c:lineChart>
      <c:catAx>
        <c:axId val="577059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n-US"/>
          </a:p>
        </c:txPr>
        <c:crossAx val="577056712"/>
        <c:crosses val="autoZero"/>
        <c:auto val="1"/>
        <c:lblAlgn val="ctr"/>
        <c:lblOffset val="100"/>
        <c:noMultiLvlLbl val="0"/>
      </c:catAx>
      <c:valAx>
        <c:axId val="57705671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n-US"/>
          </a:p>
        </c:txPr>
        <c:crossAx val="5770593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sz="1400"/>
              <a:t>Netflix Revenue by Segment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areaChart>
        <c:grouping val="stacked"/>
        <c:varyColors val="0"/>
        <c:ser>
          <c:idx val="0"/>
          <c:order val="0"/>
          <c:tx>
            <c:strRef>
              <c:f>'Segment &amp; Sub Data'!$A$7</c:f>
              <c:strCache>
                <c:ptCount val="1"/>
                <c:pt idx="0">
                  <c:v>Domestic Streaming Revenues</c:v>
                </c:pt>
              </c:strCache>
            </c:strRef>
          </c:tx>
          <c:spPr>
            <a:solidFill>
              <a:srgbClr val="0049AA"/>
            </a:solidFill>
            <a:ln>
              <a:noFill/>
            </a:ln>
            <a:effectLst/>
          </c:spPr>
          <c:cat>
            <c:numRef>
              <c:f>'Segment &amp; Sub Data'!$I$1:$N$1</c:f>
              <c:numCache>
                <c:formatCode>General</c:formatCode>
                <c:ptCount val="6"/>
                <c:pt idx="0">
                  <c:v>2012</c:v>
                </c:pt>
                <c:pt idx="1">
                  <c:v>2013</c:v>
                </c:pt>
                <c:pt idx="2">
                  <c:v>2014</c:v>
                </c:pt>
                <c:pt idx="3">
                  <c:v>2015</c:v>
                </c:pt>
                <c:pt idx="4">
                  <c:v>2016</c:v>
                </c:pt>
                <c:pt idx="5">
                  <c:v>2017</c:v>
                </c:pt>
              </c:numCache>
            </c:numRef>
          </c:cat>
          <c:val>
            <c:numRef>
              <c:f>'Segment &amp; Sub Data'!$I$7:$N$7</c:f>
              <c:numCache>
                <c:formatCode>#,##0_);[Red]\(#,##0\)</c:formatCode>
                <c:ptCount val="6"/>
                <c:pt idx="0">
                  <c:v>2184868</c:v>
                </c:pt>
                <c:pt idx="1">
                  <c:v>2751375</c:v>
                </c:pt>
                <c:pt idx="2">
                  <c:v>3431434</c:v>
                </c:pt>
                <c:pt idx="3">
                  <c:v>4180339</c:v>
                </c:pt>
                <c:pt idx="4">
                  <c:v>5077307</c:v>
                </c:pt>
                <c:pt idx="5">
                  <c:v>6153025</c:v>
                </c:pt>
              </c:numCache>
            </c:numRef>
          </c:val>
          <c:extLst>
            <c:ext xmlns:c16="http://schemas.microsoft.com/office/drawing/2014/chart" uri="{C3380CC4-5D6E-409C-BE32-E72D297353CC}">
              <c16:uniqueId val="{00000000-5C56-475A-A866-794CC070BD40}"/>
            </c:ext>
          </c:extLst>
        </c:ser>
        <c:ser>
          <c:idx val="1"/>
          <c:order val="1"/>
          <c:tx>
            <c:strRef>
              <c:f>'Segment &amp; Sub Data'!$A$16</c:f>
              <c:strCache>
                <c:ptCount val="1"/>
                <c:pt idx="0">
                  <c:v>Intl Streaming Revenues</c:v>
                </c:pt>
              </c:strCache>
            </c:strRef>
          </c:tx>
          <c:spPr>
            <a:solidFill>
              <a:srgbClr val="575A5D"/>
            </a:solidFill>
            <a:ln>
              <a:noFill/>
            </a:ln>
            <a:effectLst/>
          </c:spPr>
          <c:cat>
            <c:numRef>
              <c:f>'Segment &amp; Sub Data'!$I$1:$N$1</c:f>
              <c:numCache>
                <c:formatCode>General</c:formatCode>
                <c:ptCount val="6"/>
                <c:pt idx="0">
                  <c:v>2012</c:v>
                </c:pt>
                <c:pt idx="1">
                  <c:v>2013</c:v>
                </c:pt>
                <c:pt idx="2">
                  <c:v>2014</c:v>
                </c:pt>
                <c:pt idx="3">
                  <c:v>2015</c:v>
                </c:pt>
                <c:pt idx="4">
                  <c:v>2016</c:v>
                </c:pt>
                <c:pt idx="5">
                  <c:v>2017</c:v>
                </c:pt>
              </c:numCache>
            </c:numRef>
          </c:cat>
          <c:val>
            <c:numRef>
              <c:f>'Segment &amp; Sub Data'!$I$16:$N$16</c:f>
              <c:numCache>
                <c:formatCode>#,##0_);[Red]\(#,##0\)</c:formatCode>
                <c:ptCount val="6"/>
                <c:pt idx="0">
                  <c:v>287542</c:v>
                </c:pt>
                <c:pt idx="1">
                  <c:v>712390</c:v>
                </c:pt>
                <c:pt idx="2">
                  <c:v>1308061</c:v>
                </c:pt>
                <c:pt idx="3">
                  <c:v>1953435</c:v>
                </c:pt>
                <c:pt idx="4">
                  <c:v>3211095</c:v>
                </c:pt>
                <c:pt idx="5">
                  <c:v>5089191</c:v>
                </c:pt>
              </c:numCache>
            </c:numRef>
          </c:val>
          <c:extLst>
            <c:ext xmlns:c16="http://schemas.microsoft.com/office/drawing/2014/chart" uri="{C3380CC4-5D6E-409C-BE32-E72D297353CC}">
              <c16:uniqueId val="{00000001-5C56-475A-A866-794CC070BD40}"/>
            </c:ext>
          </c:extLst>
        </c:ser>
        <c:ser>
          <c:idx val="2"/>
          <c:order val="2"/>
          <c:tx>
            <c:strRef>
              <c:f>'Segment &amp; Sub Data'!$A$25</c:f>
              <c:strCache>
                <c:ptCount val="1"/>
                <c:pt idx="0">
                  <c:v>Domestic DVD Revenues</c:v>
                </c:pt>
              </c:strCache>
            </c:strRef>
          </c:tx>
          <c:spPr>
            <a:solidFill>
              <a:srgbClr val="00B050"/>
            </a:solidFill>
            <a:ln>
              <a:noFill/>
            </a:ln>
            <a:effectLst/>
          </c:spPr>
          <c:cat>
            <c:numRef>
              <c:f>'Segment &amp; Sub Data'!$I$1:$N$1</c:f>
              <c:numCache>
                <c:formatCode>General</c:formatCode>
                <c:ptCount val="6"/>
                <c:pt idx="0">
                  <c:v>2012</c:v>
                </c:pt>
                <c:pt idx="1">
                  <c:v>2013</c:v>
                </c:pt>
                <c:pt idx="2">
                  <c:v>2014</c:v>
                </c:pt>
                <c:pt idx="3">
                  <c:v>2015</c:v>
                </c:pt>
                <c:pt idx="4">
                  <c:v>2016</c:v>
                </c:pt>
                <c:pt idx="5">
                  <c:v>2017</c:v>
                </c:pt>
              </c:numCache>
            </c:numRef>
          </c:cat>
          <c:val>
            <c:numRef>
              <c:f>'Segment &amp; Sub Data'!$I$25:$N$25</c:f>
              <c:numCache>
                <c:formatCode>#,##0_);[Red]\(#,##0\)</c:formatCode>
                <c:ptCount val="6"/>
                <c:pt idx="0">
                  <c:v>1136872</c:v>
                </c:pt>
                <c:pt idx="1">
                  <c:v>910797</c:v>
                </c:pt>
                <c:pt idx="2">
                  <c:v>765161</c:v>
                </c:pt>
                <c:pt idx="3">
                  <c:v>645737</c:v>
                </c:pt>
                <c:pt idx="4">
                  <c:v>542267</c:v>
                </c:pt>
                <c:pt idx="5">
                  <c:v>450497</c:v>
                </c:pt>
              </c:numCache>
            </c:numRef>
          </c:val>
          <c:extLst>
            <c:ext xmlns:c16="http://schemas.microsoft.com/office/drawing/2014/chart" uri="{C3380CC4-5D6E-409C-BE32-E72D297353CC}">
              <c16:uniqueId val="{00000002-5C56-475A-A866-794CC070BD40}"/>
            </c:ext>
          </c:extLst>
        </c:ser>
        <c:dLbls>
          <c:showLegendKey val="0"/>
          <c:showVal val="0"/>
          <c:showCatName val="0"/>
          <c:showSerName val="0"/>
          <c:showPercent val="0"/>
          <c:showBubbleSize val="0"/>
        </c:dLbls>
        <c:axId val="850514992"/>
        <c:axId val="850515320"/>
      </c:areaChart>
      <c:catAx>
        <c:axId val="850514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n-US"/>
          </a:p>
        </c:txPr>
        <c:crossAx val="850515320"/>
        <c:crosses val="autoZero"/>
        <c:auto val="1"/>
        <c:lblAlgn val="ctr"/>
        <c:lblOffset val="100"/>
        <c:noMultiLvlLbl val="0"/>
      </c:catAx>
      <c:valAx>
        <c:axId val="85051532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n-US"/>
          </a:p>
        </c:txPr>
        <c:crossAx val="85051499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Narrow" panose="020B0606020202030204" pitchFamily="34" charset="0"/>
                <a:ea typeface="+mn-ea"/>
                <a:cs typeface="+mn-cs"/>
              </a:defRPr>
            </a:pPr>
            <a:r>
              <a:rPr lang="en-US" sz="1400"/>
              <a:t>Streaming Content Obligations for Netflix</a:t>
            </a:r>
            <a:r>
              <a:rPr lang="en-US" sz="1400" baseline="0"/>
              <a:t> (USD Billions</a:t>
            </a:r>
            <a:r>
              <a:rPr lang="en-US" baseline="0"/>
              <a:t>)</a:t>
            </a:r>
            <a:endParaRPr lang="en-US" sz="1100"/>
          </a:p>
          <a:p>
            <a:pPr>
              <a:defRPr/>
            </a:pPr>
            <a:r>
              <a:rPr lang="en-US" sz="1100"/>
              <a:t>Due in...</a:t>
            </a: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7148676727909015E-2"/>
          <c:y val="0.21641650262467194"/>
          <c:w val="0.89634076990376199"/>
          <c:h val="0.69429516622922138"/>
        </c:manualLayout>
      </c:layout>
      <c:areaChart>
        <c:grouping val="stacked"/>
        <c:varyColors val="0"/>
        <c:ser>
          <c:idx val="0"/>
          <c:order val="0"/>
          <c:tx>
            <c:strRef>
              <c:f>'Streaming Content'!$A$2</c:f>
              <c:strCache>
                <c:ptCount val="1"/>
                <c:pt idx="0">
                  <c:v>Years 0-1</c:v>
                </c:pt>
              </c:strCache>
            </c:strRef>
          </c:tx>
          <c:spPr>
            <a:solidFill>
              <a:srgbClr val="0049AA"/>
            </a:solidFill>
            <a:ln>
              <a:noFill/>
            </a:ln>
            <a:effectLst/>
          </c:spPr>
          <c:cat>
            <c:numRef>
              <c:f>'Streaming Content'!$B$1:$G$1</c:f>
              <c:numCache>
                <c:formatCode>General</c:formatCode>
                <c:ptCount val="6"/>
                <c:pt idx="0">
                  <c:v>2012</c:v>
                </c:pt>
                <c:pt idx="1">
                  <c:v>2013</c:v>
                </c:pt>
                <c:pt idx="2">
                  <c:v>2014</c:v>
                </c:pt>
                <c:pt idx="3">
                  <c:v>2015</c:v>
                </c:pt>
                <c:pt idx="4">
                  <c:v>2016</c:v>
                </c:pt>
                <c:pt idx="5">
                  <c:v>2017</c:v>
                </c:pt>
              </c:numCache>
            </c:numRef>
          </c:cat>
          <c:val>
            <c:numRef>
              <c:f>'Streaming Content'!$B$2:$G$2</c:f>
              <c:numCache>
                <c:formatCode>#,##0.0</c:formatCode>
                <c:ptCount val="6"/>
                <c:pt idx="0">
                  <c:v>2.2995619999999999</c:v>
                </c:pt>
                <c:pt idx="1">
                  <c:v>2.9723250000000001</c:v>
                </c:pt>
                <c:pt idx="2">
                  <c:v>3.7476479999999999</c:v>
                </c:pt>
                <c:pt idx="3">
                  <c:v>4.7031720000000004</c:v>
                </c:pt>
                <c:pt idx="4">
                  <c:v>6.2006110000000003</c:v>
                </c:pt>
                <c:pt idx="5">
                  <c:v>7.4469469999999998</c:v>
                </c:pt>
              </c:numCache>
            </c:numRef>
          </c:val>
          <c:extLst>
            <c:ext xmlns:c16="http://schemas.microsoft.com/office/drawing/2014/chart" uri="{C3380CC4-5D6E-409C-BE32-E72D297353CC}">
              <c16:uniqueId val="{00000000-9ADD-4721-904E-036BB9D081C9}"/>
            </c:ext>
          </c:extLst>
        </c:ser>
        <c:ser>
          <c:idx val="1"/>
          <c:order val="1"/>
          <c:tx>
            <c:strRef>
              <c:f>'Streaming Content'!$A$3</c:f>
              <c:strCache>
                <c:ptCount val="1"/>
                <c:pt idx="0">
                  <c:v>Years 1-3</c:v>
                </c:pt>
              </c:strCache>
            </c:strRef>
          </c:tx>
          <c:spPr>
            <a:solidFill>
              <a:srgbClr val="575A5D"/>
            </a:solidFill>
            <a:ln>
              <a:noFill/>
            </a:ln>
            <a:effectLst/>
          </c:spPr>
          <c:cat>
            <c:numRef>
              <c:f>'Streaming Content'!$B$1:$G$1</c:f>
              <c:numCache>
                <c:formatCode>General</c:formatCode>
                <c:ptCount val="6"/>
                <c:pt idx="0">
                  <c:v>2012</c:v>
                </c:pt>
                <c:pt idx="1">
                  <c:v>2013</c:v>
                </c:pt>
                <c:pt idx="2">
                  <c:v>2014</c:v>
                </c:pt>
                <c:pt idx="3">
                  <c:v>2015</c:v>
                </c:pt>
                <c:pt idx="4">
                  <c:v>2016</c:v>
                </c:pt>
                <c:pt idx="5">
                  <c:v>2017</c:v>
                </c:pt>
              </c:numCache>
            </c:numRef>
          </c:cat>
          <c:val>
            <c:numRef>
              <c:f>'Streaming Content'!$B$3:$G$3</c:f>
              <c:numCache>
                <c:formatCode>#,##0.0</c:formatCode>
                <c:ptCount val="6"/>
                <c:pt idx="0">
                  <c:v>2.7152940000000001</c:v>
                </c:pt>
                <c:pt idx="1">
                  <c:v>3.2669069999999998</c:v>
                </c:pt>
                <c:pt idx="2">
                  <c:v>4.4951030000000003</c:v>
                </c:pt>
                <c:pt idx="3">
                  <c:v>5.2491469999999998</c:v>
                </c:pt>
                <c:pt idx="4">
                  <c:v>6.7313359999999998</c:v>
                </c:pt>
                <c:pt idx="5">
                  <c:v>8.2101590000000009</c:v>
                </c:pt>
              </c:numCache>
            </c:numRef>
          </c:val>
          <c:extLst>
            <c:ext xmlns:c16="http://schemas.microsoft.com/office/drawing/2014/chart" uri="{C3380CC4-5D6E-409C-BE32-E72D297353CC}">
              <c16:uniqueId val="{00000001-9ADD-4721-904E-036BB9D081C9}"/>
            </c:ext>
          </c:extLst>
        </c:ser>
        <c:ser>
          <c:idx val="2"/>
          <c:order val="2"/>
          <c:tx>
            <c:strRef>
              <c:f>'Streaming Content'!$A$4</c:f>
              <c:strCache>
                <c:ptCount val="1"/>
                <c:pt idx="0">
                  <c:v>Years 3-5</c:v>
                </c:pt>
              </c:strCache>
            </c:strRef>
          </c:tx>
          <c:spPr>
            <a:solidFill>
              <a:srgbClr val="00B050"/>
            </a:solidFill>
            <a:ln>
              <a:noFill/>
            </a:ln>
            <a:effectLst/>
          </c:spPr>
          <c:cat>
            <c:numRef>
              <c:f>'Streaming Content'!$B$1:$G$1</c:f>
              <c:numCache>
                <c:formatCode>General</c:formatCode>
                <c:ptCount val="6"/>
                <c:pt idx="0">
                  <c:v>2012</c:v>
                </c:pt>
                <c:pt idx="1">
                  <c:v>2013</c:v>
                </c:pt>
                <c:pt idx="2">
                  <c:v>2014</c:v>
                </c:pt>
                <c:pt idx="3">
                  <c:v>2015</c:v>
                </c:pt>
                <c:pt idx="4">
                  <c:v>2016</c:v>
                </c:pt>
                <c:pt idx="5">
                  <c:v>2017</c:v>
                </c:pt>
              </c:numCache>
            </c:numRef>
          </c:cat>
          <c:val>
            <c:numRef>
              <c:f>'Streaming Content'!$B$4:$G$4</c:f>
              <c:numCache>
                <c:formatCode>#,##0.0</c:formatCode>
                <c:ptCount val="6"/>
                <c:pt idx="0">
                  <c:v>0.54034599999999999</c:v>
                </c:pt>
                <c:pt idx="1">
                  <c:v>0.92964500000000005</c:v>
                </c:pt>
                <c:pt idx="2">
                  <c:v>1.1643079999999999</c:v>
                </c:pt>
                <c:pt idx="3">
                  <c:v>0.89186399999999999</c:v>
                </c:pt>
                <c:pt idx="4">
                  <c:v>1.3869339999999999</c:v>
                </c:pt>
                <c:pt idx="5">
                  <c:v>1.894001</c:v>
                </c:pt>
              </c:numCache>
            </c:numRef>
          </c:val>
          <c:extLst>
            <c:ext xmlns:c16="http://schemas.microsoft.com/office/drawing/2014/chart" uri="{C3380CC4-5D6E-409C-BE32-E72D297353CC}">
              <c16:uniqueId val="{00000002-9ADD-4721-904E-036BB9D081C9}"/>
            </c:ext>
          </c:extLst>
        </c:ser>
        <c:ser>
          <c:idx val="3"/>
          <c:order val="3"/>
          <c:tx>
            <c:strRef>
              <c:f>'Streaming Content'!$A$5</c:f>
              <c:strCache>
                <c:ptCount val="1"/>
                <c:pt idx="0">
                  <c:v>Years 5+</c:v>
                </c:pt>
              </c:strCache>
            </c:strRef>
          </c:tx>
          <c:spPr>
            <a:solidFill>
              <a:srgbClr val="00B0F0"/>
            </a:solidFill>
            <a:ln>
              <a:noFill/>
            </a:ln>
            <a:effectLst/>
          </c:spPr>
          <c:cat>
            <c:numRef>
              <c:f>'Streaming Content'!$B$1:$G$1</c:f>
              <c:numCache>
                <c:formatCode>General</c:formatCode>
                <c:ptCount val="6"/>
                <c:pt idx="0">
                  <c:v>2012</c:v>
                </c:pt>
                <c:pt idx="1">
                  <c:v>2013</c:v>
                </c:pt>
                <c:pt idx="2">
                  <c:v>2014</c:v>
                </c:pt>
                <c:pt idx="3">
                  <c:v>2015</c:v>
                </c:pt>
                <c:pt idx="4">
                  <c:v>2016</c:v>
                </c:pt>
                <c:pt idx="5">
                  <c:v>2017</c:v>
                </c:pt>
              </c:numCache>
            </c:numRef>
          </c:cat>
          <c:val>
            <c:numRef>
              <c:f>'Streaming Content'!$B$5:$G$5</c:f>
              <c:numCache>
                <c:formatCode>#,##0.0</c:formatCode>
                <c:ptCount val="6"/>
                <c:pt idx="0">
                  <c:v>7.8482999999999997E-2</c:v>
                </c:pt>
                <c:pt idx="1">
                  <c:v>8.3283999999999997E-2</c:v>
                </c:pt>
                <c:pt idx="2">
                  <c:v>4.4053000000000002E-2</c:v>
                </c:pt>
                <c:pt idx="3">
                  <c:v>5.8048000000000002E-2</c:v>
                </c:pt>
                <c:pt idx="4">
                  <c:v>0.160606</c:v>
                </c:pt>
                <c:pt idx="5">
                  <c:v>0.143535</c:v>
                </c:pt>
              </c:numCache>
            </c:numRef>
          </c:val>
          <c:extLst>
            <c:ext xmlns:c16="http://schemas.microsoft.com/office/drawing/2014/chart" uri="{C3380CC4-5D6E-409C-BE32-E72D297353CC}">
              <c16:uniqueId val="{00000003-9ADD-4721-904E-036BB9D081C9}"/>
            </c:ext>
          </c:extLst>
        </c:ser>
        <c:dLbls>
          <c:showLegendKey val="0"/>
          <c:showVal val="0"/>
          <c:showCatName val="0"/>
          <c:showSerName val="0"/>
          <c:showPercent val="0"/>
          <c:showBubbleSize val="0"/>
        </c:dLbls>
        <c:axId val="907382328"/>
        <c:axId val="907380360"/>
      </c:areaChart>
      <c:catAx>
        <c:axId val="907382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n-US"/>
          </a:p>
        </c:txPr>
        <c:crossAx val="907380360"/>
        <c:crosses val="autoZero"/>
        <c:auto val="1"/>
        <c:lblAlgn val="ctr"/>
        <c:lblOffset val="100"/>
        <c:noMultiLvlLbl val="0"/>
      </c:catAx>
      <c:valAx>
        <c:axId val="9073803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n-US"/>
          </a:p>
        </c:txPr>
        <c:crossAx val="907382328"/>
        <c:crosses val="autoZero"/>
        <c:crossBetween val="midCat"/>
      </c:valAx>
      <c:spPr>
        <a:noFill/>
        <a:ln>
          <a:noFill/>
        </a:ln>
        <a:effectLst/>
      </c:spPr>
    </c:plotArea>
    <c:legend>
      <c:legendPos val="t"/>
      <c:layout>
        <c:manualLayout>
          <c:xMode val="edge"/>
          <c:yMode val="edge"/>
          <c:x val="0.29325637029746282"/>
          <c:y val="0.11725694444444443"/>
          <c:w val="0.41348712270341209"/>
          <c:h val="6.3647473753280837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Narrow" panose="020B0606020202030204" pitchFamily="34" charset="0"/>
                <a:ea typeface="+mn-ea"/>
                <a:cs typeface="+mn-cs"/>
              </a:defRPr>
            </a:pPr>
            <a:r>
              <a:rPr lang="en-US"/>
              <a:t>Netflix Streaming Revenues / Streaming Obligations</a:t>
            </a: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'Streaming Content'!$A$11</c:f>
              <c:strCache>
                <c:ptCount val="1"/>
                <c:pt idx="0">
                  <c:v>Revenues / Obligations</c:v>
                </c:pt>
              </c:strCache>
            </c:strRef>
          </c:tx>
          <c:spPr>
            <a:ln w="28575" cap="rnd">
              <a:solidFill>
                <a:srgbClr val="0049AA"/>
              </a:solidFill>
              <a:round/>
            </a:ln>
            <a:effectLst/>
          </c:spPr>
          <c:marker>
            <c:symbol val="none"/>
          </c:marker>
          <c:cat>
            <c:numRef>
              <c:f>'Streaming Content'!$B$1:$G$1</c:f>
              <c:numCache>
                <c:formatCode>General</c:formatCode>
                <c:ptCount val="6"/>
                <c:pt idx="0">
                  <c:v>2012</c:v>
                </c:pt>
                <c:pt idx="1">
                  <c:v>2013</c:v>
                </c:pt>
                <c:pt idx="2">
                  <c:v>2014</c:v>
                </c:pt>
                <c:pt idx="3">
                  <c:v>2015</c:v>
                </c:pt>
                <c:pt idx="4">
                  <c:v>2016</c:v>
                </c:pt>
                <c:pt idx="5">
                  <c:v>2017</c:v>
                </c:pt>
              </c:numCache>
            </c:numRef>
          </c:cat>
          <c:val>
            <c:numRef>
              <c:f>'Streaming Content'!$B$11:$G$11</c:f>
              <c:numCache>
                <c:formatCode>0%</c:formatCode>
                <c:ptCount val="6"/>
                <c:pt idx="0">
                  <c:v>0.43886195270058587</c:v>
                </c:pt>
                <c:pt idx="1">
                  <c:v>0.47761832645469404</c:v>
                </c:pt>
                <c:pt idx="2">
                  <c:v>0.50147485290619764</c:v>
                </c:pt>
                <c:pt idx="3">
                  <c:v>0.56261640392686607</c:v>
                </c:pt>
                <c:pt idx="4">
                  <c:v>0.57242373296788751</c:v>
                </c:pt>
                <c:pt idx="5">
                  <c:v>0.63534577303118078</c:v>
                </c:pt>
              </c:numCache>
            </c:numRef>
          </c:val>
          <c:smooth val="0"/>
          <c:extLst>
            <c:ext xmlns:c16="http://schemas.microsoft.com/office/drawing/2014/chart" uri="{C3380CC4-5D6E-409C-BE32-E72D297353CC}">
              <c16:uniqueId val="{00000000-2FC1-476C-96A6-C54DAE130963}"/>
            </c:ext>
          </c:extLst>
        </c:ser>
        <c:dLbls>
          <c:showLegendKey val="0"/>
          <c:showVal val="0"/>
          <c:showCatName val="0"/>
          <c:showSerName val="0"/>
          <c:showPercent val="0"/>
          <c:showBubbleSize val="0"/>
        </c:dLbls>
        <c:smooth val="0"/>
        <c:axId val="1034912848"/>
        <c:axId val="1034907272"/>
      </c:lineChart>
      <c:catAx>
        <c:axId val="1034912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n-US"/>
          </a:p>
        </c:txPr>
        <c:crossAx val="1034907272"/>
        <c:crosses val="autoZero"/>
        <c:auto val="1"/>
        <c:lblAlgn val="ctr"/>
        <c:lblOffset val="100"/>
        <c:noMultiLvlLbl val="0"/>
      </c:catAx>
      <c:valAx>
        <c:axId val="1034907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n-US"/>
          </a:p>
        </c:txPr>
        <c:crossAx val="1034912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r>
              <a:rPr lang="en-US" sz="1800"/>
              <a:t>Revenue History and Scenarios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Data'!$B$2:$P$2</c:f>
              <c:numCache>
                <c:formatCode>_(* #,##0_);_(* \(#,##0\);_(* "-"??_);_(@_)</c:formatCode>
                <c:ptCount val="15"/>
                <c:pt idx="0">
                  <c:v>1364.6610000000001</c:v>
                </c:pt>
                <c:pt idx="1">
                  <c:v>1670.269</c:v>
                </c:pt>
                <c:pt idx="2">
                  <c:v>2162.625</c:v>
                </c:pt>
                <c:pt idx="3">
                  <c:v>3204.5770000000002</c:v>
                </c:pt>
                <c:pt idx="4">
                  <c:v>3609.2820000000002</c:v>
                </c:pt>
                <c:pt idx="5">
                  <c:v>4374.5619999999999</c:v>
                </c:pt>
                <c:pt idx="6">
                  <c:v>5504.6559999999999</c:v>
                </c:pt>
                <c:pt idx="7">
                  <c:v>6779.5110000000004</c:v>
                </c:pt>
                <c:pt idx="8">
                  <c:v>8830.6689999999999</c:v>
                </c:pt>
                <c:pt idx="9">
                  <c:v>11692.713</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Data'!$B$3:$P$3</c:f>
              <c:numCache>
                <c:formatCode>General</c:formatCode>
                <c:ptCount val="15"/>
                <c:pt idx="10" formatCode="_(* #,##0_);_(* \(#,##0\);_(* &quot;-&quot;??_);_(@_)">
                  <c:v>15642.911990000001</c:v>
                </c:pt>
                <c:pt idx="11" formatCode="_(* #,##0_);_(* \(#,##0\);_(* &quot;-&quot;??_);_(@_)">
                  <c:v>21366.487358100003</c:v>
                </c:pt>
                <c:pt idx="12" formatCode="_(* #,##0_);_(* \(#,##0\);_(* &quot;-&quot;??_);_(@_)">
                  <c:v>29054.358768791004</c:v>
                </c:pt>
                <c:pt idx="13" formatCode="_(* #,##0_);_(* \(#,##0\);_(* &quot;-&quot;??_);_(@_)">
                  <c:v>39990.098205257767</c:v>
                </c:pt>
                <c:pt idx="14" formatCode="_(* #,##0_);_(* \(#,##0\);_(* &quot;-&quot;??_);_(@_)">
                  <c:v>54167.888365379564</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Data'!$B$4:$P$4</c:f>
              <c:numCache>
                <c:formatCode>General</c:formatCode>
                <c:ptCount val="15"/>
                <c:pt idx="10" formatCode="_(* #,##0_);_(* \(#,##0\);_(* &quot;-&quot;??_);_(@_)">
                  <c:v>15304.495615</c:v>
                </c:pt>
                <c:pt idx="11" formatCode="_(* #,##0_);_(* \(#,##0\);_(* &quot;-&quot;??_);_(@_)">
                  <c:v>19330.919622387501</c:v>
                </c:pt>
                <c:pt idx="12" formatCode="_(* #,##0_);_(* \(#,##0\);_(* &quot;-&quot;??_);_(@_)">
                  <c:v>24114.604751420789</c:v>
                </c:pt>
                <c:pt idx="13" formatCode="_(* #,##0_);_(* \(#,##0\);_(* &quot;-&quot;??_);_(@_)">
                  <c:v>28280.31485097851</c:v>
                </c:pt>
                <c:pt idx="14" formatCode="_(* #,##0_);_(* \(#,##0\);_(* &quot;-&quot;??_);_(@_)">
                  <c:v>32918.577019301825</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Data'!$B$5:$P$5</c:f>
              <c:numCache>
                <c:formatCode>0%</c:formatCode>
                <c:ptCount val="15"/>
                <c:pt idx="1">
                  <c:v>0.22394426161515568</c:v>
                </c:pt>
                <c:pt idx="2">
                  <c:v>0.2947764701374449</c:v>
                </c:pt>
                <c:pt idx="3">
                  <c:v>0.48179966475926261</c:v>
                </c:pt>
                <c:pt idx="4">
                  <c:v>0.12628967879380015</c:v>
                </c:pt>
                <c:pt idx="5">
                  <c:v>0.21203109094828276</c:v>
                </c:pt>
                <c:pt idx="6">
                  <c:v>0.25833306283006174</c:v>
                </c:pt>
                <c:pt idx="7">
                  <c:v>0.23159576184233854</c:v>
                </c:pt>
                <c:pt idx="8">
                  <c:v>0.30255249973043763</c:v>
                </c:pt>
                <c:pt idx="9">
                  <c:v>0.32410273785598798</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Data'!$B$6:$P$6</c:f>
              <c:numCache>
                <c:formatCode>General</c:formatCode>
                <c:ptCount val="15"/>
                <c:pt idx="9" formatCode="0%">
                  <c:v>0.32410273785598798</c:v>
                </c:pt>
                <c:pt idx="10" formatCode="0%">
                  <c:v>0.337834255403344</c:v>
                </c:pt>
                <c:pt idx="11" formatCode="0%">
                  <c:v>0.36588937991589399</c:v>
                </c:pt>
                <c:pt idx="12" formatCode="0%">
                  <c:v>0.35980979380668021</c:v>
                </c:pt>
                <c:pt idx="13" formatCode="0%">
                  <c:v>0.37638894471880358</c:v>
                </c:pt>
                <c:pt idx="14" formatCode="0%">
                  <c:v>0.35453251670829222</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Data'!$B$7:$P$7</c:f>
              <c:numCache>
                <c:formatCode>General</c:formatCode>
                <c:ptCount val="15"/>
                <c:pt idx="9" formatCode="0%">
                  <c:v>0.32410273785598798</c:v>
                </c:pt>
                <c:pt idx="10" formatCode="0%">
                  <c:v>0.30889175292338056</c:v>
                </c:pt>
                <c:pt idx="11" formatCode="0%">
                  <c:v>0.26308766447952614</c:v>
                </c:pt>
                <c:pt idx="12" formatCode="0%">
                  <c:v>0.24746288446066544</c:v>
                </c:pt>
                <c:pt idx="13" formatCode="0%">
                  <c:v>0.17274635609825961</c:v>
                </c:pt>
                <c:pt idx="14" formatCode="0%">
                  <c:v>0.16401027332136753</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latin typeface="Arial Narrow" panose="020B060602020203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r>
              <a:rPr lang="en-US" sz="1800"/>
              <a:t>Owners' Cash Profit History and Scenarios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Data'!$B$10:$P$10</c:f>
              <c:numCache>
                <c:formatCode>_(* #,##0_);_(* \(#,##0\);_(* "-"??_);_(@_)</c:formatCode>
                <c:ptCount val="15"/>
                <c:pt idx="0">
                  <c:v>87.500747999999987</c:v>
                </c:pt>
                <c:pt idx="1">
                  <c:v>94.127175999999963</c:v>
                </c:pt>
                <c:pt idx="2">
                  <c:v>113.79141600000003</c:v>
                </c:pt>
                <c:pt idx="3">
                  <c:v>187.41109599999999</c:v>
                </c:pt>
                <c:pt idx="4">
                  <c:v>-73.112848999999997</c:v>
                </c:pt>
                <c:pt idx="5">
                  <c:v>-17.195610000000002</c:v>
                </c:pt>
                <c:pt idx="6">
                  <c:v>-113.19944800000002</c:v>
                </c:pt>
                <c:pt idx="7">
                  <c:v>-889.74228299999993</c:v>
                </c:pt>
                <c:pt idx="8">
                  <c:v>-1609.436864</c:v>
                </c:pt>
                <c:pt idx="9">
                  <c:v>-1913.0891310000002</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Data'!$B$11:$P$11</c:f>
              <c:numCache>
                <c:formatCode>General</c:formatCode>
                <c:ptCount val="15"/>
                <c:pt idx="10" formatCode="_(* #,##0_);_(* \(#,##0\);_(* &quot;-&quot;??_);_(@_)">
                  <c:v>-1564.2911990000002</c:v>
                </c:pt>
                <c:pt idx="11" formatCode="_(* #,##0_);_(* \(#,##0\);_(* &quot;-&quot;??_);_(@_)">
                  <c:v>-2136.6487358100003</c:v>
                </c:pt>
                <c:pt idx="12" formatCode="_(* #,##0_);_(* \(#,##0\);_(* &quot;-&quot;??_);_(@_)">
                  <c:v>-2033.8051138153705</c:v>
                </c:pt>
                <c:pt idx="13" formatCode="_(* #,##0_);_(* \(#,##0\);_(* &quot;-&quot;??_);_(@_)">
                  <c:v>-1999.5049102628884</c:v>
                </c:pt>
                <c:pt idx="14" formatCode="_(* #,##0_);_(* \(#,##0\);_(* &quot;-&quot;??_);_(@_)">
                  <c:v>1083.3577673075913</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Data'!$B$12:$P$12</c:f>
              <c:numCache>
                <c:formatCode>General</c:formatCode>
                <c:ptCount val="15"/>
                <c:pt idx="10" formatCode="_(* #,##0_);_(* \(#,##0\);_(* &quot;-&quot;??_);_(@_)">
                  <c:v>-1530.4495615000001</c:v>
                </c:pt>
                <c:pt idx="11" formatCode="_(* #,##0_);_(* \(#,##0\);_(* &quot;-&quot;??_);_(@_)">
                  <c:v>-1933.0919622387501</c:v>
                </c:pt>
                <c:pt idx="12" formatCode="_(* #,##0_);_(* \(#,##0\);_(* &quot;-&quot;??_);_(@_)">
                  <c:v>-2411.4604751420788</c:v>
                </c:pt>
                <c:pt idx="13" formatCode="_(* #,##0_);_(* \(#,##0\);_(* &quot;-&quot;??_);_(@_)">
                  <c:v>-1414.0157425489256</c:v>
                </c:pt>
                <c:pt idx="14" formatCode="_(* #,##0_);_(* \(#,##0\);_(* &quot;-&quot;??_);_(@_)">
                  <c:v>329.18577019301824</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Data'!$B$13:$P$13</c:f>
              <c:numCache>
                <c:formatCode>0%</c:formatCode>
                <c:ptCount val="15"/>
                <c:pt idx="0">
                  <c:v>6.4119036156232198E-2</c:v>
                </c:pt>
                <c:pt idx="1">
                  <c:v>5.6354500981578397E-2</c:v>
                </c:pt>
                <c:pt idx="2">
                  <c:v>5.2617266516386346E-2</c:v>
                </c:pt>
                <c:pt idx="3">
                  <c:v>5.8482319507379595E-2</c:v>
                </c:pt>
                <c:pt idx="4">
                  <c:v>-2.0256895692827546E-2</c:v>
                </c:pt>
                <c:pt idx="5">
                  <c:v>-3.9308186739609591E-3</c:v>
                </c:pt>
                <c:pt idx="6">
                  <c:v>-2.0564309195706329E-2</c:v>
                </c:pt>
                <c:pt idx="7">
                  <c:v>-0.13123989075318263</c:v>
                </c:pt>
                <c:pt idx="8">
                  <c:v>-0.18225537204485867</c:v>
                </c:pt>
                <c:pt idx="9">
                  <c:v>-0.16361379356527439</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Data'!$B$14:$P$14</c:f>
              <c:numCache>
                <c:formatCode>General</c:formatCode>
                <c:ptCount val="15"/>
                <c:pt idx="9" formatCode="0%">
                  <c:v>-0.16361379356527439</c:v>
                </c:pt>
                <c:pt idx="10" formatCode="0%">
                  <c:v>-0.1</c:v>
                </c:pt>
                <c:pt idx="11" formatCode="0%">
                  <c:v>-0.1</c:v>
                </c:pt>
                <c:pt idx="12" formatCode="0%">
                  <c:v>-7.0000000000000007E-2</c:v>
                </c:pt>
                <c:pt idx="13" formatCode="0%">
                  <c:v>-0.05</c:v>
                </c:pt>
                <c:pt idx="14" formatCode="0%">
                  <c:v>0.02</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44195</c:v>
                </c:pt>
                <c:pt idx="13">
                  <c:v>44560</c:v>
                </c:pt>
                <c:pt idx="14">
                  <c:v>44925</c:v>
                </c:pt>
              </c:numCache>
            </c:numRef>
          </c:cat>
          <c:val>
            <c:numRef>
              <c:f>'Graphing Data'!$B$15:$P$15</c:f>
              <c:numCache>
                <c:formatCode>General</c:formatCode>
                <c:ptCount val="15"/>
                <c:pt idx="9" formatCode="0%">
                  <c:v>-0.16361379356527439</c:v>
                </c:pt>
                <c:pt idx="10" formatCode="0%">
                  <c:v>-0.1</c:v>
                </c:pt>
                <c:pt idx="11" formatCode="0%">
                  <c:v>-0.1</c:v>
                </c:pt>
                <c:pt idx="12" formatCode="0%">
                  <c:v>-0.1</c:v>
                </c:pt>
                <c:pt idx="13" formatCode="0%">
                  <c:v>-0.05</c:v>
                </c:pt>
                <c:pt idx="14" formatCode="0%">
                  <c:v>0.01</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latin typeface="Arial Narrow" panose="020B060602020203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Expansionary Cash Flow versus Owners' Cash Profits</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39813</c:v>
                </c:pt>
                <c:pt idx="1">
                  <c:v>40178</c:v>
                </c:pt>
                <c:pt idx="2">
                  <c:v>40543</c:v>
                </c:pt>
                <c:pt idx="3">
                  <c:v>40908</c:v>
                </c:pt>
                <c:pt idx="4">
                  <c:v>41274</c:v>
                </c:pt>
                <c:pt idx="5">
                  <c:v>41639</c:v>
                </c:pt>
                <c:pt idx="6">
                  <c:v>42004</c:v>
                </c:pt>
                <c:pt idx="7">
                  <c:v>42369</c:v>
                </c:pt>
                <c:pt idx="8">
                  <c:v>42735</c:v>
                </c:pt>
                <c:pt idx="9">
                  <c:v>43100</c:v>
                </c:pt>
              </c:numCache>
            </c:numRef>
          </c:cat>
          <c:val>
            <c:numRef>
              <c:f>'Graphing Data'!$B$18:$K$18</c:f>
              <c:numCache>
                <c:formatCode>_(* #,##0_);_(* \(#,##0\);_(* "-"??_);_(@_)</c:formatCode>
                <c:ptCount val="10"/>
                <c:pt idx="0">
                  <c:v>87.500747999999987</c:v>
                </c:pt>
                <c:pt idx="1">
                  <c:v>94.127175999999963</c:v>
                </c:pt>
                <c:pt idx="2">
                  <c:v>113.79141600000003</c:v>
                </c:pt>
                <c:pt idx="3">
                  <c:v>187.41109599999999</c:v>
                </c:pt>
                <c:pt idx="4">
                  <c:v>-73.112848999999997</c:v>
                </c:pt>
                <c:pt idx="5">
                  <c:v>-17.195610000000002</c:v>
                </c:pt>
                <c:pt idx="6">
                  <c:v>-113.19944800000002</c:v>
                </c:pt>
                <c:pt idx="7">
                  <c:v>-889.74228299999993</c:v>
                </c:pt>
                <c:pt idx="8">
                  <c:v>-1609.436864</c:v>
                </c:pt>
                <c:pt idx="9">
                  <c:v>-1913.0891310000002</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39813</c:v>
                </c:pt>
                <c:pt idx="1">
                  <c:v>40178</c:v>
                </c:pt>
                <c:pt idx="2">
                  <c:v>40543</c:v>
                </c:pt>
                <c:pt idx="3">
                  <c:v>40908</c:v>
                </c:pt>
                <c:pt idx="4">
                  <c:v>41274</c:v>
                </c:pt>
                <c:pt idx="5">
                  <c:v>41639</c:v>
                </c:pt>
                <c:pt idx="6">
                  <c:v>42004</c:v>
                </c:pt>
                <c:pt idx="7">
                  <c:v>42369</c:v>
                </c:pt>
                <c:pt idx="8">
                  <c:v>42735</c:v>
                </c:pt>
                <c:pt idx="9">
                  <c:v>43100</c:v>
                </c:pt>
              </c:numCache>
            </c:numRef>
          </c:cat>
          <c:val>
            <c:numRef>
              <c:f>'Graphing Data'!$B$19:$K$19</c:f>
              <c:numCache>
                <c:formatCode>_(* #,##0_);_(* \(#,##0\);_(* "-"??_);_(@_)</c:formatCode>
                <c:ptCount val="10"/>
                <c:pt idx="0">
                  <c:v>657.71654910853147</c:v>
                </c:pt>
                <c:pt idx="1">
                  <c:v>937.56024938461758</c:v>
                </c:pt>
                <c:pt idx="2">
                  <c:v>1568.0137701492436</c:v>
                </c:pt>
                <c:pt idx="3">
                  <c:v>2033.6650992017917</c:v>
                </c:pt>
                <c:pt idx="4">
                  <c:v>2306.4224451169193</c:v>
                </c:pt>
                <c:pt idx="5">
                  <c:v>1112.6012622777273</c:v>
                </c:pt>
                <c:pt idx="6">
                  <c:v>1172.3332975775938</c:v>
                </c:pt>
                <c:pt idx="7">
                  <c:v>799.6877831746483</c:v>
                </c:pt>
                <c:pt idx="8">
                  <c:v>85.769048078873411</c:v>
                </c:pt>
                <c:pt idx="9">
                  <c:v>509.88054612106134</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Expansionary Cash Flow Breakdown</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39813</c:v>
                </c:pt>
                <c:pt idx="1">
                  <c:v>40178</c:v>
                </c:pt>
                <c:pt idx="2">
                  <c:v>40543</c:v>
                </c:pt>
                <c:pt idx="3">
                  <c:v>40908</c:v>
                </c:pt>
                <c:pt idx="4">
                  <c:v>41274</c:v>
                </c:pt>
                <c:pt idx="5">
                  <c:v>41639</c:v>
                </c:pt>
                <c:pt idx="6">
                  <c:v>42004</c:v>
                </c:pt>
                <c:pt idx="7">
                  <c:v>42369</c:v>
                </c:pt>
                <c:pt idx="8">
                  <c:v>42735</c:v>
                </c:pt>
                <c:pt idx="9">
                  <c:v>43100</c:v>
                </c:pt>
              </c:numCache>
            </c:numRef>
          </c:cat>
          <c:val>
            <c:numRef>
              <c:f>'Graphing Data'!$B$22:$K$22</c:f>
              <c:numCache>
                <c:formatCode>_(* #,##0_);_(* \(#,##0\);_(* "-"??_);_(@_)</c:formatCode>
                <c:ptCount val="10"/>
                <c:pt idx="0">
                  <c:v>-151.68425199999999</c:v>
                </c:pt>
                <c:pt idx="1">
                  <c:v>-184.80382400000002</c:v>
                </c:pt>
                <c:pt idx="2">
                  <c:v>-128.77258399999999</c:v>
                </c:pt>
                <c:pt idx="3">
                  <c:v>-80.618904000000001</c:v>
                </c:pt>
                <c:pt idx="4">
                  <c:v>-6.1458489999999983</c:v>
                </c:pt>
                <c:pt idx="5">
                  <c:v>-60.883610000000004</c:v>
                </c:pt>
                <c:pt idx="6">
                  <c:v>-59.956448000000023</c:v>
                </c:pt>
                <c:pt idx="7">
                  <c:v>-49.055282999999989</c:v>
                </c:pt>
                <c:pt idx="8">
                  <c:v>-27.799863999999999</c:v>
                </c:pt>
                <c:pt idx="9">
                  <c:v>46.160868999999991</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39813</c:v>
                </c:pt>
                <c:pt idx="1">
                  <c:v>40178</c:v>
                </c:pt>
                <c:pt idx="2">
                  <c:v>40543</c:v>
                </c:pt>
                <c:pt idx="3">
                  <c:v>40908</c:v>
                </c:pt>
                <c:pt idx="4">
                  <c:v>41274</c:v>
                </c:pt>
                <c:pt idx="5">
                  <c:v>41639</c:v>
                </c:pt>
                <c:pt idx="6">
                  <c:v>42004</c:v>
                </c:pt>
                <c:pt idx="7">
                  <c:v>42369</c:v>
                </c:pt>
                <c:pt idx="8">
                  <c:v>42735</c:v>
                </c:pt>
                <c:pt idx="9">
                  <c:v>43100</c:v>
                </c:pt>
              </c:numCache>
            </c:numRef>
          </c:cat>
          <c:val>
            <c:numRef>
              <c:f>'Graphing Data'!$B$24:$K$24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29-4520-A328-5E8B3CBDF464}"/>
            </c:ext>
          </c:extLst>
        </c:ser>
        <c:ser>
          <c:idx val="4"/>
          <c:order val="2"/>
          <c:tx>
            <c:strRef>
              <c:f>'Graphing Data'!$A$27</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39813</c:v>
                </c:pt>
                <c:pt idx="1">
                  <c:v>40178</c:v>
                </c:pt>
                <c:pt idx="2">
                  <c:v>40543</c:v>
                </c:pt>
                <c:pt idx="3">
                  <c:v>40908</c:v>
                </c:pt>
                <c:pt idx="4">
                  <c:v>41274</c:v>
                </c:pt>
                <c:pt idx="5">
                  <c:v>41639</c:v>
                </c:pt>
                <c:pt idx="6">
                  <c:v>42004</c:v>
                </c:pt>
                <c:pt idx="7">
                  <c:v>42369</c:v>
                </c:pt>
                <c:pt idx="8">
                  <c:v>42735</c:v>
                </c:pt>
                <c:pt idx="9">
                  <c:v>43100</c:v>
                </c:pt>
              </c:numCache>
            </c:numRef>
          </c:cat>
          <c:val>
            <c:numRef>
              <c:f>'Graphing Data'!$B$27:$K$27</c:f>
              <c:numCache>
                <c:formatCode>_(* #,##0_);_(* \(#,##0\);_(* "-"??_);_(@_)</c:formatCode>
                <c:ptCount val="10"/>
                <c:pt idx="0">
                  <c:v>-13.599198891468479</c:v>
                </c:pt>
                <c:pt idx="1">
                  <c:v>-35.635926615382395</c:v>
                </c:pt>
                <c:pt idx="2">
                  <c:v>-79.213645850756407</c:v>
                </c:pt>
                <c:pt idx="3">
                  <c:v>31.28400320179172</c:v>
                </c:pt>
                <c:pt idx="4">
                  <c:v>-6.4317058830808636</c:v>
                </c:pt>
                <c:pt idx="5">
                  <c:v>-6.5151277222726378</c:v>
                </c:pt>
                <c:pt idx="6">
                  <c:v>139.28974557759369</c:v>
                </c:pt>
                <c:pt idx="7">
                  <c:v>303.74306617464833</c:v>
                </c:pt>
                <c:pt idx="8">
                  <c:v>113.56891207887341</c:v>
                </c:pt>
                <c:pt idx="9">
                  <c:v>463.71967712106135</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39813</c:v>
                </c:pt>
                <c:pt idx="1">
                  <c:v>40178</c:v>
                </c:pt>
                <c:pt idx="2">
                  <c:v>40543</c:v>
                </c:pt>
                <c:pt idx="3">
                  <c:v>40908</c:v>
                </c:pt>
                <c:pt idx="4">
                  <c:v>41274</c:v>
                </c:pt>
                <c:pt idx="5">
                  <c:v>41639</c:v>
                </c:pt>
                <c:pt idx="6">
                  <c:v>42004</c:v>
                </c:pt>
                <c:pt idx="7">
                  <c:v>42369</c:v>
                </c:pt>
                <c:pt idx="8">
                  <c:v>42735</c:v>
                </c:pt>
                <c:pt idx="9">
                  <c:v>43100</c:v>
                </c:pt>
              </c:numCache>
            </c:numRef>
          </c:cat>
          <c:val>
            <c:numRef>
              <c:f>'Graphing Data'!$B$25:$K$25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39813</c:v>
                </c:pt>
                <c:pt idx="1">
                  <c:v>40178</c:v>
                </c:pt>
                <c:pt idx="2">
                  <c:v>40543</c:v>
                </c:pt>
                <c:pt idx="3">
                  <c:v>40908</c:v>
                </c:pt>
                <c:pt idx="4">
                  <c:v>41274</c:v>
                </c:pt>
                <c:pt idx="5">
                  <c:v>41639</c:v>
                </c:pt>
                <c:pt idx="6">
                  <c:v>42004</c:v>
                </c:pt>
                <c:pt idx="7">
                  <c:v>42369</c:v>
                </c:pt>
                <c:pt idx="8">
                  <c:v>42735</c:v>
                </c:pt>
                <c:pt idx="9">
                  <c:v>43100</c:v>
                </c:pt>
              </c:numCache>
            </c:numRef>
          </c:cat>
          <c:val>
            <c:numRef>
              <c:f>'Graphing Data'!$B$23:$K$23</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129-4520-A328-5E8B3CBDF464}"/>
            </c:ext>
          </c:extLst>
        </c:ser>
        <c:ser>
          <c:idx val="5"/>
          <c:order val="5"/>
          <c:tx>
            <c:strRef>
              <c:f>'Graphing Data'!$A$26</c:f>
              <c:strCache>
                <c:ptCount val="1"/>
                <c:pt idx="0">
                  <c:v>Capital Lease Payments</c:v>
                </c:pt>
              </c:strCache>
            </c:strRef>
          </c:tx>
          <c:spPr>
            <a:solidFill>
              <a:schemeClr val="accent5">
                <a:lumMod val="60000"/>
              </a:schemeClr>
            </a:solidFill>
            <a:ln>
              <a:noFill/>
            </a:ln>
            <a:effectLst/>
          </c:spPr>
          <c:invertIfNegative val="0"/>
          <c:cat>
            <c:numRef>
              <c:f>'Graphing Data'!$B$21:$K$21</c:f>
              <c:numCache>
                <c:formatCode>yyyy</c:formatCode>
                <c:ptCount val="10"/>
                <c:pt idx="0">
                  <c:v>39813</c:v>
                </c:pt>
                <c:pt idx="1">
                  <c:v>40178</c:v>
                </c:pt>
                <c:pt idx="2">
                  <c:v>40543</c:v>
                </c:pt>
                <c:pt idx="3">
                  <c:v>40908</c:v>
                </c:pt>
                <c:pt idx="4">
                  <c:v>41274</c:v>
                </c:pt>
                <c:pt idx="5">
                  <c:v>41639</c:v>
                </c:pt>
                <c:pt idx="6">
                  <c:v>42004</c:v>
                </c:pt>
                <c:pt idx="7">
                  <c:v>42369</c:v>
                </c:pt>
                <c:pt idx="8">
                  <c:v>42735</c:v>
                </c:pt>
                <c:pt idx="9">
                  <c:v>43100</c:v>
                </c:pt>
              </c:numCache>
            </c:numRef>
          </c:cat>
          <c:val>
            <c:numRef>
              <c:f>'Graphing Data'!$B$26:$K$26</c:f>
              <c:numCache>
                <c:formatCode>_(* #,##0_);_(* \(#,##0\);_(* "-"??_);_(@_)</c:formatCode>
                <c:ptCount val="10"/>
                <c:pt idx="0">
                  <c:v>-823</c:v>
                </c:pt>
                <c:pt idx="1">
                  <c:v>-1158</c:v>
                </c:pt>
                <c:pt idx="2">
                  <c:v>-1776</c:v>
                </c:pt>
                <c:pt idx="3">
                  <c:v>-2083</c:v>
                </c:pt>
                <c:pt idx="4">
                  <c:v>-2319</c:v>
                </c:pt>
                <c:pt idx="5">
                  <c:v>-1180</c:v>
                </c:pt>
                <c:pt idx="6">
                  <c:v>-1093</c:v>
                </c:pt>
                <c:pt idx="7">
                  <c:v>-545</c:v>
                </c:pt>
                <c:pt idx="8">
                  <c:v>0</c:v>
                </c:pt>
                <c:pt idx="9">
                  <c:v>0</c:v>
                </c:pt>
              </c:numCache>
            </c:numRef>
          </c:val>
          <c:extLst>
            <c:ext xmlns:c16="http://schemas.microsoft.com/office/drawing/2014/chart" uri="{C3380CC4-5D6E-409C-BE32-E72D297353CC}">
              <c16:uniqueId val="{00000000-C26E-469B-B377-135E54DF6071}"/>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69" workbookViewId="0" zoomToFit="1"/>
  </sheetViews>
  <pageMargins left="0.7" right="0.7" top="0.75" bottom="0.75" header="0.3" footer="0.3"/>
  <pageSetup paperSize="5"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36" workbookViewId="0" zoomToFit="1"/>
  </sheetViews>
  <pageMargins left="0.7" right="0.7" top="0.75" bottom="0.75" header="0.3" footer="0.3"/>
  <pageSetup paperSize="5"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69" workbookViewId="0" zoomToFit="1"/>
  </sheetViews>
  <pageMargins left="0.7" right="0.7" top="0.75" bottom="0.75" header="0.3" footer="0.3"/>
  <pageSetup paperSize="5"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69" workbookViewId="0" zoomToFit="1"/>
  </sheetViews>
  <pageMargins left="0.7" right="0.7" top="0.75" bottom="0.75" header="0.3" footer="0.3"/>
  <pageSetup paperSize="5"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69" workbookViewId="0" zoomToFit="1"/>
  </sheetViews>
  <pageMargins left="0.7" right="0.7" top="0.75" bottom="0.75" header="0.3" footer="0.3"/>
  <pageSetup paperSize="5"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69" workbookViewId="0" zoomToFit="1"/>
  </sheetViews>
  <pageMargins left="0.7" right="0.7" top="0.75" bottom="0.75" header="0.3" footer="0.3"/>
  <pageSetup paperSize="5"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6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15</xdr:col>
      <xdr:colOff>230980</xdr:colOff>
      <xdr:row>1</xdr:row>
      <xdr:rowOff>107156</xdr:rowOff>
    </xdr:from>
    <xdr:to>
      <xdr:col>22</xdr:col>
      <xdr:colOff>269080</xdr:colOff>
      <xdr:row>26</xdr:row>
      <xdr:rowOff>154781</xdr:rowOff>
    </xdr:to>
    <xdr:graphicFrame macro="">
      <xdr:nvGraphicFramePr>
        <xdr:cNvPr id="5" name="Chart 4">
          <a:extLst>
            <a:ext uri="{FF2B5EF4-FFF2-40B4-BE49-F238E27FC236}">
              <a16:creationId xmlns:a16="http://schemas.microsoft.com/office/drawing/2014/main" id="{069AED63-9327-4820-9950-A7543B46C2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186127</xdr:colOff>
      <xdr:row>27</xdr:row>
      <xdr:rowOff>54748</xdr:rowOff>
    </xdr:from>
    <xdr:to>
      <xdr:col>27</xdr:col>
      <xdr:colOff>144086</xdr:colOff>
      <xdr:row>46</xdr:row>
      <xdr:rowOff>176055</xdr:rowOff>
    </xdr:to>
    <xdr:graphicFrame macro="">
      <xdr:nvGraphicFramePr>
        <xdr:cNvPr id="2" name="Chart 1">
          <a:extLst>
            <a:ext uri="{FF2B5EF4-FFF2-40B4-BE49-F238E27FC236}">
              <a16:creationId xmlns:a16="http://schemas.microsoft.com/office/drawing/2014/main" id="{F81A52FA-3591-4111-9B36-8864561B57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186121</xdr:colOff>
      <xdr:row>47</xdr:row>
      <xdr:rowOff>128314</xdr:rowOff>
    </xdr:from>
    <xdr:to>
      <xdr:col>27</xdr:col>
      <xdr:colOff>151742</xdr:colOff>
      <xdr:row>67</xdr:row>
      <xdr:rowOff>63500</xdr:rowOff>
    </xdr:to>
    <xdr:graphicFrame macro="">
      <xdr:nvGraphicFramePr>
        <xdr:cNvPr id="3" name="Chart 1">
          <a:extLst>
            <a:ext uri="{FF2B5EF4-FFF2-40B4-BE49-F238E27FC236}">
              <a16:creationId xmlns:a16="http://schemas.microsoft.com/office/drawing/2014/main" id="{A81B15DA-E335-4C78-BDC3-4F186A01EF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0" y="0"/>
    <xdr:ext cx="8682935" cy="6308587"/>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476250</xdr:colOff>
      <xdr:row>1</xdr:row>
      <xdr:rowOff>57150</xdr:rowOff>
    </xdr:from>
    <xdr:to>
      <xdr:col>21</xdr:col>
      <xdr:colOff>476250</xdr:colOff>
      <xdr:row>20</xdr:row>
      <xdr:rowOff>95250</xdr:rowOff>
    </xdr:to>
    <xdr:graphicFrame macro="">
      <xdr:nvGraphicFramePr>
        <xdr:cNvPr id="3" name="Chart 2">
          <a:extLst>
            <a:ext uri="{FF2B5EF4-FFF2-40B4-BE49-F238E27FC236}">
              <a16:creationId xmlns:a16="http://schemas.microsoft.com/office/drawing/2014/main" id="{D902A5E2-4BF3-45F3-ADA8-B3CE52C052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485775</xdr:colOff>
      <xdr:row>21</xdr:row>
      <xdr:rowOff>9525</xdr:rowOff>
    </xdr:from>
    <xdr:to>
      <xdr:col>21</xdr:col>
      <xdr:colOff>485775</xdr:colOff>
      <xdr:row>40</xdr:row>
      <xdr:rowOff>47625</xdr:rowOff>
    </xdr:to>
    <xdr:graphicFrame macro="">
      <xdr:nvGraphicFramePr>
        <xdr:cNvPr id="4" name="Chart 3">
          <a:extLst>
            <a:ext uri="{FF2B5EF4-FFF2-40B4-BE49-F238E27FC236}">
              <a16:creationId xmlns:a16="http://schemas.microsoft.com/office/drawing/2014/main" id="{DBB2069E-9192-4BE3-8D3D-F4EB0CAF26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11430000" cy="6308587"/>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1408989" cy="6289301"/>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1430000" cy="630858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0.09393</cdr:x>
      <cdr:y>0.1027</cdr:y>
    </cdr:from>
    <cdr:to>
      <cdr:x>0.37342</cdr:x>
      <cdr:y>0.21154</cdr:y>
    </cdr:to>
    <cdr:sp macro="" textlink="">
      <cdr:nvSpPr>
        <cdr:cNvPr id="2" name="TextBox 1">
          <a:extLst xmlns:a="http://schemas.openxmlformats.org/drawingml/2006/main">
            <a:ext uri="{FF2B5EF4-FFF2-40B4-BE49-F238E27FC236}">
              <a16:creationId xmlns:a16="http://schemas.microsoft.com/office/drawing/2014/main" id="{9549A583-6C84-4074-A236-EDEA9D3C1660}"/>
            </a:ext>
          </a:extLst>
        </cdr:cNvPr>
        <cdr:cNvSpPr txBox="1"/>
      </cdr:nvSpPr>
      <cdr:spPr>
        <a:xfrm xmlns:a="http://schemas.openxmlformats.org/drawingml/2006/main">
          <a:off x="1071420" y="645473"/>
          <a:ext cx="3188024" cy="6840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Arial Narrow" panose="020B0606020202030204" pitchFamily="34" charset="0"/>
            </a:rPr>
            <a:t>Owners' Cash</a:t>
          </a:r>
          <a:r>
            <a:rPr lang="en-US" sz="1400" baseline="0">
              <a:latin typeface="Arial Narrow" panose="020B0606020202030204" pitchFamily="34" charset="0"/>
            </a:rPr>
            <a:t> Profits</a:t>
          </a:r>
        </a:p>
        <a:p xmlns:a="http://schemas.openxmlformats.org/drawingml/2006/main">
          <a:r>
            <a:rPr lang="en-US" sz="1400" baseline="0">
              <a:latin typeface="Arial Narrow" panose="020B0606020202030204" pitchFamily="34" charset="0"/>
            </a:rPr>
            <a:t>Expansionary Cash Flow</a:t>
          </a:r>
        </a:p>
      </cdr:txBody>
    </cdr:sp>
  </cdr:relSizeAnchor>
  <cdr:relSizeAnchor xmlns:cdr="http://schemas.openxmlformats.org/drawingml/2006/chartDrawing">
    <cdr:from>
      <cdr:x>0.28522</cdr:x>
      <cdr:y>0.10743</cdr:y>
    </cdr:from>
    <cdr:to>
      <cdr:x>0.37113</cdr:x>
      <cdr:y>0.13109</cdr:y>
    </cdr:to>
    <cdr:sp macro="" textlink="">
      <cdr:nvSpPr>
        <cdr:cNvPr id="3" name="Rectangle 2">
          <a:extLst xmlns:a="http://schemas.openxmlformats.org/drawingml/2006/main">
            <a:ext uri="{FF2B5EF4-FFF2-40B4-BE49-F238E27FC236}">
              <a16:creationId xmlns:a16="http://schemas.microsoft.com/office/drawing/2014/main" id="{CAFB3295-876E-4E6E-B08F-085539DBDDD1}"/>
            </a:ext>
          </a:extLst>
        </cdr:cNvPr>
        <cdr:cNvSpPr/>
      </cdr:nvSpPr>
      <cdr:spPr>
        <a:xfrm xmlns:a="http://schemas.openxmlformats.org/drawingml/2006/main">
          <a:off x="3253384" y="675200"/>
          <a:ext cx="979939" cy="148702"/>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0.28468</cdr:x>
      <cdr:y>0.15045</cdr:y>
    </cdr:from>
    <cdr:to>
      <cdr:x>0.37059</cdr:x>
      <cdr:y>0.16603</cdr:y>
    </cdr:to>
    <cdr:sp macro="" textlink="">
      <cdr:nvSpPr>
        <cdr:cNvPr id="4" name="Rectangle 3">
          <a:extLst xmlns:a="http://schemas.openxmlformats.org/drawingml/2006/main">
            <a:ext uri="{FF2B5EF4-FFF2-40B4-BE49-F238E27FC236}">
              <a16:creationId xmlns:a16="http://schemas.microsoft.com/office/drawing/2014/main" id="{F93D25FD-919D-45D2-A8FE-90E20425A684}"/>
            </a:ext>
          </a:extLst>
        </cdr:cNvPr>
        <cdr:cNvSpPr/>
      </cdr:nvSpPr>
      <cdr:spPr>
        <a:xfrm xmlns:a="http://schemas.openxmlformats.org/drawingml/2006/main">
          <a:off x="3247173" y="945571"/>
          <a:ext cx="979939" cy="97920"/>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430000" cy="6308587"/>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11430000" cy="6308587"/>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11430000" cy="6308587"/>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dfedd50d51e5ce/Documents/Business/Models/_Companies/GILD/IOI%20Valuation%20Model%20-%20Gilead%20Sciences%20(GILD)%202016.09.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sheetData sheetId="1"/>
      <sheetData sheetId="2"/>
      <sheetData sheetId="3"/>
      <sheetData sheetId="4"/>
      <sheetData sheetId="5"/>
      <sheetData sheetId="6">
        <row r="3">
          <cell r="B3" t="b">
            <v>0</v>
          </cell>
        </row>
        <row r="5">
          <cell r="B5" t="b">
            <v>0</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p data"/>
      <sheetName val="Segment"/>
      <sheetName val="Revenue Model"/>
      <sheetName val="Product Line Graphs"/>
      <sheetName val="Pipeline"/>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GILD</v>
          </cell>
        </row>
        <row r="17">
          <cell r="C17">
            <v>0</v>
          </cell>
        </row>
        <row r="22">
          <cell r="K22">
            <v>106.5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K2">
            <v>16.695</v>
          </cell>
        </row>
      </sheetData>
      <sheetData sheetId="15" refreshError="1"/>
      <sheetData sheetId="16" refreshError="1"/>
      <sheetData sheetId="17" refreshError="1"/>
      <sheetData sheetId="18" refreshError="1"/>
      <sheetData sheetId="19">
        <row r="1">
          <cell r="E1">
            <v>7</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45"/>
  <sheetViews>
    <sheetView showGridLines="0" tabSelected="1" zoomScale="110" zoomScaleNormal="110" workbookViewId="0">
      <selection activeCell="K3" activeCellId="1" sqref="K5 K3"/>
    </sheetView>
  </sheetViews>
  <sheetFormatPr defaultRowHeight="15"/>
  <cols>
    <col min="1" max="1" width="38.7109375" bestFit="1" customWidth="1"/>
    <col min="2" max="7" width="11.7109375" customWidth="1"/>
    <col min="8" max="9" width="10.5703125" bestFit="1" customWidth="1"/>
    <col min="10" max="10" width="11.42578125" customWidth="1"/>
    <col min="11" max="11" width="10.5703125" bestFit="1" customWidth="1"/>
    <col min="12" max="13" width="9.5703125" bestFit="1" customWidth="1"/>
    <col min="14" max="14" width="10.5703125" bestFit="1" customWidth="1"/>
    <col min="15" max="15" width="11.5703125" bestFit="1" customWidth="1"/>
  </cols>
  <sheetData>
    <row r="1" spans="1:13" ht="15.75" thickBot="1">
      <c r="A1" s="177" t="s">
        <v>61</v>
      </c>
      <c r="B1" s="177"/>
      <c r="C1" s="177"/>
      <c r="D1" s="177"/>
      <c r="E1" s="177"/>
      <c r="F1" s="177"/>
      <c r="G1" s="177"/>
      <c r="I1" s="186" t="s">
        <v>51</v>
      </c>
      <c r="J1" s="187"/>
      <c r="K1" s="91" t="s">
        <v>58</v>
      </c>
      <c r="L1" s="63" t="s">
        <v>108</v>
      </c>
    </row>
    <row r="2" spans="1:13">
      <c r="A2" s="51" t="s">
        <v>207</v>
      </c>
      <c r="B2" s="44" t="s">
        <v>208</v>
      </c>
      <c r="C2" s="98" t="str">
        <f>A2&amp;" ("&amp;ticker&amp;")"</f>
        <v>Netflix (NFLX)</v>
      </c>
      <c r="E2" s="3" t="s">
        <v>57</v>
      </c>
      <c r="F2" s="3"/>
      <c r="G2" s="50">
        <v>307.94</v>
      </c>
      <c r="I2" s="182" t="str">
        <f>(ROUND(AVERAGE(C9:G9)*100,0)&amp;"% | "&amp;ROUND(AVERAGE(C11:G11)*100,0)&amp;"% | "&amp;ROUND(C18*100,0)&amp;"%")</f>
        <v>23% | -7% | 27%</v>
      </c>
      <c r="J2" s="183"/>
      <c r="K2" s="92">
        <f ca="1">TRUNC(Scenario1)+B13/G4</f>
        <v>24</v>
      </c>
      <c r="L2" s="94" t="s">
        <v>53</v>
      </c>
      <c r="M2" s="45"/>
    </row>
    <row r="3" spans="1:13">
      <c r="A3" t="s">
        <v>0</v>
      </c>
      <c r="B3" s="13">
        <v>43100</v>
      </c>
      <c r="E3" t="s">
        <v>60</v>
      </c>
      <c r="G3" s="31">
        <f>'Company Analysis'!K3</f>
        <v>11692.713</v>
      </c>
      <c r="I3" s="182" t="str">
        <f>(ROUND(AVERAGE(C9:G9)*100,0)&amp;"% | "&amp;ROUND(AVERAGE(C11:G11)*100,0)&amp;"% | "&amp;ROUND(C17*100,0)&amp;"%")</f>
        <v>23% | -7% | 47%</v>
      </c>
      <c r="J3" s="183"/>
      <c r="K3" s="92">
        <f ca="1">TRUNC(Scenario2)+B13/G4</f>
        <v>277</v>
      </c>
      <c r="L3" s="94" t="s">
        <v>53</v>
      </c>
      <c r="M3" s="46"/>
    </row>
    <row r="4" spans="1:13" ht="15.75" thickBot="1">
      <c r="A4" s="68" t="s">
        <v>1</v>
      </c>
      <c r="B4" s="52">
        <v>0.1</v>
      </c>
      <c r="C4" s="12"/>
      <c r="D4" s="12"/>
      <c r="E4" s="12" t="s">
        <v>6</v>
      </c>
      <c r="F4" s="12"/>
      <c r="G4" s="53">
        <v>433.94846100000001</v>
      </c>
      <c r="I4" s="182" t="str">
        <f>(ROUND(AVERAGE(C9:G9)*100,0)&amp;"% | "&amp;ROUND(AVERAGE(C10:G10)*100,0)&amp;"% | "&amp;ROUND(C18*100,0)&amp;"%")</f>
        <v>23% | -6% | 27%</v>
      </c>
      <c r="J4" s="183"/>
      <c r="K4" s="92">
        <f ca="1">TRUNC(Scenario3)+B13/G4</f>
        <v>68</v>
      </c>
      <c r="L4" s="95" t="s">
        <v>53</v>
      </c>
      <c r="M4" s="47"/>
    </row>
    <row r="5" spans="1:13">
      <c r="B5" s="2"/>
      <c r="I5" s="182" t="str">
        <f>(ROUND(AVERAGE(C9:G9)*100,0)&amp;"% | "&amp;ROUND(AVERAGE(C10:G10)*100,0)&amp;"% | "&amp;ROUND(C17*100,0)&amp;"%")</f>
        <v>23% | -6% | 47%</v>
      </c>
      <c r="J5" s="183"/>
      <c r="K5" s="92">
        <f ca="1">TRUNC(Scenario4)+B13/G4</f>
        <v>574</v>
      </c>
      <c r="L5" s="95" t="s">
        <v>53</v>
      </c>
      <c r="M5" s="47"/>
    </row>
    <row r="6" spans="1:13" s="9" customFormat="1" ht="15.75" thickBot="1">
      <c r="A6" s="177" t="s">
        <v>96</v>
      </c>
      <c r="B6" s="177"/>
      <c r="C6" s="177"/>
      <c r="D6" s="177"/>
      <c r="E6" s="177"/>
      <c r="F6" s="177"/>
      <c r="G6" s="177"/>
      <c r="H6" s="8"/>
      <c r="I6" s="182" t="str">
        <f>(ROUND(AVERAGE(C8:G8)*100,0)&amp;"% | "&amp;ROUND(AVERAGE(C11:G11)*100,0)&amp;"% | "&amp;ROUND(C18*100,0)&amp;"%")</f>
        <v>36% | -7% | 27%</v>
      </c>
      <c r="J6" s="183"/>
      <c r="K6" s="92">
        <f ca="1">TRUNC(Scenario5)+B13/G4</f>
        <v>49</v>
      </c>
      <c r="L6" s="94" t="s">
        <v>53</v>
      </c>
      <c r="M6" s="48"/>
    </row>
    <row r="7" spans="1:13">
      <c r="A7" s="7"/>
      <c r="B7" s="7" t="s">
        <v>2</v>
      </c>
      <c r="C7" s="40">
        <v>1</v>
      </c>
      <c r="D7" s="40">
        <v>2</v>
      </c>
      <c r="E7" s="40">
        <v>3</v>
      </c>
      <c r="F7" s="40">
        <v>4</v>
      </c>
      <c r="G7" s="40">
        <v>5</v>
      </c>
      <c r="I7" s="182" t="str">
        <f>(ROUND(AVERAGE(C8:G8)*100,0)&amp;"% | "&amp;ROUND(AVERAGE(C11:G11)*100,0)&amp;"% | "&amp;ROUND(C17*100,0)&amp;"%")</f>
        <v>36% | -7% | 47%</v>
      </c>
      <c r="J7" s="183"/>
      <c r="K7" s="92">
        <f ca="1">TRUNC(Scenario6)+B13/G4</f>
        <v>465</v>
      </c>
      <c r="L7" s="96" t="s">
        <v>53</v>
      </c>
    </row>
    <row r="8" spans="1:13">
      <c r="A8" s="180" t="s">
        <v>5</v>
      </c>
      <c r="B8" s="22" t="s">
        <v>3</v>
      </c>
      <c r="C8" s="23">
        <f>'Revenue Model'!H28</f>
        <v>0.337834255403344</v>
      </c>
      <c r="D8" s="23">
        <f>'Revenue Model'!I28</f>
        <v>0.36588937991589399</v>
      </c>
      <c r="E8" s="23">
        <f>'Revenue Model'!J28</f>
        <v>0.35980979380668021</v>
      </c>
      <c r="F8" s="23">
        <f>'Revenue Model'!K28</f>
        <v>0.37638894471880358</v>
      </c>
      <c r="G8" s="23">
        <f>'Revenue Model'!L28</f>
        <v>0.35453251670829222</v>
      </c>
      <c r="I8" s="182" t="str">
        <f>(ROUND(AVERAGE(C8:G8)*100,0)&amp;"% | "&amp;ROUND(AVERAGE(C10:G10)*100,0)&amp;"% | "&amp;ROUND(C18*100,0)&amp;"%")</f>
        <v>36% | -6% | 27%</v>
      </c>
      <c r="J8" s="183"/>
      <c r="K8" s="92">
        <f ca="1">TRUNC(Scenario7)+B13/G4</f>
        <v>120</v>
      </c>
      <c r="L8" s="96" t="s">
        <v>53</v>
      </c>
    </row>
    <row r="9" spans="1:13">
      <c r="A9" s="181"/>
      <c r="B9" s="14" t="s">
        <v>4</v>
      </c>
      <c r="C9" s="24">
        <f>'Revenue Model'!U28</f>
        <v>0.30889175292338056</v>
      </c>
      <c r="D9" s="24">
        <f>'Revenue Model'!V28</f>
        <v>0.26308766447952614</v>
      </c>
      <c r="E9" s="24">
        <f>'Revenue Model'!W28</f>
        <v>0.24746288446066544</v>
      </c>
      <c r="F9" s="24">
        <f>'Revenue Model'!X28</f>
        <v>0.17274635609825961</v>
      </c>
      <c r="G9" s="24">
        <f>'Revenue Model'!Y28</f>
        <v>0.16401027332136753</v>
      </c>
      <c r="I9" s="184" t="str">
        <f>(ROUND(AVERAGE(C8:G8)*100,0)&amp;"% | "&amp;ROUND(AVERAGE(C10:G10)*100,0)&amp;"% | "&amp;ROUND(C17*100,0)&amp;"%")</f>
        <v>36% | -6% | 47%</v>
      </c>
      <c r="J9" s="185"/>
      <c r="K9" s="93">
        <f ca="1">TRUNC(Scenario8)+B13/G4</f>
        <v>953</v>
      </c>
      <c r="L9" s="97" t="s">
        <v>53</v>
      </c>
    </row>
    <row r="10" spans="1:13">
      <c r="A10" s="178" t="s">
        <v>124</v>
      </c>
      <c r="B10" s="22" t="s">
        <v>3</v>
      </c>
      <c r="C10" s="138">
        <v>-0.1</v>
      </c>
      <c r="D10" s="138">
        <v>-0.1</v>
      </c>
      <c r="E10" s="138">
        <v>-7.0000000000000007E-2</v>
      </c>
      <c r="F10" s="138">
        <v>-0.05</v>
      </c>
      <c r="G10" s="138">
        <v>0.02</v>
      </c>
    </row>
    <row r="11" spans="1:13">
      <c r="A11" s="179"/>
      <c r="B11" s="14" t="s">
        <v>4</v>
      </c>
      <c r="C11" s="139">
        <v>-0.1</v>
      </c>
      <c r="D11" s="139">
        <v>-0.1</v>
      </c>
      <c r="E11" s="139">
        <v>-0.1</v>
      </c>
      <c r="F11" s="139">
        <v>-0.05</v>
      </c>
      <c r="G11" s="139">
        <v>0.01</v>
      </c>
      <c r="I11" s="188" t="str">
        <f>A2&amp;" ("&amp;B2&amp;")"</f>
        <v>Netflix (NFLX)</v>
      </c>
      <c r="J11" s="189"/>
      <c r="K11" s="189"/>
      <c r="L11" s="190"/>
    </row>
    <row r="12" spans="1:13">
      <c r="A12" s="1" t="s">
        <v>62</v>
      </c>
      <c r="B12" s="14"/>
      <c r="C12" s="25">
        <v>-0.3</v>
      </c>
      <c r="D12" s="25">
        <v>-0.3</v>
      </c>
      <c r="E12" s="25">
        <v>-0.3</v>
      </c>
      <c r="F12" s="25">
        <v>-0.3</v>
      </c>
      <c r="G12" s="25">
        <v>0.35</v>
      </c>
      <c r="I12" s="168" t="str">
        <f ca="1">"$"&amp;ROUND(F21/G4,0)&amp;" Scenario"</f>
        <v>$953 Scenario</v>
      </c>
      <c r="J12" s="169"/>
      <c r="K12" s="169"/>
      <c r="L12" s="170"/>
    </row>
    <row r="13" spans="1:13">
      <c r="A13" s="67" t="s">
        <v>10</v>
      </c>
      <c r="B13" s="26">
        <v>0</v>
      </c>
      <c r="I13" s="73" t="s">
        <v>16</v>
      </c>
      <c r="K13" s="74"/>
      <c r="L13" s="65" t="s">
        <v>3</v>
      </c>
    </row>
    <row r="14" spans="1:13">
      <c r="B14" s="2"/>
      <c r="I14" s="71" t="s">
        <v>17</v>
      </c>
      <c r="K14" s="72"/>
      <c r="L14" s="65" t="s">
        <v>3</v>
      </c>
    </row>
    <row r="15" spans="1:13" ht="15.75" thickBot="1">
      <c r="A15" s="177" t="s">
        <v>97</v>
      </c>
      <c r="B15" s="177"/>
      <c r="C15" s="177"/>
      <c r="D15" s="3"/>
      <c r="E15" s="177" t="s">
        <v>98</v>
      </c>
      <c r="F15" s="177"/>
      <c r="G15" s="177"/>
      <c r="I15" s="75" t="s">
        <v>118</v>
      </c>
      <c r="J15" s="76"/>
      <c r="K15" s="76"/>
      <c r="L15" s="66" t="s">
        <v>3</v>
      </c>
    </row>
    <row r="16" spans="1:13">
      <c r="A16" s="67" t="s">
        <v>11</v>
      </c>
      <c r="B16" s="27">
        <v>10</v>
      </c>
      <c r="C16" t="s">
        <v>12</v>
      </c>
      <c r="E16" s="28" t="s">
        <v>14</v>
      </c>
      <c r="G16" s="32">
        <v>2.5000000000000001E-2</v>
      </c>
      <c r="I16" s="49" t="s">
        <v>117</v>
      </c>
      <c r="K16" s="3"/>
      <c r="L16" s="57">
        <f>(F26/G3)^0.2-1</f>
        <v>0.35883061506168623</v>
      </c>
    </row>
    <row r="17" spans="1:12">
      <c r="A17" s="175" t="s">
        <v>59</v>
      </c>
      <c r="B17" s="21" t="s">
        <v>3</v>
      </c>
      <c r="C17" s="23">
        <f>MAX('OCP Calculations'!F39:I39)</f>
        <v>0.47422439771867153</v>
      </c>
      <c r="D17" s="37">
        <f>IF(C17=B$4,C17-0.0001,C17)</f>
        <v>0.47422439771867153</v>
      </c>
      <c r="E17" s="28" t="s">
        <v>15</v>
      </c>
      <c r="G17" s="32">
        <v>2.5000000000000001E-2</v>
      </c>
      <c r="I17" s="71" t="s">
        <v>116</v>
      </c>
      <c r="K17" s="72"/>
      <c r="L17" s="54">
        <f>SUM(B29:F29)/SUM(B26:F26)</f>
        <v>-5.8358760329568632E-2</v>
      </c>
    </row>
    <row r="18" spans="1:12">
      <c r="A18" s="176"/>
      <c r="B18" s="15" t="s">
        <v>4</v>
      </c>
      <c r="C18" s="24">
        <f>MIN('OCP Calculations'!F39:I39)</f>
        <v>0.26789853219936766</v>
      </c>
      <c r="D18" s="37">
        <f>IF(C18=B$4,C18-0.0001,C18)</f>
        <v>0.26789853219936766</v>
      </c>
      <c r="G18" s="11"/>
      <c r="I18" s="75" t="s">
        <v>119</v>
      </c>
      <c r="K18" s="28"/>
      <c r="L18" s="56">
        <f ca="1">(F21/G4)/G2-1</f>
        <v>2.0952306047043114</v>
      </c>
    </row>
    <row r="19" spans="1:12">
      <c r="C19" s="3"/>
      <c r="D19" s="3"/>
      <c r="E19" s="3"/>
      <c r="F19" s="3"/>
      <c r="J19" s="55"/>
      <c r="K19" s="55"/>
      <c r="L19" s="55"/>
    </row>
    <row r="20" spans="1:12" ht="15.75" thickBot="1">
      <c r="A20" s="59" t="s">
        <v>7</v>
      </c>
      <c r="B20" s="64" t="s">
        <v>92</v>
      </c>
      <c r="C20" s="64" t="s">
        <v>93</v>
      </c>
      <c r="D20" s="64" t="s">
        <v>94</v>
      </c>
      <c r="E20" s="64" t="s">
        <v>95</v>
      </c>
      <c r="F20" s="64" t="s">
        <v>8</v>
      </c>
      <c r="I20" s="171" t="s">
        <v>123</v>
      </c>
      <c r="J20" s="172"/>
      <c r="K20" s="172"/>
      <c r="L20" s="173"/>
    </row>
    <row r="21" spans="1:12">
      <c r="A21" s="16" t="s">
        <v>13</v>
      </c>
      <c r="B21" s="17">
        <f ca="1">SUM(B43:F43)</f>
        <v>-7624.7785986969084</v>
      </c>
      <c r="C21" s="17">
        <f ca="1">B54*F43</f>
        <v>30726.025559343856</v>
      </c>
      <c r="D21" s="17">
        <f ca="1">B51*B50</f>
        <v>390514.69447018486</v>
      </c>
      <c r="E21" s="17">
        <f>B13</f>
        <v>0</v>
      </c>
      <c r="F21" s="17">
        <f ca="1">B21+C21+D21+E21</f>
        <v>413615.94143083179</v>
      </c>
      <c r="I21" s="101"/>
      <c r="J21" s="102"/>
      <c r="K21" s="69" t="s">
        <v>120</v>
      </c>
      <c r="L21" s="70" t="s">
        <v>121</v>
      </c>
    </row>
    <row r="22" spans="1:12">
      <c r="A22" s="16" t="s">
        <v>9</v>
      </c>
      <c r="B22" s="60">
        <f ca="1">IFERROR(B21/$F21,"")</f>
        <v>-1.8434440830109991E-2</v>
      </c>
      <c r="C22" s="60">
        <f ca="1">IFERROR(C21/$F21,"")</f>
        <v>7.4286366848077864E-2</v>
      </c>
      <c r="D22" s="60">
        <f ca="1">IFERROR(D21/$F21,"")</f>
        <v>0.94414807398203215</v>
      </c>
      <c r="E22" s="60">
        <f ca="1">IFERROR(E21/$F21,"")</f>
        <v>0</v>
      </c>
      <c r="F22" s="60">
        <v>1</v>
      </c>
      <c r="I22" s="100" t="s">
        <v>122</v>
      </c>
      <c r="J22" s="15"/>
      <c r="K22" s="103">
        <v>0.25</v>
      </c>
      <c r="L22" s="104">
        <v>0.25600000000000001</v>
      </c>
    </row>
    <row r="23" spans="1:12">
      <c r="A23" s="16"/>
      <c r="B23" s="20"/>
      <c r="C23" s="20"/>
      <c r="D23" s="20"/>
      <c r="E23" s="20"/>
      <c r="F23" s="20"/>
    </row>
    <row r="24" spans="1:12" ht="15.75" hidden="1" customHeight="1" thickBot="1">
      <c r="A24" s="59" t="s">
        <v>74</v>
      </c>
      <c r="B24" s="61">
        <v>1</v>
      </c>
      <c r="C24" s="61">
        <v>2</v>
      </c>
      <c r="D24" s="61">
        <v>3</v>
      </c>
      <c r="E24" s="61">
        <v>4</v>
      </c>
      <c r="F24" s="61">
        <v>5</v>
      </c>
      <c r="I24" t="s">
        <v>115</v>
      </c>
      <c r="K24" s="99">
        <v>0.25</v>
      </c>
      <c r="L24" s="99">
        <v>0.25</v>
      </c>
    </row>
    <row r="25" spans="1:12" s="9" customFormat="1" ht="12" hidden="1" customHeight="1">
      <c r="B25" s="33">
        <f>DATE(YEAR($B$3)+B24,MONTH($B$3),DAY($B$3))</f>
        <v>43465</v>
      </c>
      <c r="C25" s="33">
        <f t="shared" ref="C25:F25" si="0">DATE(YEAR($B$3)+C24,MONTH($B$3),DAY($B$3))</f>
        <v>43830</v>
      </c>
      <c r="D25" s="33">
        <f t="shared" si="0"/>
        <v>44196</v>
      </c>
      <c r="E25" s="33">
        <f t="shared" si="0"/>
        <v>44561</v>
      </c>
      <c r="F25" s="33">
        <f t="shared" si="0"/>
        <v>44926</v>
      </c>
      <c r="I25" s="9" t="s">
        <v>57</v>
      </c>
      <c r="L25" s="9">
        <v>26.29</v>
      </c>
    </row>
    <row r="26" spans="1:12" hidden="1">
      <c r="A26" t="s">
        <v>37</v>
      </c>
      <c r="B26" s="30">
        <f>(CHOOSE($B36,C8,C9)+1)*G3</f>
        <v>15642.911990000001</v>
      </c>
      <c r="C26" s="30">
        <f>(CHOOSE($B36,D8,D9)+1)*B26</f>
        <v>21366.487358100003</v>
      </c>
      <c r="D26" s="30">
        <f>(CHOOSE($B36,E8,E9)+1)*C26</f>
        <v>29054.358768791004</v>
      </c>
      <c r="E26" s="30">
        <f>(CHOOSE($B36,F8,F9)+1)*D26</f>
        <v>39990.098205257767</v>
      </c>
      <c r="F26" s="30">
        <f>(CHOOSE($B36,G8,G9)+1)*E26</f>
        <v>54167.888365379564</v>
      </c>
    </row>
    <row r="27" spans="1:12" hidden="1">
      <c r="A27" t="s">
        <v>71</v>
      </c>
      <c r="B27" s="58">
        <f>CHOOSE($B37,C10,C11)*B26</f>
        <v>-1564.2911990000002</v>
      </c>
      <c r="C27" s="5">
        <f>CHOOSE($B37,D10,D11)*C26</f>
        <v>-2136.6487358100003</v>
      </c>
      <c r="D27" s="5">
        <f>CHOOSE($B37,E10,E11)*D26</f>
        <v>-2033.8051138153705</v>
      </c>
      <c r="E27" s="5">
        <f>CHOOSE($B37,F10,F11)*E26</f>
        <v>-1999.5049102628884</v>
      </c>
      <c r="F27" s="5">
        <f>CHOOSE($B37,G10,G11)*F26</f>
        <v>1083.3577673075913</v>
      </c>
    </row>
    <row r="28" spans="1:12" hidden="1">
      <c r="A28" t="s">
        <v>72</v>
      </c>
      <c r="B28" s="58">
        <f>-C12*B27</f>
        <v>-469.28735970000002</v>
      </c>
      <c r="C28" s="58">
        <f t="shared" ref="C28:E28" si="1">-D12*C27</f>
        <v>-640.99462074300004</v>
      </c>
      <c r="D28" s="58">
        <f t="shared" si="1"/>
        <v>-610.14153414461111</v>
      </c>
      <c r="E28" s="58">
        <f t="shared" si="1"/>
        <v>-599.85147307886655</v>
      </c>
      <c r="F28" s="58">
        <f>-G12*F27</f>
        <v>-379.17521855765693</v>
      </c>
    </row>
    <row r="29" spans="1:12" ht="15.75" hidden="1" thickBot="1">
      <c r="A29" t="s">
        <v>73</v>
      </c>
      <c r="B29" s="4">
        <f>B27+B28</f>
        <v>-2033.5785587000003</v>
      </c>
      <c r="C29" s="4">
        <f>C27+C28</f>
        <v>-2777.6433565530006</v>
      </c>
      <c r="D29" s="4">
        <f>D27+D28</f>
        <v>-2643.9466479599814</v>
      </c>
      <c r="E29" s="4">
        <f>E27+E28</f>
        <v>-2599.3563833417547</v>
      </c>
      <c r="F29" s="4">
        <f>F27+F28</f>
        <v>704.18254874993431</v>
      </c>
    </row>
    <row r="30" spans="1:12" ht="15.75" hidden="1" thickTop="1">
      <c r="B30" s="62"/>
      <c r="C30" s="62"/>
      <c r="D30" s="62"/>
      <c r="E30" s="62"/>
      <c r="F30" s="62"/>
    </row>
    <row r="31" spans="1:12" hidden="1">
      <c r="B31" s="35" t="s">
        <v>20</v>
      </c>
      <c r="E31" s="35" t="s">
        <v>52</v>
      </c>
    </row>
    <row r="32" spans="1:12" hidden="1">
      <c r="B32" s="29" t="s">
        <v>3</v>
      </c>
      <c r="E32" s="29" t="s">
        <v>55</v>
      </c>
    </row>
    <row r="33" spans="1:16" hidden="1">
      <c r="B33" s="29" t="s">
        <v>4</v>
      </c>
      <c r="E33" s="29" t="s">
        <v>53</v>
      </c>
    </row>
    <row r="34" spans="1:16" hidden="1">
      <c r="E34" s="29" t="s">
        <v>54</v>
      </c>
    </row>
    <row r="35" spans="1:16" hidden="1">
      <c r="A35" s="10" t="s">
        <v>34</v>
      </c>
    </row>
    <row r="36" spans="1:16" hidden="1">
      <c r="A36" t="s">
        <v>16</v>
      </c>
      <c r="B36">
        <f>IF(L13="Best",1,2)</f>
        <v>1</v>
      </c>
    </row>
    <row r="37" spans="1:16" hidden="1">
      <c r="A37" t="s">
        <v>19</v>
      </c>
      <c r="B37">
        <f>IF(L14="Best",1,2)</f>
        <v>1</v>
      </c>
    </row>
    <row r="38" spans="1:16" hidden="1">
      <c r="A38" t="s">
        <v>18</v>
      </c>
      <c r="B38">
        <f>IF(L15="Best",1,2)</f>
        <v>1</v>
      </c>
    </row>
    <row r="39" spans="1:16" hidden="1"/>
    <row r="40" spans="1:16" hidden="1"/>
    <row r="41" spans="1:16" hidden="1">
      <c r="A41" s="174" t="s">
        <v>35</v>
      </c>
      <c r="B41" s="174"/>
      <c r="C41" s="174"/>
      <c r="D41" s="174"/>
      <c r="E41" s="174"/>
      <c r="F41" s="174"/>
    </row>
    <row r="42" spans="1:16" hidden="1">
      <c r="A42" t="s">
        <v>21</v>
      </c>
      <c r="B42" s="19">
        <f ca="1">B25-TODAY()</f>
        <v>250</v>
      </c>
      <c r="C42" s="19">
        <f ca="1">C25-TODAY()</f>
        <v>615</v>
      </c>
      <c r="D42" s="19">
        <f ca="1">D25-TODAY()</f>
        <v>981</v>
      </c>
      <c r="E42" s="19">
        <f ca="1">E25-TODAY()</f>
        <v>1346</v>
      </c>
      <c r="F42" s="19">
        <f ca="1">F25-TODAY()</f>
        <v>1711</v>
      </c>
      <c r="P42" s="38"/>
    </row>
    <row r="43" spans="1:16" hidden="1">
      <c r="A43" t="s">
        <v>22</v>
      </c>
      <c r="B43" s="17">
        <f ca="1">B29*EXP(-$B$4*B42/365.25)</f>
        <v>-1899.0443922457496</v>
      </c>
      <c r="C43" s="17">
        <f ca="1">C29*EXP(-$B$4*C42/365.25)</f>
        <v>-2347.2044665027338</v>
      </c>
      <c r="D43" s="17">
        <f ca="1">D29*EXP(-$B$4*D42/365.25)</f>
        <v>-2021.1963347593271</v>
      </c>
      <c r="E43" s="17">
        <f ca="1">E29*EXP(-$B$4*E42/365.25)</f>
        <v>-1798.133448047925</v>
      </c>
      <c r="F43" s="17">
        <f ca="1">F29*EXP(-$B$4*F42/365.25)</f>
        <v>440.80004285882779</v>
      </c>
      <c r="O43" s="39"/>
    </row>
    <row r="44" spans="1:16" hidden="1"/>
    <row r="45" spans="1:16" hidden="1">
      <c r="A45" s="6" t="s">
        <v>26</v>
      </c>
      <c r="B45">
        <f>MONTH(B3)</f>
        <v>12</v>
      </c>
    </row>
    <row r="46" spans="1:16" hidden="1">
      <c r="A46" s="6" t="s">
        <v>27</v>
      </c>
      <c r="B46">
        <f>DAY(B3)</f>
        <v>31</v>
      </c>
    </row>
    <row r="47" spans="1:16" hidden="1">
      <c r="A47" s="6" t="s">
        <v>23</v>
      </c>
      <c r="B47">
        <f>YEAR(F25)+B16</f>
        <v>2032</v>
      </c>
    </row>
    <row r="48" spans="1:16" hidden="1">
      <c r="A48" s="6" t="s">
        <v>28</v>
      </c>
      <c r="B48">
        <f ca="1">DATE(B47,B45,B46)-TODAY()</f>
        <v>5364</v>
      </c>
      <c r="C48" s="34"/>
    </row>
    <row r="49" spans="1:7" hidden="1">
      <c r="A49" s="6" t="s">
        <v>24</v>
      </c>
      <c r="B49" s="17">
        <f>F29*EXP(CHOOSE(B38,C17,C18)*B16)</f>
        <v>80763.59628302198</v>
      </c>
    </row>
    <row r="50" spans="1:7" hidden="1">
      <c r="A50" s="6" t="s">
        <v>29</v>
      </c>
      <c r="B50" s="17">
        <f ca="1">B49*EXP(-B4*B48/365.25)</f>
        <v>18595.937831913565</v>
      </c>
    </row>
    <row r="51" spans="1:7" hidden="1">
      <c r="A51" s="6" t="s">
        <v>31</v>
      </c>
      <c r="B51" s="17">
        <f>(1+SUM(G16,G17))/(B4-SUM(G16,G17))</f>
        <v>21</v>
      </c>
    </row>
    <row r="52" spans="1:7" hidden="1">
      <c r="A52" s="6" t="s">
        <v>32</v>
      </c>
      <c r="B52" s="18">
        <f>(1+CHOOSE(B38,D17,D18))/(B4-(CHOOSE(B38,D17,D18)))</f>
        <v>-3.9394128408136031</v>
      </c>
      <c r="F52" s="38"/>
    </row>
    <row r="53" spans="1:7" hidden="1">
      <c r="A53" s="6" t="s">
        <v>33</v>
      </c>
      <c r="B53" s="38">
        <f>1-(((1+CHOOSE(B38,D17,D18))/(1+B4))^B16)</f>
        <v>-17.694294985818846</v>
      </c>
      <c r="F53" s="39"/>
    </row>
    <row r="54" spans="1:7" hidden="1">
      <c r="A54" s="6" t="s">
        <v>30</v>
      </c>
      <c r="B54" s="36">
        <f>B52*B53</f>
        <v>69.705132876278512</v>
      </c>
    </row>
    <row r="55" spans="1:7" hidden="1"/>
    <row r="56" spans="1:7" hidden="1"/>
    <row r="57" spans="1:7" hidden="1">
      <c r="A57" s="41" t="s">
        <v>36</v>
      </c>
    </row>
    <row r="58" spans="1:7" hidden="1">
      <c r="A58" t="s">
        <v>37</v>
      </c>
      <c r="B58" s="18">
        <f>$G$3*(1+C$9)</f>
        <v>15304.495615</v>
      </c>
      <c r="C58" s="18">
        <f>B58*(1+D$9)</f>
        <v>19330.919622387501</v>
      </c>
      <c r="D58" s="18">
        <f>C58*(1+E$9)</f>
        <v>24114.604751420789</v>
      </c>
      <c r="E58" s="18">
        <f>D58*(1+F$9)</f>
        <v>28280.31485097851</v>
      </c>
      <c r="F58" s="18">
        <f>E58*(1+G$9)</f>
        <v>32918.577019301825</v>
      </c>
    </row>
    <row r="59" spans="1:7" hidden="1">
      <c r="A59" t="s">
        <v>38</v>
      </c>
      <c r="B59" s="18">
        <f>B58*C$11</f>
        <v>-1530.4495615000001</v>
      </c>
      <c r="C59" s="18">
        <f>C58*D$11</f>
        <v>-1933.0919622387501</v>
      </c>
      <c r="D59" s="18">
        <f>D58*E$11</f>
        <v>-2411.4604751420788</v>
      </c>
      <c r="E59" s="18">
        <f>E58*F$11</f>
        <v>-1414.0157425489256</v>
      </c>
      <c r="F59" s="18">
        <f>F58*G$11</f>
        <v>329.18577019301824</v>
      </c>
    </row>
    <row r="60" spans="1:7" hidden="1">
      <c r="B60" s="20">
        <f>B59/B58</f>
        <v>-0.1</v>
      </c>
      <c r="C60" s="20">
        <f>C59/C58</f>
        <v>-0.1</v>
      </c>
      <c r="D60" s="20">
        <f>D59/D58</f>
        <v>-9.9999999999999992E-2</v>
      </c>
      <c r="E60" s="20">
        <f>E59/E58</f>
        <v>-0.05</v>
      </c>
      <c r="F60" s="20">
        <f>F59/F58</f>
        <v>0.01</v>
      </c>
    </row>
    <row r="61" spans="1:7" hidden="1">
      <c r="A61" t="s">
        <v>39</v>
      </c>
      <c r="B61" s="38">
        <f t="shared" ref="B61:E61" si="2">B59-(C$12*B59)</f>
        <v>-1989.58442995</v>
      </c>
      <c r="C61" s="38">
        <f t="shared" si="2"/>
        <v>-2513.0195509103751</v>
      </c>
      <c r="D61" s="38">
        <f t="shared" si="2"/>
        <v>-3134.8986176847025</v>
      </c>
      <c r="E61" s="38">
        <f t="shared" si="2"/>
        <v>-1838.2204653136032</v>
      </c>
      <c r="F61" s="38">
        <f>F59-(G$12*F59)</f>
        <v>213.97075062546185</v>
      </c>
    </row>
    <row r="62" spans="1:7" hidden="1">
      <c r="A62" t="s">
        <v>42</v>
      </c>
      <c r="B62" s="18">
        <f ca="1">B61*EXP(-$B$4*B$42/365.25)</f>
        <v>-1857.9607551583117</v>
      </c>
      <c r="C62" s="18">
        <f ca="1">C61*EXP(-$B$4*C$42/365.25)</f>
        <v>-2123.588221068645</v>
      </c>
      <c r="D62" s="18">
        <f ca="1">D61*EXP(-$B$4*D$42/365.25)</f>
        <v>-2396.5103837459533</v>
      </c>
      <c r="E62" s="18">
        <f ca="1">E61*EXP(-$B$4*E$42/365.25)</f>
        <v>-1271.609281724272</v>
      </c>
      <c r="F62" s="18">
        <f ca="1">F61*EXP(-$B$4*F$42/365.25)</f>
        <v>133.94014977177881</v>
      </c>
      <c r="G62" s="18">
        <f ca="1">SUM(B62:F62)</f>
        <v>-7515.7284919254034</v>
      </c>
    </row>
    <row r="63" spans="1:7" hidden="1">
      <c r="A63" t="s">
        <v>41</v>
      </c>
      <c r="F63" s="38">
        <f>((1+$D$18)/($B$4-$D$18)*(1-(((1+$D$18)/(1+$B$4))^$B$16)))</f>
        <v>23.70603184623775</v>
      </c>
      <c r="G63" s="18">
        <f ca="1">F63*F62</f>
        <v>3175.1894559796424</v>
      </c>
    </row>
    <row r="64" spans="1:7" hidden="1">
      <c r="A64" t="s">
        <v>40</v>
      </c>
      <c r="B64" s="38"/>
      <c r="F64" s="18">
        <f>F61*EXP($C$18*$B$16)</f>
        <v>3117.6183762151441</v>
      </c>
    </row>
    <row r="65" spans="1:7" hidden="1">
      <c r="A65" t="s">
        <v>43</v>
      </c>
      <c r="F65" s="18">
        <f ca="1">F64*EXP(-$B$4*B$48/365.25)</f>
        <v>717.8362551435265</v>
      </c>
      <c r="G65" s="42">
        <f ca="1">F65*B$51</f>
        <v>15074.561358014056</v>
      </c>
    </row>
    <row r="66" spans="1:7" hidden="1">
      <c r="A66" t="s">
        <v>44</v>
      </c>
      <c r="G66" s="18">
        <f ca="1">SUM(G62:G63,G65)</f>
        <v>10734.022322068295</v>
      </c>
    </row>
    <row r="67" spans="1:7" hidden="1">
      <c r="A67" t="s">
        <v>25</v>
      </c>
      <c r="G67" s="43">
        <f ca="1">G66/$G$4</f>
        <v>24.735707778137034</v>
      </c>
    </row>
    <row r="68" spans="1:7" hidden="1">
      <c r="G68" s="38"/>
    </row>
    <row r="69" spans="1:7" hidden="1">
      <c r="A69" s="41" t="s">
        <v>45</v>
      </c>
    </row>
    <row r="70" spans="1:7" hidden="1">
      <c r="A70" t="s">
        <v>37</v>
      </c>
      <c r="B70" s="18">
        <f>$G$3*(1+C$9)</f>
        <v>15304.495615</v>
      </c>
      <c r="C70" s="18">
        <f>B70*(1+D$9)</f>
        <v>19330.919622387501</v>
      </c>
      <c r="D70" s="18">
        <f>C70*(1+E$9)</f>
        <v>24114.604751420789</v>
      </c>
      <c r="E70" s="18">
        <f>D70*(1+F$9)</f>
        <v>28280.31485097851</v>
      </c>
      <c r="F70" s="18">
        <f>E70*(1+G$9)</f>
        <v>32918.577019301825</v>
      </c>
    </row>
    <row r="71" spans="1:7" hidden="1">
      <c r="A71" t="s">
        <v>38</v>
      </c>
      <c r="B71" s="18">
        <f>B70*C$11</f>
        <v>-1530.4495615000001</v>
      </c>
      <c r="C71" s="18">
        <f>C70*D$11</f>
        <v>-1933.0919622387501</v>
      </c>
      <c r="D71" s="18">
        <f>D70*E$11</f>
        <v>-2411.4604751420788</v>
      </c>
      <c r="E71" s="18">
        <f>E70*F$11</f>
        <v>-1414.0157425489256</v>
      </c>
      <c r="F71" s="18">
        <f>F70*G$11</f>
        <v>329.18577019301824</v>
      </c>
    </row>
    <row r="72" spans="1:7" hidden="1">
      <c r="A72" t="s">
        <v>39</v>
      </c>
      <c r="B72" s="38">
        <f t="shared" ref="B72:E72" si="3">B71-(C$12*B71)</f>
        <v>-1989.58442995</v>
      </c>
      <c r="C72" s="38">
        <f t="shared" si="3"/>
        <v>-2513.0195509103751</v>
      </c>
      <c r="D72" s="38">
        <f t="shared" si="3"/>
        <v>-3134.8986176847025</v>
      </c>
      <c r="E72" s="38">
        <f t="shared" si="3"/>
        <v>-1838.2204653136032</v>
      </c>
      <c r="F72" s="38">
        <f>F71-(G$12*F71)</f>
        <v>213.97075062546185</v>
      </c>
    </row>
    <row r="73" spans="1:7" hidden="1">
      <c r="A73" t="s">
        <v>42</v>
      </c>
      <c r="B73" s="18">
        <f ca="1">B72*EXP(-$B$4*B$42/365.25)</f>
        <v>-1857.9607551583117</v>
      </c>
      <c r="C73" s="18">
        <f ca="1">C72*EXP(-$B$4*C$42/365.25)</f>
        <v>-2123.588221068645</v>
      </c>
      <c r="D73" s="18">
        <f ca="1">D72*EXP(-$B$4*D$42/365.25)</f>
        <v>-2396.5103837459533</v>
      </c>
      <c r="E73" s="18">
        <f ca="1">E72*EXP(-$B$4*E$42/365.25)</f>
        <v>-1271.609281724272</v>
      </c>
      <c r="F73" s="18">
        <f ca="1">F72*EXP(-$B$4*F$42/365.25)</f>
        <v>133.94014977177881</v>
      </c>
      <c r="G73" s="18">
        <f ca="1">SUM(B73:F73)</f>
        <v>-7515.7284919254034</v>
      </c>
    </row>
    <row r="74" spans="1:7" hidden="1">
      <c r="A74" t="s">
        <v>41</v>
      </c>
      <c r="F74" s="38">
        <f>((1+$D$17)/($B$4-$D$17)*(1-(((1+$D$17)/(1+$B$4))^$B$16)))</f>
        <v>69.705132876278512</v>
      </c>
      <c r="G74" s="18">
        <f ca="1">F74*F73</f>
        <v>9336.3159373104863</v>
      </c>
    </row>
    <row r="75" spans="1:7" hidden="1">
      <c r="A75" t="s">
        <v>40</v>
      </c>
      <c r="B75" s="38"/>
      <c r="F75" s="18">
        <f>F72*EXP($C$17*$B$16)</f>
        <v>24540.578789643834</v>
      </c>
    </row>
    <row r="76" spans="1:7" hidden="1">
      <c r="A76" t="s">
        <v>43</v>
      </c>
      <c r="F76" s="18">
        <f ca="1">F75*EXP(-$B$4*B$48/365.25)</f>
        <v>5650.5046646533219</v>
      </c>
      <c r="G76" s="42">
        <f ca="1">F76*B$51</f>
        <v>118660.59795771976</v>
      </c>
    </row>
    <row r="77" spans="1:7" hidden="1">
      <c r="A77" t="s">
        <v>44</v>
      </c>
      <c r="G77" s="18">
        <f ca="1">SUM(G73:G74,G76)</f>
        <v>120481.18540310484</v>
      </c>
    </row>
    <row r="78" spans="1:7" hidden="1">
      <c r="A78" t="s">
        <v>25</v>
      </c>
      <c r="G78" s="43">
        <f ca="1">G77/$G$4</f>
        <v>277.63938861648558</v>
      </c>
    </row>
    <row r="79" spans="1:7" hidden="1"/>
    <row r="80" spans="1:7" hidden="1">
      <c r="A80" s="41" t="s">
        <v>46</v>
      </c>
    </row>
    <row r="81" spans="1:7" hidden="1">
      <c r="A81" t="s">
        <v>37</v>
      </c>
      <c r="B81" s="18">
        <f>$G$3*(1+C$9)</f>
        <v>15304.495615</v>
      </c>
      <c r="C81" s="18">
        <f>B81*(1+D$9)</f>
        <v>19330.919622387501</v>
      </c>
      <c r="D81" s="18">
        <f>C81*(1+E$9)</f>
        <v>24114.604751420789</v>
      </c>
      <c r="E81" s="18">
        <f>D81*(1+F$9)</f>
        <v>28280.31485097851</v>
      </c>
      <c r="F81" s="18">
        <f>E81*(1+G$9)</f>
        <v>32918.577019301825</v>
      </c>
    </row>
    <row r="82" spans="1:7" hidden="1">
      <c r="A82" t="s">
        <v>38</v>
      </c>
      <c r="B82" s="18">
        <f>B81*C$10</f>
        <v>-1530.4495615000001</v>
      </c>
      <c r="C82" s="18">
        <f>C81*D$10</f>
        <v>-1933.0919622387501</v>
      </c>
      <c r="D82" s="18">
        <f>D81*E$10</f>
        <v>-1688.0223325994555</v>
      </c>
      <c r="E82" s="18">
        <f>E81*F$10</f>
        <v>-1414.0157425489256</v>
      </c>
      <c r="F82" s="18">
        <f>F81*G$10</f>
        <v>658.37154038603649</v>
      </c>
    </row>
    <row r="83" spans="1:7" hidden="1">
      <c r="A83" t="s">
        <v>39</v>
      </c>
      <c r="B83" s="38">
        <f>B82-(C$12*B82)</f>
        <v>-1989.58442995</v>
      </c>
      <c r="C83" s="38">
        <f t="shared" ref="C83:F83" si="4">C82-(D$12*C82)</f>
        <v>-2513.0195509103751</v>
      </c>
      <c r="D83" s="38">
        <f t="shared" si="4"/>
        <v>-2194.429032379292</v>
      </c>
      <c r="E83" s="38">
        <f t="shared" si="4"/>
        <v>-1838.2204653136032</v>
      </c>
      <c r="F83" s="38">
        <f t="shared" si="4"/>
        <v>427.94150125092369</v>
      </c>
    </row>
    <row r="84" spans="1:7" hidden="1">
      <c r="A84" t="s">
        <v>42</v>
      </c>
      <c r="B84" s="18">
        <f ca="1">B83*EXP(-$B$4*B$42/365.25)</f>
        <v>-1857.9607551583117</v>
      </c>
      <c r="C84" s="18">
        <f ca="1">C83*EXP(-$B$4*C$42/365.25)</f>
        <v>-2123.588221068645</v>
      </c>
      <c r="D84" s="18">
        <f ca="1">D83*EXP(-$B$4*D$42/365.25)</f>
        <v>-1677.5572686221674</v>
      </c>
      <c r="E84" s="18">
        <f ca="1">E83*EXP(-$B$4*E$42/365.25)</f>
        <v>-1271.609281724272</v>
      </c>
      <c r="F84" s="18">
        <f ca="1">F83*EXP(-$B$4*F$42/365.25)</f>
        <v>267.88029954355761</v>
      </c>
      <c r="G84" s="18">
        <f ca="1">SUM(B84:F84)</f>
        <v>-6662.8352270298383</v>
      </c>
    </row>
    <row r="85" spans="1:7" hidden="1">
      <c r="A85" t="s">
        <v>41</v>
      </c>
      <c r="F85" s="38">
        <f>((1+$D$18)/($B$4-$D$18)*(1-(((1+$D$18)/(1+$B$4))^$B$16)))</f>
        <v>23.70603184623775</v>
      </c>
      <c r="G85" s="18">
        <f ca="1">F85*F84</f>
        <v>6350.3789119592848</v>
      </c>
    </row>
    <row r="86" spans="1:7" hidden="1">
      <c r="A86" t="s">
        <v>40</v>
      </c>
      <c r="B86" s="38"/>
      <c r="F86" s="18">
        <f>F83*EXP($C$18*$B$16)</f>
        <v>6235.2367524302881</v>
      </c>
    </row>
    <row r="87" spans="1:7" hidden="1">
      <c r="A87" t="s">
        <v>43</v>
      </c>
      <c r="F87" s="18">
        <f ca="1">F86*EXP(-$B$4*B$48/365.25)</f>
        <v>1435.672510287053</v>
      </c>
      <c r="G87" s="42">
        <f ca="1">F87*B$51</f>
        <v>30149.122716028112</v>
      </c>
    </row>
    <row r="88" spans="1:7" hidden="1">
      <c r="A88" t="s">
        <v>44</v>
      </c>
      <c r="G88" s="18">
        <f ca="1">SUM(G84:G85,G87)</f>
        <v>29836.666400957558</v>
      </c>
    </row>
    <row r="89" spans="1:7" hidden="1">
      <c r="A89" t="s">
        <v>25</v>
      </c>
      <c r="G89" s="43">
        <f ca="1">G88/$G$4</f>
        <v>68.75624430652735</v>
      </c>
    </row>
    <row r="90" spans="1:7" hidden="1"/>
    <row r="91" spans="1:7" hidden="1">
      <c r="A91" s="41" t="s">
        <v>47</v>
      </c>
    </row>
    <row r="92" spans="1:7" hidden="1">
      <c r="A92" t="s">
        <v>37</v>
      </c>
      <c r="B92" s="18">
        <f>$G$3*(1+C$9)</f>
        <v>15304.495615</v>
      </c>
      <c r="C92" s="18">
        <f>B92*(1+D$9)</f>
        <v>19330.919622387501</v>
      </c>
      <c r="D92" s="18">
        <f>C92*(1+E$9)</f>
        <v>24114.604751420789</v>
      </c>
      <c r="E92" s="18">
        <f>D92*(1+F$9)</f>
        <v>28280.31485097851</v>
      </c>
      <c r="F92" s="18">
        <f>E92*(1+G$9)</f>
        <v>32918.577019301825</v>
      </c>
    </row>
    <row r="93" spans="1:7" hidden="1">
      <c r="A93" t="s">
        <v>38</v>
      </c>
      <c r="B93" s="18">
        <f>B92*C$10</f>
        <v>-1530.4495615000001</v>
      </c>
      <c r="C93" s="18">
        <f>C92*D$10</f>
        <v>-1933.0919622387501</v>
      </c>
      <c r="D93" s="18">
        <f>D92*E$10</f>
        <v>-1688.0223325994555</v>
      </c>
      <c r="E93" s="18">
        <f>E92*F$10</f>
        <v>-1414.0157425489256</v>
      </c>
      <c r="F93" s="18">
        <f>F92*G$10</f>
        <v>658.37154038603649</v>
      </c>
    </row>
    <row r="94" spans="1:7" hidden="1">
      <c r="A94" t="s">
        <v>39</v>
      </c>
      <c r="B94" s="38">
        <f>B93-(C$12*B93)</f>
        <v>-1989.58442995</v>
      </c>
      <c r="C94" s="38">
        <f t="shared" ref="C94" si="5">C93-(D$12*C93)</f>
        <v>-2513.0195509103751</v>
      </c>
      <c r="D94" s="38">
        <f t="shared" ref="D94" si="6">D93-(E$12*D93)</f>
        <v>-2194.429032379292</v>
      </c>
      <c r="E94" s="38">
        <f t="shared" ref="E94" si="7">E93-(F$12*E93)</f>
        <v>-1838.2204653136032</v>
      </c>
      <c r="F94" s="38">
        <f t="shared" ref="F94" si="8">F93-(G$12*F93)</f>
        <v>427.94150125092369</v>
      </c>
    </row>
    <row r="95" spans="1:7" hidden="1">
      <c r="A95" t="s">
        <v>42</v>
      </c>
      <c r="B95" s="18">
        <f ca="1">B94*EXP(-$B$4*B$42/365.25)</f>
        <v>-1857.9607551583117</v>
      </c>
      <c r="C95" s="18">
        <f ca="1">C94*EXP(-$B$4*C$42/365.25)</f>
        <v>-2123.588221068645</v>
      </c>
      <c r="D95" s="18">
        <f ca="1">D94*EXP(-$B$4*D$42/365.25)</f>
        <v>-1677.5572686221674</v>
      </c>
      <c r="E95" s="18">
        <f ca="1">E94*EXP(-$B$4*E$42/365.25)</f>
        <v>-1271.609281724272</v>
      </c>
      <c r="F95" s="18">
        <f ca="1">F94*EXP(-$B$4*F$42/365.25)</f>
        <v>267.88029954355761</v>
      </c>
      <c r="G95" s="18">
        <f ca="1">SUM(B95:F95)</f>
        <v>-6662.8352270298383</v>
      </c>
    </row>
    <row r="96" spans="1:7" hidden="1">
      <c r="A96" t="s">
        <v>41</v>
      </c>
      <c r="F96" s="38">
        <f>((1+$D$17)/($B$4-$D$17)*(1-(((1+$D$17)/(1+$B$4))^$B$16)))</f>
        <v>69.705132876278512</v>
      </c>
      <c r="G96" s="18">
        <f ca="1">F96*F95</f>
        <v>18672.631874620973</v>
      </c>
    </row>
    <row r="97" spans="1:7" hidden="1">
      <c r="A97" t="s">
        <v>40</v>
      </c>
      <c r="B97" s="38"/>
      <c r="F97" s="18">
        <f>F94*EXP($C$17*$B$16)</f>
        <v>49081.157579287668</v>
      </c>
    </row>
    <row r="98" spans="1:7" hidden="1">
      <c r="A98" t="s">
        <v>43</v>
      </c>
      <c r="F98" s="18">
        <f ca="1">F97*EXP(-$B$4*B$48/365.25)</f>
        <v>11301.009329306644</v>
      </c>
      <c r="G98" s="42">
        <f ca="1">F98*B$51</f>
        <v>237321.19591543952</v>
      </c>
    </row>
    <row r="99" spans="1:7" hidden="1">
      <c r="A99" t="s">
        <v>44</v>
      </c>
      <c r="G99" s="18">
        <f ca="1">SUM(G95:G96,G98)</f>
        <v>249330.99256303065</v>
      </c>
    </row>
    <row r="100" spans="1:7" hidden="1">
      <c r="A100" t="s">
        <v>25</v>
      </c>
      <c r="G100" s="43">
        <f ca="1">G99/$G$4</f>
        <v>574.56360598322442</v>
      </c>
    </row>
    <row r="101" spans="1:7" hidden="1"/>
    <row r="102" spans="1:7" hidden="1">
      <c r="A102" s="41" t="s">
        <v>48</v>
      </c>
    </row>
    <row r="103" spans="1:7" hidden="1">
      <c r="A103" t="s">
        <v>37</v>
      </c>
      <c r="B103" s="18">
        <f>$G$3*(1+C$8)</f>
        <v>15642.911990000001</v>
      </c>
      <c r="C103" s="18">
        <f>B103*(1+D$8)</f>
        <v>21366.487358100003</v>
      </c>
      <c r="D103" s="18">
        <f>C103*(1+E$8)</f>
        <v>29054.358768791004</v>
      </c>
      <c r="E103" s="18">
        <f>D103*(1+F$8)</f>
        <v>39990.098205257767</v>
      </c>
      <c r="F103" s="18">
        <f>E103*(1+G$8)</f>
        <v>54167.888365379564</v>
      </c>
    </row>
    <row r="104" spans="1:7" hidden="1">
      <c r="A104" t="s">
        <v>38</v>
      </c>
      <c r="B104" s="18">
        <f>B103*C$11</f>
        <v>-1564.2911990000002</v>
      </c>
      <c r="C104" s="18">
        <f>C103*D$11</f>
        <v>-2136.6487358100003</v>
      </c>
      <c r="D104" s="18">
        <f>D103*E$11</f>
        <v>-2905.4358768791008</v>
      </c>
      <c r="E104" s="18">
        <f>E103*F$11</f>
        <v>-1999.5049102628884</v>
      </c>
      <c r="F104" s="18">
        <f>F103*G$11</f>
        <v>541.67888365379565</v>
      </c>
    </row>
    <row r="105" spans="1:7" hidden="1">
      <c r="A105" t="s">
        <v>39</v>
      </c>
      <c r="B105" s="38">
        <f>B104-(C$12*B104)</f>
        <v>-2033.5785587000003</v>
      </c>
      <c r="C105" s="38">
        <f t="shared" ref="C105" si="9">C104-(D$12*C104)</f>
        <v>-2777.6433565530006</v>
      </c>
      <c r="D105" s="38">
        <f t="shared" ref="D105" si="10">D104-(E$12*D104)</f>
        <v>-3777.066639942831</v>
      </c>
      <c r="E105" s="38">
        <f t="shared" ref="E105" si="11">E104-(F$12*E104)</f>
        <v>-2599.3563833417547</v>
      </c>
      <c r="F105" s="38">
        <f t="shared" ref="F105" si="12">F104-(G$12*F104)</f>
        <v>352.09127437496716</v>
      </c>
    </row>
    <row r="106" spans="1:7" hidden="1">
      <c r="A106" t="s">
        <v>42</v>
      </c>
      <c r="B106" s="18">
        <f ca="1">B105*EXP(-$B$4*B$42/365.25)</f>
        <v>-1899.0443922457496</v>
      </c>
      <c r="C106" s="18">
        <f ca="1">C105*EXP(-$B$4*C$42/365.25)</f>
        <v>-2347.2044665027338</v>
      </c>
      <c r="D106" s="18">
        <f ca="1">D105*EXP(-$B$4*D$42/365.25)</f>
        <v>-2887.4233353704676</v>
      </c>
      <c r="E106" s="18">
        <f ca="1">E105*EXP(-$B$4*E$42/365.25)</f>
        <v>-1798.133448047925</v>
      </c>
      <c r="F106" s="18">
        <f ca="1">F105*EXP(-$B$4*F$42/365.25)</f>
        <v>220.4000214294139</v>
      </c>
      <c r="G106" s="18">
        <f ca="1">SUM(B106:F106)</f>
        <v>-8711.4056207374615</v>
      </c>
    </row>
    <row r="107" spans="1:7" hidden="1">
      <c r="A107" t="s">
        <v>41</v>
      </c>
      <c r="F107" s="38">
        <f>((1+$D$18)/($B$4-$D$18)*(1-(((1+$D$18)/(1+$B$4))^$B$16)))</f>
        <v>23.70603184623775</v>
      </c>
      <c r="G107" s="18">
        <f ca="1">F107*F106</f>
        <v>5224.809926917168</v>
      </c>
    </row>
    <row r="108" spans="1:7" hidden="1">
      <c r="A108" t="s">
        <v>40</v>
      </c>
      <c r="B108" s="38"/>
      <c r="F108" s="18">
        <f>F105*EXP($C$18*$B$16)</f>
        <v>5130.0760682838145</v>
      </c>
    </row>
    <row r="109" spans="1:7" hidden="1">
      <c r="A109" t="s">
        <v>43</v>
      </c>
      <c r="F109" s="18">
        <f ca="1">F108*EXP(-$B$4*B$48/365.25)</f>
        <v>1181.2076235991976</v>
      </c>
      <c r="G109" s="42">
        <f ca="1">F109*B$51</f>
        <v>24805.36009558315</v>
      </c>
    </row>
    <row r="110" spans="1:7" hidden="1">
      <c r="A110" t="s">
        <v>44</v>
      </c>
      <c r="G110" s="18">
        <f ca="1">SUM(G106:G107,G109)</f>
        <v>21318.764401762855</v>
      </c>
    </row>
    <row r="111" spans="1:7" hidden="1">
      <c r="A111" t="s">
        <v>25</v>
      </c>
      <c r="G111" s="43">
        <f ca="1">G110/$G$4</f>
        <v>49.127411012440149</v>
      </c>
    </row>
    <row r="112" spans="1:7" hidden="1"/>
    <row r="113" spans="1:7" hidden="1">
      <c r="A113" s="41" t="s">
        <v>49</v>
      </c>
    </row>
    <row r="114" spans="1:7" hidden="1">
      <c r="A114" t="s">
        <v>37</v>
      </c>
      <c r="B114" s="18">
        <f>$G$3*(1+C$8)</f>
        <v>15642.911990000001</v>
      </c>
      <c r="C114" s="18">
        <f>B114*(1+D$8)</f>
        <v>21366.487358100003</v>
      </c>
      <c r="D114" s="18">
        <f>C114*(1+E$8)</f>
        <v>29054.358768791004</v>
      </c>
      <c r="E114" s="18">
        <f>D114*(1+F$8)</f>
        <v>39990.098205257767</v>
      </c>
      <c r="F114" s="18">
        <f>E114*(1+G$8)</f>
        <v>54167.888365379564</v>
      </c>
    </row>
    <row r="115" spans="1:7" hidden="1">
      <c r="A115" t="s">
        <v>38</v>
      </c>
      <c r="B115" s="18">
        <f>B114*C$11</f>
        <v>-1564.2911990000002</v>
      </c>
      <c r="C115" s="18">
        <f>C114*D$11</f>
        <v>-2136.6487358100003</v>
      </c>
      <c r="D115" s="18">
        <f>D114*E$11</f>
        <v>-2905.4358768791008</v>
      </c>
      <c r="E115" s="18">
        <f>E114*F$11</f>
        <v>-1999.5049102628884</v>
      </c>
      <c r="F115" s="18">
        <f>F114*G$11</f>
        <v>541.67888365379565</v>
      </c>
    </row>
    <row r="116" spans="1:7" hidden="1">
      <c r="A116" t="s">
        <v>39</v>
      </c>
      <c r="B116" s="38">
        <f>B115-(C$12*B115)</f>
        <v>-2033.5785587000003</v>
      </c>
      <c r="C116" s="38">
        <f t="shared" ref="C116" si="13">C115-(D$12*C115)</f>
        <v>-2777.6433565530006</v>
      </c>
      <c r="D116" s="38">
        <f t="shared" ref="D116" si="14">D115-(E$12*D115)</f>
        <v>-3777.066639942831</v>
      </c>
      <c r="E116" s="38">
        <f t="shared" ref="E116" si="15">E115-(F$12*E115)</f>
        <v>-2599.3563833417547</v>
      </c>
      <c r="F116" s="38">
        <f t="shared" ref="F116" si="16">F115-(G$12*F115)</f>
        <v>352.09127437496716</v>
      </c>
    </row>
    <row r="117" spans="1:7" hidden="1">
      <c r="A117" t="s">
        <v>42</v>
      </c>
      <c r="B117" s="18">
        <f ca="1">B116*EXP(-$B$4*B$42/365.25)</f>
        <v>-1899.0443922457496</v>
      </c>
      <c r="C117" s="18">
        <f ca="1">C116*EXP(-$B$4*C$42/365.25)</f>
        <v>-2347.2044665027338</v>
      </c>
      <c r="D117" s="18">
        <f ca="1">D116*EXP(-$B$4*D$42/365.25)</f>
        <v>-2887.4233353704676</v>
      </c>
      <c r="E117" s="18">
        <f ca="1">E116*EXP(-$B$4*E$42/365.25)</f>
        <v>-1798.133448047925</v>
      </c>
      <c r="F117" s="18">
        <f ca="1">F116*EXP(-$B$4*F$42/365.25)</f>
        <v>220.4000214294139</v>
      </c>
      <c r="G117" s="18">
        <f ca="1">SUM(B117:F117)</f>
        <v>-8711.4056207374615</v>
      </c>
    </row>
    <row r="118" spans="1:7" hidden="1">
      <c r="A118" t="s">
        <v>41</v>
      </c>
      <c r="F118" s="38">
        <f>((1+$D$17)/($B$4-$D$17)*(1-(((1+$D$17)/(1+$B$4))^$B$16)))</f>
        <v>69.705132876278512</v>
      </c>
      <c r="G118" s="18">
        <f ca="1">F118*F117</f>
        <v>15363.012779671928</v>
      </c>
    </row>
    <row r="119" spans="1:7" hidden="1">
      <c r="A119" t="s">
        <v>40</v>
      </c>
      <c r="B119" s="38"/>
      <c r="F119" s="18">
        <f>F116*EXP($C$17*$B$16)</f>
        <v>40381.79814151099</v>
      </c>
    </row>
    <row r="120" spans="1:7" hidden="1">
      <c r="A120" t="s">
        <v>43</v>
      </c>
      <c r="F120" s="18">
        <f ca="1">F119*EXP(-$B$4*B$48/365.25)</f>
        <v>9297.9689159567824</v>
      </c>
      <c r="G120" s="42">
        <f ca="1">F120*B$51</f>
        <v>195257.34723509243</v>
      </c>
    </row>
    <row r="121" spans="1:7" hidden="1">
      <c r="A121" t="s">
        <v>44</v>
      </c>
      <c r="G121" s="18">
        <f ca="1">SUM(G117:G118,G120)</f>
        <v>201908.95439402689</v>
      </c>
    </row>
    <row r="122" spans="1:7" hidden="1">
      <c r="A122" t="s">
        <v>25</v>
      </c>
      <c r="G122" s="43">
        <f ca="1">G121/$G$4</f>
        <v>465.28325951137981</v>
      </c>
    </row>
    <row r="123" spans="1:7" hidden="1"/>
    <row r="124" spans="1:7" hidden="1">
      <c r="A124" s="41" t="s">
        <v>50</v>
      </c>
    </row>
    <row r="125" spans="1:7" hidden="1">
      <c r="A125" t="s">
        <v>37</v>
      </c>
      <c r="B125" s="18">
        <f>$G$3*(1+C$8)</f>
        <v>15642.911990000001</v>
      </c>
      <c r="C125" s="18">
        <f>B125*(1+D$8)</f>
        <v>21366.487358100003</v>
      </c>
      <c r="D125" s="18">
        <f>C125*(1+E$8)</f>
        <v>29054.358768791004</v>
      </c>
      <c r="E125" s="18">
        <f>D125*(1+F$8)</f>
        <v>39990.098205257767</v>
      </c>
      <c r="F125" s="18">
        <f>E125*(1+G$8)</f>
        <v>54167.888365379564</v>
      </c>
    </row>
    <row r="126" spans="1:7" hidden="1">
      <c r="A126" t="s">
        <v>38</v>
      </c>
      <c r="B126" s="18">
        <f>B125*C$10</f>
        <v>-1564.2911990000002</v>
      </c>
      <c r="C126" s="18">
        <f>C125*D$10</f>
        <v>-2136.6487358100003</v>
      </c>
      <c r="D126" s="18">
        <f>D125*E$10</f>
        <v>-2033.8051138153705</v>
      </c>
      <c r="E126" s="18">
        <f>E125*F$10</f>
        <v>-1999.5049102628884</v>
      </c>
      <c r="F126" s="18">
        <f>F125*G$10</f>
        <v>1083.3577673075913</v>
      </c>
    </row>
    <row r="127" spans="1:7" hidden="1">
      <c r="A127" t="s">
        <v>39</v>
      </c>
      <c r="B127" s="38">
        <f>B126-(C$12*B126)</f>
        <v>-2033.5785587000003</v>
      </c>
      <c r="C127" s="38">
        <f t="shared" ref="C127" si="17">C126-(D$12*C126)</f>
        <v>-2777.6433565530006</v>
      </c>
      <c r="D127" s="38">
        <f t="shared" ref="D127" si="18">D126-(E$12*D126)</f>
        <v>-2643.9466479599814</v>
      </c>
      <c r="E127" s="38">
        <f t="shared" ref="E127" si="19">E126-(F$12*E126)</f>
        <v>-2599.3563833417547</v>
      </c>
      <c r="F127" s="38">
        <f t="shared" ref="F127" si="20">F126-(G$12*F126)</f>
        <v>704.18254874993431</v>
      </c>
    </row>
    <row r="128" spans="1:7" hidden="1">
      <c r="A128" t="s">
        <v>42</v>
      </c>
      <c r="B128" s="18">
        <f ca="1">B127*EXP(-$B$4*B$42/365.25)</f>
        <v>-1899.0443922457496</v>
      </c>
      <c r="C128" s="18">
        <f ca="1">C127*EXP(-$B$4*C$42/365.25)</f>
        <v>-2347.2044665027338</v>
      </c>
      <c r="D128" s="18">
        <f ca="1">D127*EXP(-$B$4*D$42/365.25)</f>
        <v>-2021.1963347593271</v>
      </c>
      <c r="E128" s="18">
        <f ca="1">E127*EXP(-$B$4*E$42/365.25)</f>
        <v>-1798.133448047925</v>
      </c>
      <c r="F128" s="18">
        <f ca="1">F127*EXP(-$B$4*F$42/365.25)</f>
        <v>440.80004285882779</v>
      </c>
      <c r="G128" s="18">
        <f ca="1">SUM(B128:F128)</f>
        <v>-7624.7785986969084</v>
      </c>
    </row>
    <row r="129" spans="1:11" hidden="1">
      <c r="A129" t="s">
        <v>41</v>
      </c>
      <c r="F129" s="38">
        <f>((1+$D$18)/($B$4-$D$18)*(1-(((1+$D$18)/(1+$B$4))^$B$16)))</f>
        <v>23.70603184623775</v>
      </c>
      <c r="G129" s="18">
        <f ca="1">F129*F128</f>
        <v>10449.619853834336</v>
      </c>
    </row>
    <row r="130" spans="1:11" hidden="1">
      <c r="A130" t="s">
        <v>40</v>
      </c>
      <c r="B130" s="38"/>
      <c r="F130" s="18">
        <f>F127*EXP($C$18*$B$16)</f>
        <v>10260.152136567629</v>
      </c>
    </row>
    <row r="131" spans="1:11" hidden="1">
      <c r="A131" t="s">
        <v>43</v>
      </c>
      <c r="F131" s="18">
        <f ca="1">F130*EXP(-$B$4*B$48/365.25)</f>
        <v>2362.4152471983953</v>
      </c>
      <c r="G131" s="42">
        <f ca="1">F131*B$51</f>
        <v>49610.7201911663</v>
      </c>
    </row>
    <row r="132" spans="1:11" hidden="1">
      <c r="A132" t="s">
        <v>44</v>
      </c>
      <c r="G132" s="18">
        <f ca="1">SUM(G128:G129,G131)</f>
        <v>52435.561446303727</v>
      </c>
    </row>
    <row r="133" spans="1:11" hidden="1">
      <c r="A133" t="s">
        <v>25</v>
      </c>
      <c r="G133" s="43">
        <f ca="1">G132/$G$4</f>
        <v>120.83361541476633</v>
      </c>
    </row>
    <row r="134" spans="1:11" hidden="1"/>
    <row r="135" spans="1:11" hidden="1">
      <c r="A135" s="41" t="s">
        <v>49</v>
      </c>
    </row>
    <row r="136" spans="1:11" hidden="1">
      <c r="A136" t="s">
        <v>37</v>
      </c>
      <c r="B136" s="18">
        <f>$G$3*(1+C$8)</f>
        <v>15642.911990000001</v>
      </c>
      <c r="C136" s="18">
        <f>B136*(1+D$8)</f>
        <v>21366.487358100003</v>
      </c>
      <c r="D136" s="18">
        <f>C136*(1+E$8)</f>
        <v>29054.358768791004</v>
      </c>
      <c r="E136" s="18">
        <f>D136*(1+F$8)</f>
        <v>39990.098205257767</v>
      </c>
      <c r="F136" s="18">
        <f>E136*(1+G$8)</f>
        <v>54167.888365379564</v>
      </c>
    </row>
    <row r="137" spans="1:11" hidden="1">
      <c r="A137" t="s">
        <v>38</v>
      </c>
      <c r="B137" s="18">
        <f>B136*C$10</f>
        <v>-1564.2911990000002</v>
      </c>
      <c r="C137" s="18">
        <f>C136*D$10</f>
        <v>-2136.6487358100003</v>
      </c>
      <c r="D137" s="18">
        <f>D136*E$10</f>
        <v>-2033.8051138153705</v>
      </c>
      <c r="E137" s="18">
        <f>E136*F$10</f>
        <v>-1999.5049102628884</v>
      </c>
      <c r="F137" s="18">
        <f>F136*G$10</f>
        <v>1083.3577673075913</v>
      </c>
    </row>
    <row r="138" spans="1:11" hidden="1">
      <c r="A138" t="s">
        <v>39</v>
      </c>
      <c r="B138" s="38">
        <f>B137-(C$12*B137)</f>
        <v>-2033.5785587000003</v>
      </c>
      <c r="C138" s="38">
        <f t="shared" ref="C138" si="21">C137-(D$12*C137)</f>
        <v>-2777.6433565530006</v>
      </c>
      <c r="D138" s="38">
        <f t="shared" ref="D138" si="22">D137-(E$12*D137)</f>
        <v>-2643.9466479599814</v>
      </c>
      <c r="E138" s="38">
        <f t="shared" ref="E138" si="23">E137-(F$12*E137)</f>
        <v>-2599.3563833417547</v>
      </c>
      <c r="F138" s="38">
        <f t="shared" ref="F138" si="24">F137-(G$12*F137)</f>
        <v>704.18254874993431</v>
      </c>
    </row>
    <row r="139" spans="1:11" hidden="1">
      <c r="A139" t="s">
        <v>42</v>
      </c>
      <c r="B139" s="18">
        <f ca="1">B138*EXP(-$B$4*B$42/365.25)</f>
        <v>-1899.0443922457496</v>
      </c>
      <c r="C139" s="18">
        <f ca="1">C138*EXP(-$B$4*C$42/365.25)</f>
        <v>-2347.2044665027338</v>
      </c>
      <c r="D139" s="18">
        <f ca="1">D138*EXP(-$B$4*D$42/365.25)</f>
        <v>-2021.1963347593271</v>
      </c>
      <c r="E139" s="18">
        <f ca="1">E138*EXP(-$B$4*E$42/365.25)</f>
        <v>-1798.133448047925</v>
      </c>
      <c r="F139" s="18">
        <f ca="1">F138*EXP(-$B$4*F$42/365.25)</f>
        <v>440.80004285882779</v>
      </c>
      <c r="G139" s="18">
        <f ca="1">SUM(B139:F139)</f>
        <v>-7624.7785986969084</v>
      </c>
      <c r="H139" s="18"/>
      <c r="I139" s="18"/>
      <c r="J139" s="18"/>
      <c r="K139" s="18"/>
    </row>
    <row r="140" spans="1:11" hidden="1">
      <c r="A140" t="s">
        <v>41</v>
      </c>
      <c r="F140" s="38">
        <f>((1+$D$17)/($B$4-$D$17)*(1-(((1+$D$17)/(1+$B$4))^$B$16)))</f>
        <v>69.705132876278512</v>
      </c>
      <c r="G140" s="18">
        <f ca="1">F140*F139</f>
        <v>30726.025559343856</v>
      </c>
    </row>
    <row r="141" spans="1:11" hidden="1">
      <c r="A141" t="s">
        <v>40</v>
      </c>
      <c r="B141" s="38"/>
      <c r="F141" s="18">
        <f>F138*EXP($C$17*$B$16)</f>
        <v>80763.59628302198</v>
      </c>
    </row>
    <row r="142" spans="1:11" hidden="1">
      <c r="A142" t="s">
        <v>43</v>
      </c>
      <c r="F142" s="18">
        <f ca="1">F141*EXP(-$B$4*B$48/365.25)</f>
        <v>18595.937831913565</v>
      </c>
      <c r="G142" s="42">
        <f ca="1">F142*B$51</f>
        <v>390514.69447018486</v>
      </c>
    </row>
    <row r="143" spans="1:11" hidden="1">
      <c r="A143" t="s">
        <v>44</v>
      </c>
      <c r="G143" s="18">
        <f ca="1">SUM(G139:G140,G142)</f>
        <v>413615.94143083179</v>
      </c>
    </row>
    <row r="144" spans="1:11" hidden="1">
      <c r="A144" t="s">
        <v>25</v>
      </c>
      <c r="G144" s="43">
        <f ca="1">G143/$G$4</f>
        <v>953.14531241264569</v>
      </c>
    </row>
    <row r="145" spans="11:11">
      <c r="K145" s="105"/>
    </row>
  </sheetData>
  <mergeCells count="20">
    <mergeCell ref="A1:G1"/>
    <mergeCell ref="A10:A11"/>
    <mergeCell ref="A8:A9"/>
    <mergeCell ref="I6:J6"/>
    <mergeCell ref="I7:J7"/>
    <mergeCell ref="I8:J8"/>
    <mergeCell ref="I9:J9"/>
    <mergeCell ref="I1:J1"/>
    <mergeCell ref="I2:J2"/>
    <mergeCell ref="I3:J3"/>
    <mergeCell ref="I4:J4"/>
    <mergeCell ref="I5:J5"/>
    <mergeCell ref="A6:G6"/>
    <mergeCell ref="I11:L11"/>
    <mergeCell ref="I12:L12"/>
    <mergeCell ref="I20:L20"/>
    <mergeCell ref="A41:F41"/>
    <mergeCell ref="A17:A18"/>
    <mergeCell ref="E15:G15"/>
    <mergeCell ref="A15:C15"/>
  </mergeCells>
  <dataValidations count="4">
    <dataValidation type="list" allowBlank="1" showInputMessage="1" showErrorMessage="1" sqref="L13" xr:uid="{00000000-0002-0000-0000-000000000000}">
      <formula1>_options3</formula1>
    </dataValidation>
    <dataValidation type="list" allowBlank="1" showInputMessage="1" showErrorMessage="1" sqref="L14" xr:uid="{00000000-0002-0000-0000-000001000000}">
      <formula1>_options4</formula1>
    </dataValidation>
    <dataValidation type="list" allowBlank="1" showInputMessage="1" showErrorMessage="1" sqref="L15" xr:uid="{00000000-0002-0000-0000-000002000000}">
      <formula1>_options5</formula1>
    </dataValidation>
    <dataValidation type="list" allowBlank="1" showInputMessage="1" showErrorMessage="1" sqref="L2:L9" xr:uid="{00000000-0002-0000-0000-000003000000}">
      <formula1>"Yes,No,Most"</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showGridLines="0" workbookViewId="0"/>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2"/>
  <sheetViews>
    <sheetView workbookViewId="0"/>
  </sheetViews>
  <sheetFormatPr defaultRowHeight="1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3"/>
  <sheetViews>
    <sheetView workbookViewId="0"/>
  </sheetViews>
  <sheetFormatPr defaultRowHeight="15"/>
  <cols>
    <col min="1" max="5" width="6.28515625" bestFit="1" customWidth="1"/>
    <col min="6" max="7" width="11" bestFit="1" customWidth="1"/>
    <col min="8" max="8" width="6.140625" bestFit="1" customWidth="1"/>
    <col min="9" max="10" width="11" bestFit="1" customWidth="1"/>
    <col min="11" max="11" width="6.140625" bestFit="1" customWidth="1"/>
    <col min="12" max="13" width="11" bestFit="1" customWidth="1"/>
    <col min="14" max="14" width="6.140625" bestFit="1" customWidth="1"/>
    <col min="15" max="16" width="11" bestFit="1" customWidth="1"/>
    <col min="17" max="17" width="6.140625" bestFit="1" customWidth="1"/>
    <col min="18" max="19" width="11" bestFit="1" customWidth="1"/>
    <col min="20" max="20" width="6.140625" bestFit="1" customWidth="1"/>
    <col min="21" max="22" width="11" bestFit="1" customWidth="1"/>
    <col min="23" max="23" width="6.140625" bestFit="1" customWidth="1"/>
    <col min="24" max="25" width="11" bestFit="1" customWidth="1"/>
    <col min="26" max="26" width="6.140625" bestFit="1" customWidth="1"/>
    <col min="27" max="28" width="11" bestFit="1" customWidth="1"/>
    <col min="29" max="29" width="6.1406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5"/>
  <sheetViews>
    <sheetView showGridLines="0" zoomScaleNormal="100" workbookViewId="0">
      <selection activeCell="P8" sqref="P8"/>
    </sheetView>
  </sheetViews>
  <sheetFormatPr defaultRowHeight="15"/>
  <cols>
    <col min="1" max="1" width="38.7109375" bestFit="1" customWidth="1"/>
    <col min="2" max="7" width="11.7109375" customWidth="1"/>
    <col min="8" max="11" width="10.7109375" customWidth="1"/>
    <col min="12" max="12" width="11.5703125" bestFit="1" customWidth="1"/>
    <col min="13" max="13" width="12.5703125" bestFit="1" customWidth="1"/>
    <col min="14" max="14" width="15" bestFit="1" customWidth="1"/>
    <col min="15" max="15" width="13.140625" bestFit="1" customWidth="1"/>
    <col min="16" max="16" width="16" bestFit="1" customWidth="1"/>
  </cols>
  <sheetData>
    <row r="1" spans="1:11" s="9" customFormat="1" ht="15.75" thickBot="1">
      <c r="A1" s="59" t="s">
        <v>129</v>
      </c>
      <c r="B1" s="61">
        <v>-9</v>
      </c>
      <c r="C1" s="61">
        <v>-8</v>
      </c>
      <c r="D1" s="61">
        <v>-7</v>
      </c>
      <c r="E1" s="61">
        <v>-6</v>
      </c>
      <c r="F1" s="61">
        <v>-5</v>
      </c>
      <c r="G1" s="61">
        <v>-4</v>
      </c>
      <c r="H1" s="61">
        <v>-3</v>
      </c>
      <c r="I1" s="61">
        <v>-2</v>
      </c>
      <c r="J1" s="61">
        <v>-1</v>
      </c>
      <c r="K1" s="61">
        <v>0</v>
      </c>
    </row>
    <row r="2" spans="1:11">
      <c r="A2" s="7" t="s">
        <v>130</v>
      </c>
      <c r="B2" s="106">
        <f>DATE(YEAR('Valuation Model'!$B3)+B1,MONTH('Valuation Model'!$B3),DAY('Valuation Model'!$B3))</f>
        <v>39813</v>
      </c>
      <c r="C2" s="106">
        <f>DATE(YEAR('Valuation Model'!$B3)+C1,MONTH('Valuation Model'!$B3),DAY('Valuation Model'!$B3))</f>
        <v>40178</v>
      </c>
      <c r="D2" s="106">
        <f>DATE(YEAR('Valuation Model'!$B3)+D1,MONTH('Valuation Model'!$B3),DAY('Valuation Model'!$B3))</f>
        <v>40543</v>
      </c>
      <c r="E2" s="106">
        <f>DATE(YEAR('Valuation Model'!$B3)+E1,MONTH('Valuation Model'!$B3),DAY('Valuation Model'!$B3))</f>
        <v>40908</v>
      </c>
      <c r="F2" s="106">
        <f>DATE(YEAR('Valuation Model'!$B3)+F1,MONTH('Valuation Model'!$B3),DAY('Valuation Model'!$B3))</f>
        <v>41274</v>
      </c>
      <c r="G2" s="106">
        <f>DATE(YEAR('Valuation Model'!$B3)+G1,MONTH('Valuation Model'!$B3),DAY('Valuation Model'!$B3))</f>
        <v>41639</v>
      </c>
      <c r="H2" s="106">
        <f>DATE(YEAR('Valuation Model'!$B3)+H1,MONTH('Valuation Model'!$B3),DAY('Valuation Model'!$B3))</f>
        <v>42004</v>
      </c>
      <c r="I2" s="106">
        <f>DATE(YEAR('Valuation Model'!$B3)+I1,MONTH('Valuation Model'!$B3),DAY('Valuation Model'!$B3))</f>
        <v>42369</v>
      </c>
      <c r="J2" s="106">
        <f>DATE(YEAR('Valuation Model'!$B3)+J1,MONTH('Valuation Model'!$B3),DAY('Valuation Model'!$B3))</f>
        <v>42735</v>
      </c>
      <c r="K2" s="106">
        <f>DATE(YEAR('Valuation Model'!$B3)+K1,MONTH('Valuation Model'!$B3),DAY('Valuation Model'!$B3))</f>
        <v>43100</v>
      </c>
    </row>
    <row r="3" spans="1:11">
      <c r="A3" s="1" t="s">
        <v>37</v>
      </c>
      <c r="B3" s="107">
        <v>1364.6610000000001</v>
      </c>
      <c r="C3" s="107">
        <v>1670.269</v>
      </c>
      <c r="D3" s="107">
        <v>2162.625</v>
      </c>
      <c r="E3" s="107">
        <v>3204.5770000000002</v>
      </c>
      <c r="F3" s="107">
        <v>3609.2820000000002</v>
      </c>
      <c r="G3" s="107">
        <v>4374.5619999999999</v>
      </c>
      <c r="H3" s="107">
        <v>5504.6559999999999</v>
      </c>
      <c r="I3" s="107">
        <v>6779.5110000000004</v>
      </c>
      <c r="J3" s="107">
        <v>8830.6689999999999</v>
      </c>
      <c r="K3" s="107">
        <v>11692.713</v>
      </c>
    </row>
    <row r="4" spans="1:11">
      <c r="A4" s="108" t="s">
        <v>131</v>
      </c>
      <c r="B4" s="108"/>
      <c r="C4" s="109">
        <f t="shared" ref="C4:F4" si="0">IFERROR(C3/B3-1,"")</f>
        <v>0.22394426161515568</v>
      </c>
      <c r="D4" s="109">
        <f t="shared" si="0"/>
        <v>0.2947764701374449</v>
      </c>
      <c r="E4" s="109">
        <f t="shared" si="0"/>
        <v>0.48179966475926261</v>
      </c>
      <c r="F4" s="109">
        <f t="shared" si="0"/>
        <v>0.12628967879380015</v>
      </c>
      <c r="G4" s="109">
        <f>IFERROR(G3/F3-1,"")</f>
        <v>0.21203109094828276</v>
      </c>
      <c r="H4" s="109">
        <f t="shared" ref="H4:K4" si="1">IFERROR(H3/G3-1,"")</f>
        <v>0.25833306283006174</v>
      </c>
      <c r="I4" s="109">
        <f t="shared" si="1"/>
        <v>0.23159576184233854</v>
      </c>
      <c r="J4" s="109">
        <f t="shared" si="1"/>
        <v>0.30255249973043763</v>
      </c>
      <c r="K4" s="109">
        <f t="shared" si="1"/>
        <v>0.32410273785598798</v>
      </c>
    </row>
    <row r="5" spans="1:11">
      <c r="A5" s="108" t="s">
        <v>132</v>
      </c>
      <c r="B5" s="108"/>
      <c r="C5" s="108"/>
      <c r="D5" s="108"/>
      <c r="E5" s="109">
        <f>IFERROR(SUM(C3:E3)/SUM(B3:D3)-1,"")</f>
        <v>0.35399644640605055</v>
      </c>
      <c r="F5" s="109">
        <f t="shared" ref="F5:K5" si="2">IFERROR(SUM(D3:F3)/SUM(C3:E3)-1,"")</f>
        <v>0.27552696131891685</v>
      </c>
      <c r="G5" s="109">
        <f t="shared" si="2"/>
        <v>0.2464146318313496</v>
      </c>
      <c r="H5" s="109">
        <f t="shared" si="2"/>
        <v>0.2055767297279929</v>
      </c>
      <c r="I5" s="109">
        <f t="shared" si="2"/>
        <v>0.23503199021388577</v>
      </c>
      <c r="J5" s="109">
        <f t="shared" si="2"/>
        <v>0.26749381660509663</v>
      </c>
      <c r="K5" s="109">
        <f t="shared" si="2"/>
        <v>0.293066780154011</v>
      </c>
    </row>
    <row r="6" spans="1:11">
      <c r="A6" s="108" t="s">
        <v>133</v>
      </c>
      <c r="B6" s="108"/>
      <c r="C6" s="108"/>
      <c r="D6" s="108"/>
      <c r="E6" s="108"/>
      <c r="F6" s="110"/>
      <c r="G6" s="109">
        <f>IFERROR(SUM(C3:G3)/SUM(B3:F3)-1,"")</f>
        <v>0.25058673358523809</v>
      </c>
      <c r="H6" s="109">
        <f t="shared" ref="H6:K6" si="3">IFERROR(SUM(D3:H3)/SUM(C3:G3)-1,"")</f>
        <v>0.25526307117585922</v>
      </c>
      <c r="I6" s="109">
        <f t="shared" si="3"/>
        <v>0.24485357267525765</v>
      </c>
      <c r="J6" s="109">
        <f t="shared" si="3"/>
        <v>0.23968775833325218</v>
      </c>
      <c r="K6" s="109">
        <f t="shared" si="3"/>
        <v>0.27779373497354531</v>
      </c>
    </row>
    <row r="8" spans="1:11" s="9" customFormat="1" ht="15.75" thickBot="1">
      <c r="A8" s="59" t="s">
        <v>134</v>
      </c>
      <c r="B8" s="111">
        <f t="shared" ref="B8:J8" si="4">B2</f>
        <v>39813</v>
      </c>
      <c r="C8" s="111">
        <f t="shared" si="4"/>
        <v>40178</v>
      </c>
      <c r="D8" s="111">
        <f t="shared" si="4"/>
        <v>40543</v>
      </c>
      <c r="E8" s="111">
        <f t="shared" si="4"/>
        <v>40908</v>
      </c>
      <c r="F8" s="111">
        <f t="shared" si="4"/>
        <v>41274</v>
      </c>
      <c r="G8" s="111">
        <f t="shared" si="4"/>
        <v>41639</v>
      </c>
      <c r="H8" s="111">
        <f t="shared" si="4"/>
        <v>42004</v>
      </c>
      <c r="I8" s="111">
        <f t="shared" si="4"/>
        <v>42369</v>
      </c>
      <c r="J8" s="111">
        <f t="shared" si="4"/>
        <v>42735</v>
      </c>
      <c r="K8" s="111">
        <f>K2</f>
        <v>43100</v>
      </c>
    </row>
    <row r="9" spans="1:11">
      <c r="A9" s="112" t="s">
        <v>135</v>
      </c>
      <c r="B9" s="113">
        <v>284.03699999999998</v>
      </c>
      <c r="C9" s="113">
        <v>325.06299999999999</v>
      </c>
      <c r="D9" s="113">
        <v>276.40100000000001</v>
      </c>
      <c r="E9" s="113">
        <v>317.71199999999999</v>
      </c>
      <c r="F9" s="113">
        <v>21.585999999999999</v>
      </c>
      <c r="G9" s="113">
        <v>97.831000000000003</v>
      </c>
      <c r="H9" s="113">
        <v>16.483000000000001</v>
      </c>
      <c r="I9" s="113">
        <v>-749.43899999999996</v>
      </c>
      <c r="J9" s="113">
        <v>-1473.9839999999999</v>
      </c>
      <c r="K9" s="113">
        <v>-1785.9480000000001</v>
      </c>
    </row>
    <row r="10" spans="1:11">
      <c r="A10" s="114" t="s">
        <v>136</v>
      </c>
      <c r="B10" s="113">
        <f>-33.687252-162.849</f>
        <v>-196.53625199999999</v>
      </c>
      <c r="C10" s="113">
        <f>-37.891824-193.044</f>
        <v>-230.93582400000003</v>
      </c>
      <c r="D10" s="113">
        <f>-38.708584-123.901</f>
        <v>-162.60958399999998</v>
      </c>
      <c r="E10" s="113">
        <f>-45.146904-85.154</f>
        <v>-130.300904</v>
      </c>
      <c r="F10" s="113">
        <f>-46.423849-48.275</f>
        <v>-94.698848999999996</v>
      </c>
      <c r="G10" s="113">
        <f>-49.09961-65.927</f>
        <v>-115.02661000000001</v>
      </c>
      <c r="H10" s="113">
        <f>-54.892448-74.79</f>
        <v>-129.68244800000002</v>
      </c>
      <c r="I10" s="113">
        <f>-62.345283-77.958</f>
        <v>-140.30328299999999</v>
      </c>
      <c r="J10" s="113">
        <f>-58.275864-77.177</f>
        <v>-135.45286400000001</v>
      </c>
      <c r="K10" s="113">
        <f>-73.421131-53.72</f>
        <v>-127.141131</v>
      </c>
    </row>
    <row r="11" spans="1:11">
      <c r="A11" s="115" t="s">
        <v>137</v>
      </c>
      <c r="B11" s="5">
        <f t="shared" ref="B11:K11" si="5">B9+B10</f>
        <v>87.500747999999987</v>
      </c>
      <c r="C11" s="5">
        <f t="shared" si="5"/>
        <v>94.127175999999963</v>
      </c>
      <c r="D11" s="5">
        <f t="shared" si="5"/>
        <v>113.79141600000003</v>
      </c>
      <c r="E11" s="5">
        <f t="shared" si="5"/>
        <v>187.41109599999999</v>
      </c>
      <c r="F11" s="5">
        <f t="shared" si="5"/>
        <v>-73.112848999999997</v>
      </c>
      <c r="G11" s="5">
        <f t="shared" si="5"/>
        <v>-17.195610000000002</v>
      </c>
      <c r="H11" s="5">
        <f t="shared" si="5"/>
        <v>-113.19944800000002</v>
      </c>
      <c r="I11" s="5">
        <f t="shared" si="5"/>
        <v>-889.74228299999993</v>
      </c>
      <c r="J11" s="5">
        <f t="shared" si="5"/>
        <v>-1609.436864</v>
      </c>
      <c r="K11" s="5">
        <f t="shared" si="5"/>
        <v>-1913.0891310000002</v>
      </c>
    </row>
    <row r="12" spans="1:11">
      <c r="A12" s="108" t="s">
        <v>127</v>
      </c>
      <c r="B12" s="109">
        <f t="shared" ref="B12:K12" si="6">IFERROR(B11/B$3,"")</f>
        <v>6.4119036156232198E-2</v>
      </c>
      <c r="C12" s="109">
        <f t="shared" si="6"/>
        <v>5.6354500981578397E-2</v>
      </c>
      <c r="D12" s="109">
        <f t="shared" si="6"/>
        <v>5.2617266516386346E-2</v>
      </c>
      <c r="E12" s="109">
        <f t="shared" si="6"/>
        <v>5.8482319507379595E-2</v>
      </c>
      <c r="F12" s="109">
        <f t="shared" si="6"/>
        <v>-2.0256895692827546E-2</v>
      </c>
      <c r="G12" s="109">
        <f t="shared" si="6"/>
        <v>-3.9308186739609591E-3</v>
      </c>
      <c r="H12" s="109">
        <f t="shared" si="6"/>
        <v>-2.0564309195706329E-2</v>
      </c>
      <c r="I12" s="109">
        <f t="shared" si="6"/>
        <v>-0.13123989075318263</v>
      </c>
      <c r="J12" s="109">
        <f t="shared" si="6"/>
        <v>-0.18225537204485867</v>
      </c>
      <c r="K12" s="109">
        <f t="shared" si="6"/>
        <v>-0.16361379356527439</v>
      </c>
    </row>
    <row r="13" spans="1:11">
      <c r="A13" s="108" t="s">
        <v>138</v>
      </c>
      <c r="B13" s="108"/>
      <c r="C13" s="109">
        <f t="shared" ref="C13:F13" si="7">IFERROR(C11/B11-1,"")</f>
        <v>7.5729958331327341E-2</v>
      </c>
      <c r="D13" s="109">
        <f t="shared" si="7"/>
        <v>0.20891139876543274</v>
      </c>
      <c r="E13" s="109">
        <f t="shared" si="7"/>
        <v>0.64697041822557111</v>
      </c>
      <c r="F13" s="109">
        <f t="shared" si="7"/>
        <v>-1.3901201719667655</v>
      </c>
      <c r="G13" s="109">
        <f>IFERROR(G11/F11-1,"")</f>
        <v>-0.76480727758263112</v>
      </c>
      <c r="H13" s="109">
        <f t="shared" ref="H13:K13" si="8">IFERROR(H11/G11-1,"")</f>
        <v>5.5830434628373178</v>
      </c>
      <c r="I13" s="109">
        <f t="shared" si="8"/>
        <v>6.8599524884608956</v>
      </c>
      <c r="J13" s="109">
        <f t="shared" si="8"/>
        <v>0.80887982368710265</v>
      </c>
      <c r="K13" s="109">
        <f t="shared" si="8"/>
        <v>0.18866988435030652</v>
      </c>
    </row>
    <row r="14" spans="1:11">
      <c r="A14" s="108" t="s">
        <v>139</v>
      </c>
      <c r="B14" s="108"/>
      <c r="C14" s="108"/>
      <c r="D14" s="108"/>
      <c r="E14" s="109">
        <f>IFERROR(SUM(C11:E11)/SUM(B11:D11)-1,"")</f>
        <v>0.33819839960376319</v>
      </c>
      <c r="F14" s="109">
        <f t="shared" ref="F14:K14" si="9">IFERROR(SUM(D11:F11)/SUM(C11:E11)-1,"")</f>
        <v>-0.42303937719951845</v>
      </c>
      <c r="G14" s="109">
        <f t="shared" si="9"/>
        <v>-0.57427865987947047</v>
      </c>
      <c r="H14" s="109">
        <f t="shared" si="9"/>
        <v>-3.0958020635423118</v>
      </c>
      <c r="I14" s="109">
        <f t="shared" si="9"/>
        <v>4.0127651354598219</v>
      </c>
      <c r="J14" s="109">
        <f t="shared" si="9"/>
        <v>1.5608106771576362</v>
      </c>
      <c r="K14" s="109">
        <f t="shared" si="9"/>
        <v>0.68898500640179972</v>
      </c>
    </row>
    <row r="15" spans="1:11">
      <c r="A15" s="108" t="s">
        <v>133</v>
      </c>
      <c r="B15" s="108"/>
      <c r="C15" s="108"/>
      <c r="D15" s="108"/>
      <c r="E15" s="108"/>
      <c r="F15" s="109"/>
      <c r="G15" s="109">
        <f>IFERROR(SUM(C11:G11)/SUM(B11:F11)-1,"")</f>
        <v>-0.25553298496800914</v>
      </c>
      <c r="H15" s="109">
        <f t="shared" ref="H15:K15" si="10">IFERROR(SUM(D11:H11)/SUM(C11:G11)-1,"")</f>
        <v>-0.67971211275920718</v>
      </c>
      <c r="I15" s="109">
        <f t="shared" si="10"/>
        <v>-10.27215063718206</v>
      </c>
      <c r="J15" s="109">
        <f t="shared" si="10"/>
        <v>1.9836281872815706</v>
      </c>
      <c r="K15" s="109">
        <f t="shared" si="10"/>
        <v>0.68079516615762792</v>
      </c>
    </row>
    <row r="16" spans="1:11" s="9" customFormat="1">
      <c r="A16"/>
      <c r="B16"/>
      <c r="C16"/>
      <c r="D16"/>
      <c r="E16"/>
      <c r="F16"/>
      <c r="G16"/>
      <c r="H16"/>
      <c r="I16"/>
      <c r="J16"/>
      <c r="K16"/>
    </row>
    <row r="17" spans="1:16" s="9" customFormat="1" ht="15.75" thickBot="1">
      <c r="A17" s="59" t="s">
        <v>140</v>
      </c>
      <c r="B17" s="111">
        <f t="shared" ref="B17:J17" si="11">B2</f>
        <v>39813</v>
      </c>
      <c r="C17" s="111">
        <f t="shared" si="11"/>
        <v>40178</v>
      </c>
      <c r="D17" s="111">
        <f t="shared" si="11"/>
        <v>40543</v>
      </c>
      <c r="E17" s="111">
        <f t="shared" si="11"/>
        <v>40908</v>
      </c>
      <c r="F17" s="111">
        <f t="shared" si="11"/>
        <v>41274</v>
      </c>
      <c r="G17" s="111">
        <f t="shared" si="11"/>
        <v>41639</v>
      </c>
      <c r="H17" s="111">
        <f t="shared" si="11"/>
        <v>42004</v>
      </c>
      <c r="I17" s="111">
        <f t="shared" si="11"/>
        <v>42369</v>
      </c>
      <c r="J17" s="111">
        <f t="shared" si="11"/>
        <v>42735</v>
      </c>
      <c r="K17" s="111">
        <f>K2</f>
        <v>43100</v>
      </c>
    </row>
    <row r="18" spans="1:16">
      <c r="A18" s="112" t="s">
        <v>141</v>
      </c>
      <c r="B18" s="113">
        <v>-44.851999999999997</v>
      </c>
      <c r="C18" s="113">
        <v>-46.131999999999998</v>
      </c>
      <c r="D18" s="113">
        <v>-33.837000000000003</v>
      </c>
      <c r="E18" s="113">
        <v>-49.682000000000002</v>
      </c>
      <c r="F18" s="113">
        <v>-88.552999999999997</v>
      </c>
      <c r="G18" s="113">
        <v>-54.143000000000001</v>
      </c>
      <c r="H18" s="113">
        <v>-69.725999999999999</v>
      </c>
      <c r="I18" s="113">
        <v>-91.248000000000005</v>
      </c>
      <c r="J18" s="113">
        <v>-107.65300000000001</v>
      </c>
      <c r="K18" s="113">
        <v>-173.30199999999999</v>
      </c>
    </row>
    <row r="19" spans="1:16" s="117" customFormat="1">
      <c r="A19" s="114" t="s">
        <v>178</v>
      </c>
      <c r="B19" s="116">
        <f t="shared" ref="B19:K19" si="12">B18-B10</f>
        <v>151.68425199999999</v>
      </c>
      <c r="C19" s="116">
        <f t="shared" si="12"/>
        <v>184.80382400000002</v>
      </c>
      <c r="D19" s="116">
        <f t="shared" si="12"/>
        <v>128.77258399999999</v>
      </c>
      <c r="E19" s="116">
        <f t="shared" si="12"/>
        <v>80.618904000000001</v>
      </c>
      <c r="F19" s="116">
        <f t="shared" si="12"/>
        <v>6.1458489999999983</v>
      </c>
      <c r="G19" s="116">
        <f t="shared" si="12"/>
        <v>60.883610000000004</v>
      </c>
      <c r="H19" s="116">
        <f t="shared" si="12"/>
        <v>59.956448000000023</v>
      </c>
      <c r="I19" s="116">
        <f t="shared" si="12"/>
        <v>49.055282999999989</v>
      </c>
      <c r="J19" s="116">
        <f t="shared" si="12"/>
        <v>27.799863999999999</v>
      </c>
      <c r="K19" s="116">
        <f t="shared" si="12"/>
        <v>-46.160868999999991</v>
      </c>
    </row>
    <row r="20" spans="1:16" s="117" customFormat="1">
      <c r="A20" s="114" t="s">
        <v>142</v>
      </c>
      <c r="B20" s="113">
        <v>0</v>
      </c>
      <c r="C20" s="113">
        <v>0</v>
      </c>
      <c r="D20" s="113">
        <v>0</v>
      </c>
      <c r="E20" s="113">
        <v>0</v>
      </c>
      <c r="F20" s="113">
        <v>0</v>
      </c>
      <c r="G20" s="113">
        <v>0</v>
      </c>
      <c r="H20" s="113">
        <v>0</v>
      </c>
      <c r="I20" s="113">
        <v>0</v>
      </c>
      <c r="J20" s="113">
        <v>0</v>
      </c>
      <c r="K20" s="113">
        <v>0</v>
      </c>
    </row>
    <row r="21" spans="1:16" s="117" customFormat="1">
      <c r="A21" s="114" t="s">
        <v>143</v>
      </c>
      <c r="B21" s="113">
        <v>0</v>
      </c>
      <c r="C21" s="113">
        <v>0</v>
      </c>
      <c r="D21" s="113">
        <v>0</v>
      </c>
      <c r="E21" s="113">
        <v>0</v>
      </c>
      <c r="F21" s="113">
        <v>0</v>
      </c>
      <c r="G21" s="113">
        <v>0</v>
      </c>
      <c r="H21" s="113">
        <v>0</v>
      </c>
      <c r="I21" s="113">
        <v>0</v>
      </c>
      <c r="J21" s="113">
        <v>0</v>
      </c>
      <c r="K21" s="113">
        <v>0</v>
      </c>
    </row>
    <row r="22" spans="1:16">
      <c r="A22" s="112" t="s">
        <v>144</v>
      </c>
      <c r="B22" s="113">
        <v>0</v>
      </c>
      <c r="C22" s="113">
        <v>0</v>
      </c>
      <c r="D22" s="113">
        <v>0</v>
      </c>
      <c r="E22" s="113">
        <v>0</v>
      </c>
      <c r="F22" s="113">
        <v>0</v>
      </c>
      <c r="G22" s="113">
        <v>0</v>
      </c>
      <c r="H22" s="113">
        <v>0</v>
      </c>
      <c r="I22" s="113">
        <v>0</v>
      </c>
      <c r="J22" s="113">
        <v>0</v>
      </c>
      <c r="K22" s="113">
        <v>0</v>
      </c>
    </row>
    <row r="23" spans="1:16">
      <c r="A23" s="112" t="s">
        <v>189</v>
      </c>
      <c r="B23" s="113">
        <v>-823</v>
      </c>
      <c r="C23" s="113">
        <v>-1158</v>
      </c>
      <c r="D23" s="113">
        <v>-1776</v>
      </c>
      <c r="E23" s="113">
        <v>-2083</v>
      </c>
      <c r="F23" s="113">
        <v>-2319</v>
      </c>
      <c r="G23" s="113">
        <v>-1180</v>
      </c>
      <c r="H23" s="113">
        <v>-1093</v>
      </c>
      <c r="I23" s="113">
        <v>-545</v>
      </c>
      <c r="J23" s="113">
        <v>0</v>
      </c>
      <c r="K23" s="113">
        <v>0</v>
      </c>
    </row>
    <row r="24" spans="1:16">
      <c r="A24" s="118" t="s">
        <v>145</v>
      </c>
      <c r="B24" s="119">
        <v>4.0947148063199998</v>
      </c>
      <c r="C24" s="119">
        <v>6.3220362698399999</v>
      </c>
      <c r="D24" s="119">
        <v>16.8240460476</v>
      </c>
      <c r="E24" s="119">
        <v>27.4937141429</v>
      </c>
      <c r="F24" s="119">
        <v>11.855053868000001</v>
      </c>
      <c r="G24" s="119">
        <v>35.2718306071</v>
      </c>
      <c r="H24" s="119">
        <v>57.495118468299999</v>
      </c>
      <c r="I24" s="119">
        <v>91.895654777800004</v>
      </c>
      <c r="J24" s="119">
        <v>102.030357143</v>
      </c>
      <c r="K24" s="119">
        <v>165.37426294799999</v>
      </c>
    </row>
    <row r="25" spans="1:16">
      <c r="A25" s="120" t="s">
        <v>146</v>
      </c>
      <c r="B25" s="121">
        <f>1.056641+0.231068</f>
        <v>1.287709</v>
      </c>
      <c r="C25" s="121">
        <f>1.72411+0.224799</f>
        <v>1.948909</v>
      </c>
      <c r="D25" s="121">
        <f>1.902073+0.046112</f>
        <v>1.9481849999999998</v>
      </c>
      <c r="E25" s="121">
        <f>0.65937+2.857143</f>
        <v>3.5165130000000002</v>
      </c>
      <c r="F25" s="121">
        <v>0.188552</v>
      </c>
      <c r="G25" s="121">
        <v>5.66188</v>
      </c>
      <c r="H25" s="121">
        <v>5.0295529999999999</v>
      </c>
      <c r="I25" s="121">
        <v>5.0295529999999999</v>
      </c>
      <c r="J25" s="121">
        <v>2.113772</v>
      </c>
      <c r="K25" s="121">
        <v>3.3384740000000002</v>
      </c>
      <c r="M25" s="17"/>
      <c r="N25" s="18"/>
      <c r="O25" s="18"/>
      <c r="P25" s="18"/>
    </row>
    <row r="26" spans="1:16">
      <c r="A26" s="122" t="s">
        <v>147</v>
      </c>
      <c r="B26" s="123">
        <v>18.872</v>
      </c>
      <c r="C26" s="123">
        <f>35.274+12.683</f>
        <v>47.957000000000001</v>
      </c>
      <c r="D26" s="123">
        <f>49.776+62.214</f>
        <v>111.99000000000001</v>
      </c>
      <c r="E26" s="123">
        <f>19.614+45.784</f>
        <v>65.397999999999996</v>
      </c>
      <c r="F26" s="123">
        <f>4.124+4.543</f>
        <v>8.6669999999999998</v>
      </c>
      <c r="G26" s="123">
        <f>124.557+81.663</f>
        <v>206.22</v>
      </c>
      <c r="H26" s="123">
        <f>60.544+89.341</f>
        <v>149.88499999999999</v>
      </c>
      <c r="I26" s="123">
        <f>77.98+80.471</f>
        <v>158.45100000000002</v>
      </c>
      <c r="J26" s="123">
        <f>36.979+65.121</f>
        <v>102.1</v>
      </c>
      <c r="K26" s="123">
        <v>88.378</v>
      </c>
    </row>
    <row r="27" spans="1:16">
      <c r="A27" s="112" t="s">
        <v>148</v>
      </c>
      <c r="B27" s="124">
        <f t="shared" ref="B27:E27" si="13">-B24*B25+B26</f>
        <v>13.599198891468479</v>
      </c>
      <c r="C27" s="124">
        <f t="shared" si="13"/>
        <v>35.635926615382395</v>
      </c>
      <c r="D27" s="124">
        <f t="shared" si="13"/>
        <v>79.213645850756407</v>
      </c>
      <c r="E27" s="124">
        <f t="shared" si="13"/>
        <v>-31.28400320179172</v>
      </c>
      <c r="F27" s="124">
        <f>-F24*F25+F26</f>
        <v>6.4317058830808636</v>
      </c>
      <c r="G27" s="124">
        <f t="shared" ref="G27:K27" si="14">-G24*G25+G26</f>
        <v>6.5151277222726378</v>
      </c>
      <c r="H27" s="124">
        <f t="shared" si="14"/>
        <v>-139.28974557759369</v>
      </c>
      <c r="I27" s="124">
        <f t="shared" si="14"/>
        <v>-303.74306617464833</v>
      </c>
      <c r="J27" s="124">
        <f t="shared" si="14"/>
        <v>-113.56891207887341</v>
      </c>
      <c r="K27" s="124">
        <f t="shared" si="14"/>
        <v>-463.71967712106135</v>
      </c>
    </row>
    <row r="28" spans="1:16">
      <c r="A28" s="1" t="s">
        <v>149</v>
      </c>
      <c r="B28" s="5">
        <f>B19+B20+B21+B22+B23+B27</f>
        <v>-657.71654910853147</v>
      </c>
      <c r="C28" s="5">
        <f t="shared" ref="C28:K28" si="15">C19+C20+C21+C22+C23+C27</f>
        <v>-937.56024938461758</v>
      </c>
      <c r="D28" s="5">
        <f t="shared" si="15"/>
        <v>-1568.0137701492436</v>
      </c>
      <c r="E28" s="5">
        <f t="shared" si="15"/>
        <v>-2033.6650992017917</v>
      </c>
      <c r="F28" s="5">
        <f t="shared" si="15"/>
        <v>-2306.4224451169193</v>
      </c>
      <c r="G28" s="5">
        <f t="shared" si="15"/>
        <v>-1112.6012622777273</v>
      </c>
      <c r="H28" s="5">
        <f t="shared" si="15"/>
        <v>-1172.3332975775938</v>
      </c>
      <c r="I28" s="5">
        <f t="shared" si="15"/>
        <v>-799.6877831746483</v>
      </c>
      <c r="J28" s="5">
        <f t="shared" si="15"/>
        <v>-85.769048078873411</v>
      </c>
      <c r="K28" s="5">
        <f t="shared" si="15"/>
        <v>-509.88054612106134</v>
      </c>
    </row>
    <row r="29" spans="1:16">
      <c r="A29" s="108" t="s">
        <v>150</v>
      </c>
      <c r="B29" s="109">
        <f t="shared" ref="B29:E29" si="16">IFERROR(-B28/B11,"")</f>
        <v>7.5166963042250972</v>
      </c>
      <c r="C29" s="109">
        <f t="shared" si="16"/>
        <v>9.9605691918837334</v>
      </c>
      <c r="D29" s="109">
        <f t="shared" si="16"/>
        <v>13.77971929050644</v>
      </c>
      <c r="E29" s="109">
        <f t="shared" si="16"/>
        <v>10.851359084959366</v>
      </c>
      <c r="F29" s="109">
        <f>IFERROR(-F28/F11,"")</f>
        <v>-31.546061693163118</v>
      </c>
      <c r="G29" s="109">
        <f t="shared" ref="G29:K29" si="17">IFERROR(-G28/G11,"")</f>
        <v>-64.702634118692345</v>
      </c>
      <c r="H29" s="109">
        <f t="shared" si="17"/>
        <v>-10.356351716287465</v>
      </c>
      <c r="I29" s="109">
        <f t="shared" si="17"/>
        <v>-0.89878586019121265</v>
      </c>
      <c r="J29" s="109">
        <f t="shared" si="17"/>
        <v>-5.3291340590837497E-2</v>
      </c>
      <c r="K29" s="109">
        <f t="shared" si="17"/>
        <v>-0.26652210702516466</v>
      </c>
    </row>
    <row r="31" spans="1:16" s="9" customFormat="1" ht="15.75" thickBot="1">
      <c r="A31" s="59" t="s">
        <v>151</v>
      </c>
      <c r="B31" s="111">
        <f t="shared" ref="B31:J31" si="18">B2</f>
        <v>39813</v>
      </c>
      <c r="C31" s="111">
        <f t="shared" si="18"/>
        <v>40178</v>
      </c>
      <c r="D31" s="111">
        <f t="shared" si="18"/>
        <v>40543</v>
      </c>
      <c r="E31" s="111">
        <f t="shared" si="18"/>
        <v>40908</v>
      </c>
      <c r="F31" s="111">
        <f t="shared" si="18"/>
        <v>41274</v>
      </c>
      <c r="G31" s="111">
        <f t="shared" si="18"/>
        <v>41639</v>
      </c>
      <c r="H31" s="111">
        <f t="shared" si="18"/>
        <v>42004</v>
      </c>
      <c r="I31" s="111">
        <f t="shared" si="18"/>
        <v>42369</v>
      </c>
      <c r="J31" s="111">
        <f t="shared" si="18"/>
        <v>42735</v>
      </c>
      <c r="K31" s="111">
        <f>K2</f>
        <v>43100</v>
      </c>
    </row>
    <row r="32" spans="1:16" ht="15.75" thickBot="1">
      <c r="A32" s="125" t="s">
        <v>152</v>
      </c>
      <c r="B32" s="4">
        <f t="shared" ref="B32:K32" si="19">B11+B28</f>
        <v>-570.21580110853142</v>
      </c>
      <c r="C32" s="4">
        <f t="shared" si="19"/>
        <v>-843.43307338461761</v>
      </c>
      <c r="D32" s="4">
        <f t="shared" si="19"/>
        <v>-1454.2223541492435</v>
      </c>
      <c r="E32" s="4">
        <f t="shared" si="19"/>
        <v>-1846.2540032017916</v>
      </c>
      <c r="F32" s="4">
        <f t="shared" si="19"/>
        <v>-2379.5352941169194</v>
      </c>
      <c r="G32" s="4">
        <f t="shared" si="19"/>
        <v>-1129.7968722777273</v>
      </c>
      <c r="H32" s="4">
        <f t="shared" si="19"/>
        <v>-1285.5327455775939</v>
      </c>
      <c r="I32" s="4">
        <f t="shared" si="19"/>
        <v>-1689.4300661746483</v>
      </c>
      <c r="J32" s="4">
        <f t="shared" si="19"/>
        <v>-1695.2059120788733</v>
      </c>
      <c r="K32" s="4">
        <f t="shared" si="19"/>
        <v>-2422.9696771210615</v>
      </c>
    </row>
    <row r="33" spans="1:11" ht="15.75" thickTop="1">
      <c r="A33" s="108" t="s">
        <v>128</v>
      </c>
      <c r="B33" s="109">
        <f t="shared" ref="B33:K33" si="20">IFERROR(B32/B$3,"")</f>
        <v>-0.41784428594979367</v>
      </c>
      <c r="C33" s="109">
        <f t="shared" si="20"/>
        <v>-0.50496840531951293</v>
      </c>
      <c r="D33" s="109">
        <f t="shared" si="20"/>
        <v>-0.67243389591318126</v>
      </c>
      <c r="E33" s="109">
        <f t="shared" si="20"/>
        <v>-0.57613032958852028</v>
      </c>
      <c r="F33" s="109">
        <f t="shared" si="20"/>
        <v>-0.65928217693073565</v>
      </c>
      <c r="G33" s="109">
        <f t="shared" si="20"/>
        <v>-0.2582651411221803</v>
      </c>
      <c r="H33" s="109">
        <f t="shared" si="20"/>
        <v>-0.23353552802892569</v>
      </c>
      <c r="I33" s="109">
        <f t="shared" si="20"/>
        <v>-0.24919644885518266</v>
      </c>
      <c r="J33" s="109">
        <f t="shared" si="20"/>
        <v>-0.19196800515101103</v>
      </c>
      <c r="K33" s="109">
        <f t="shared" si="20"/>
        <v>-0.20722048656467165</v>
      </c>
    </row>
    <row r="34" spans="1:11">
      <c r="A34" s="108" t="s">
        <v>138</v>
      </c>
      <c r="B34" s="108"/>
      <c r="C34" s="109">
        <f t="shared" ref="C34:F34" si="21">IFERROR(C32/B32-1,"")</f>
        <v>0.47914714349363274</v>
      </c>
      <c r="D34" s="109">
        <f t="shared" si="21"/>
        <v>0.72417041735580279</v>
      </c>
      <c r="E34" s="109">
        <f t="shared" si="21"/>
        <v>0.26958164130401951</v>
      </c>
      <c r="F34" s="109">
        <f t="shared" si="21"/>
        <v>0.28884502890193131</v>
      </c>
      <c r="G34" s="109">
        <f>IFERROR(G32/F32-1,"")</f>
        <v>-0.525202725477114</v>
      </c>
      <c r="H34" s="109">
        <f t="shared" ref="H34:K34" si="22">IFERROR(H32/G32-1,"")</f>
        <v>0.13784413563289055</v>
      </c>
      <c r="I34" s="109">
        <f t="shared" si="22"/>
        <v>0.31418672296486871</v>
      </c>
      <c r="J34" s="109">
        <f t="shared" si="22"/>
        <v>3.4188132553500949E-3</v>
      </c>
      <c r="K34" s="109">
        <f t="shared" si="22"/>
        <v>0.42930700032169744</v>
      </c>
    </row>
    <row r="35" spans="1:11">
      <c r="A35" s="108" t="s">
        <v>139</v>
      </c>
      <c r="B35" s="108"/>
      <c r="C35" s="108"/>
      <c r="D35" s="108"/>
      <c r="E35" s="109">
        <f>IFERROR(SUM(C32:E32)/SUM(B32:D32)-1,"")</f>
        <v>0.44494264224594127</v>
      </c>
      <c r="F35" s="109">
        <f t="shared" ref="F35" si="23">IFERROR(SUM(D32:F32)/SUM(C32:E32)-1,"")</f>
        <v>0.3706891394244598</v>
      </c>
      <c r="G35" s="109">
        <f t="shared" ref="G35:K35" si="24">IFERROR(SUM(E32:G32)/SUM(D32:F32)-1,"")</f>
        <v>-5.7117045136284572E-2</v>
      </c>
      <c r="H35" s="109">
        <f t="shared" si="24"/>
        <v>-0.10469839152386373</v>
      </c>
      <c r="I35" s="109">
        <f t="shared" si="24"/>
        <v>-0.14392589585144633</v>
      </c>
      <c r="J35" s="109">
        <f t="shared" si="24"/>
        <v>0.13774473619026573</v>
      </c>
      <c r="K35" s="109">
        <f t="shared" si="24"/>
        <v>0.24355371268265125</v>
      </c>
    </row>
    <row r="36" spans="1:11">
      <c r="A36" s="108" t="s">
        <v>133</v>
      </c>
      <c r="B36" s="108"/>
      <c r="C36" s="108"/>
      <c r="D36" s="108"/>
      <c r="E36" s="108"/>
      <c r="F36" s="109"/>
      <c r="G36" s="109">
        <f>IFERROR(SUM(C32:G32)/SUM(B32:F32)-1,"")</f>
        <v>7.8884670209585561E-2</v>
      </c>
      <c r="H36" s="109">
        <f t="shared" ref="H36" si="25">IFERROR(SUM(D32:H32)/SUM(C32:G32)-1,"")</f>
        <v>5.7766329023083207E-2</v>
      </c>
      <c r="I36" s="109">
        <f t="shared" ref="I36:K36" si="26">IFERROR(SUM(E32:I32)/SUM(D32:H32)-1,"")</f>
        <v>2.9054700005879619E-2</v>
      </c>
      <c r="J36" s="109">
        <f t="shared" si="26"/>
        <v>-1.8131829182098325E-2</v>
      </c>
      <c r="K36" s="109">
        <f t="shared" si="26"/>
        <v>5.3101507765644929E-3</v>
      </c>
    </row>
    <row r="38" spans="1:11" s="9" customFormat="1" ht="15.75" thickBot="1">
      <c r="A38" s="59" t="s">
        <v>153</v>
      </c>
      <c r="B38" s="126">
        <f t="shared" ref="B38:E38" si="27">B2</f>
        <v>39813</v>
      </c>
      <c r="C38" s="126">
        <f t="shared" si="27"/>
        <v>40178</v>
      </c>
      <c r="D38" s="126">
        <f t="shared" si="27"/>
        <v>40543</v>
      </c>
      <c r="E38" s="126">
        <f t="shared" si="27"/>
        <v>40908</v>
      </c>
      <c r="F38" s="126">
        <f>F2</f>
        <v>41274</v>
      </c>
      <c r="G38" s="126">
        <f t="shared" ref="G38:K38" si="28">G2</f>
        <v>41639</v>
      </c>
      <c r="H38" s="126">
        <f t="shared" si="28"/>
        <v>42004</v>
      </c>
      <c r="I38" s="126">
        <f t="shared" si="28"/>
        <v>42369</v>
      </c>
      <c r="J38" s="126">
        <f t="shared" si="28"/>
        <v>42735</v>
      </c>
      <c r="K38" s="126">
        <f t="shared" si="28"/>
        <v>43100</v>
      </c>
    </row>
    <row r="39" spans="1:11" s="117" customFormat="1" ht="15.75" thickBot="1">
      <c r="A39" s="127" t="s">
        <v>154</v>
      </c>
      <c r="B39" s="128">
        <f>VLOOKUP(B38,'GDP Data'!$A$2:$B$73,2,TRUE)</f>
        <v>14549.9</v>
      </c>
      <c r="C39" s="128">
        <f>VLOOKUP(C38,'GDP Data'!$A$2:$B$73,2,TRUE)</f>
        <v>14566.5</v>
      </c>
      <c r="D39" s="128">
        <f>VLOOKUP(D38,'GDP Data'!$A$2:$B$73,2,TRUE)</f>
        <v>15230.2</v>
      </c>
      <c r="E39" s="128">
        <f>VLOOKUP(E38,'GDP Data'!$A$2:$B$73,2,TRUE)</f>
        <v>15785.3</v>
      </c>
      <c r="F39" s="128">
        <f>VLOOKUP(F38,'GDP Data'!$A$2:$B$73,2,TRUE)</f>
        <v>16332.5</v>
      </c>
      <c r="G39" s="128">
        <f>VLOOKUP(G38,'GDP Data'!$A$2:$B$73,2,TRUE)</f>
        <v>17078.3</v>
      </c>
      <c r="H39" s="128">
        <f>VLOOKUP(H38,'GDP Data'!$A$2:$B$73,2,TRUE)</f>
        <v>17703.7</v>
      </c>
      <c r="I39" s="128">
        <f>VLOOKUP(I38,'GDP Data'!$A$2:$B$73,2,TRUE)</f>
        <v>18164.8</v>
      </c>
      <c r="J39" s="128">
        <f>VLOOKUP(J38,'GDP Data'!$A$2:$B$73,2,TRUE)</f>
        <v>18869.400000000001</v>
      </c>
      <c r="K39" s="128">
        <f>VLOOKUP(K38,'GDP Data'!$A$2:$B$73,2,TRUE)</f>
        <v>19754.101999999999</v>
      </c>
    </row>
    <row r="40" spans="1:11">
      <c r="A40" t="s">
        <v>155</v>
      </c>
      <c r="C40" s="129">
        <f t="shared" ref="C40" si="29">C39/B39-1</f>
        <v>1.1409013120364797E-3</v>
      </c>
      <c r="D40" s="129">
        <f t="shared" ref="D40" si="30">D39/C39-1</f>
        <v>4.5563450382727577E-2</v>
      </c>
      <c r="E40" s="129">
        <f t="shared" ref="E40:F40" si="31">E39/D39-1</f>
        <v>3.6447321768591223E-2</v>
      </c>
      <c r="F40" s="129">
        <f t="shared" si="31"/>
        <v>3.4665163158128287E-2</v>
      </c>
      <c r="G40" s="129">
        <f>G39/F39-1</f>
        <v>4.5663554262972639E-2</v>
      </c>
      <c r="H40" s="129">
        <f t="shared" ref="H40:K40" si="32">H39/G39-1</f>
        <v>3.6619569863511003E-2</v>
      </c>
      <c r="I40" s="129">
        <f t="shared" si="32"/>
        <v>2.6045402938368767E-2</v>
      </c>
      <c r="J40" s="129">
        <f t="shared" si="32"/>
        <v>3.8789306791156664E-2</v>
      </c>
      <c r="K40" s="129">
        <f t="shared" si="32"/>
        <v>4.6885539550806987E-2</v>
      </c>
    </row>
    <row r="41" spans="1:11">
      <c r="A41" s="130" t="s">
        <v>156</v>
      </c>
      <c r="B41" s="130"/>
      <c r="C41" s="131">
        <f t="shared" ref="C41:F41" si="33">C13</f>
        <v>7.5729958331327341E-2</v>
      </c>
      <c r="D41" s="131">
        <f t="shared" si="33"/>
        <v>0.20891139876543274</v>
      </c>
      <c r="E41" s="131">
        <f t="shared" si="33"/>
        <v>0.64697041822557111</v>
      </c>
      <c r="F41" s="131">
        <f t="shared" si="33"/>
        <v>-1.3901201719667655</v>
      </c>
      <c r="G41" s="131">
        <f>G13</f>
        <v>-0.76480727758263112</v>
      </c>
      <c r="H41" s="131">
        <f t="shared" ref="H41:K41" si="34">H13</f>
        <v>5.5830434628373178</v>
      </c>
      <c r="I41" s="131">
        <f t="shared" si="34"/>
        <v>6.8599524884608956</v>
      </c>
      <c r="J41" s="131">
        <f t="shared" si="34"/>
        <v>0.80887982368710265</v>
      </c>
      <c r="K41" s="131">
        <f t="shared" si="34"/>
        <v>0.18866988435030652</v>
      </c>
    </row>
    <row r="42" spans="1:11">
      <c r="A42" t="s">
        <v>157</v>
      </c>
      <c r="D42" s="132"/>
      <c r="E42" s="132">
        <f t="shared" ref="E42" si="35">SUM(C39:E39)/SUM(B39:D39)-1</f>
        <v>2.7857829010566659E-2</v>
      </c>
      <c r="F42" s="132">
        <f t="shared" ref="F42" si="36">SUM(D39:F39)/SUM(C39:E39)-1</f>
        <v>3.8743363608441994E-2</v>
      </c>
      <c r="G42" s="132">
        <f t="shared" ref="G42:J42" si="37">SUM(E39:G39)/SUM(D39:F39)-1</f>
        <v>3.9032271690462084E-2</v>
      </c>
      <c r="H42" s="132">
        <f t="shared" si="37"/>
        <v>3.8994960982679627E-2</v>
      </c>
      <c r="I42" s="132">
        <f t="shared" si="37"/>
        <v>3.5846971016052276E-2</v>
      </c>
      <c r="J42" s="132">
        <f t="shared" si="37"/>
        <v>3.3828295572159162E-2</v>
      </c>
      <c r="K42" s="132">
        <f>SUM(I39:K39)/SUM(H39:J39)-1</f>
        <v>3.7458543349306428E-2</v>
      </c>
    </row>
    <row r="43" spans="1:11">
      <c r="A43" s="130" t="s">
        <v>158</v>
      </c>
      <c r="B43" s="130"/>
      <c r="C43" s="130"/>
      <c r="D43" s="131"/>
      <c r="E43" s="131">
        <f t="shared" ref="E43:J43" si="38">E14</f>
        <v>0.33819839960376319</v>
      </c>
      <c r="F43" s="131">
        <f t="shared" si="38"/>
        <v>-0.42303937719951845</v>
      </c>
      <c r="G43" s="131">
        <f t="shared" si="38"/>
        <v>-0.57427865987947047</v>
      </c>
      <c r="H43" s="131">
        <f t="shared" si="38"/>
        <v>-3.0958020635423118</v>
      </c>
      <c r="I43" s="131">
        <f t="shared" si="38"/>
        <v>4.0127651354598219</v>
      </c>
      <c r="J43" s="131">
        <f t="shared" si="38"/>
        <v>1.5608106771576362</v>
      </c>
      <c r="K43" s="131">
        <f>K14</f>
        <v>0.68898500640179972</v>
      </c>
    </row>
    <row r="44" spans="1:11">
      <c r="A44" t="s">
        <v>159</v>
      </c>
      <c r="G44" s="132">
        <f t="shared" ref="G44:J44" si="39">SUM(C39:G39)/SUM(B39:F39)-1</f>
        <v>3.3066368139944791E-2</v>
      </c>
      <c r="H44" s="132">
        <f t="shared" si="39"/>
        <v>3.9715012001093841E-2</v>
      </c>
      <c r="I44" s="132">
        <f t="shared" si="39"/>
        <v>3.5731157920370293E-2</v>
      </c>
      <c r="J44" s="132">
        <f t="shared" si="39"/>
        <v>3.625597487086285E-2</v>
      </c>
      <c r="K44" s="132">
        <f>SUM(G39:K39)/SUM(F39:J39)-1</f>
        <v>3.8816250268012942E-2</v>
      </c>
    </row>
    <row r="45" spans="1:11">
      <c r="A45" s="130" t="s">
        <v>160</v>
      </c>
      <c r="B45" s="130"/>
      <c r="C45" s="130"/>
      <c r="D45" s="130"/>
      <c r="E45" s="131"/>
      <c r="F45" s="131"/>
      <c r="G45" s="131">
        <f t="shared" ref="G45:J45" si="40">G15</f>
        <v>-0.25553298496800914</v>
      </c>
      <c r="H45" s="131">
        <f t="shared" si="40"/>
        <v>-0.67971211275920718</v>
      </c>
      <c r="I45" s="131">
        <f t="shared" si="40"/>
        <v>-10.27215063718206</v>
      </c>
      <c r="J45" s="131">
        <f t="shared" si="40"/>
        <v>1.9836281872815706</v>
      </c>
      <c r="K45" s="131">
        <f>K15</f>
        <v>0.68079516615762792</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CE54-3674-4615-B6D8-1F6572AB8FDA}">
  <dimension ref="A1:I39"/>
  <sheetViews>
    <sheetView workbookViewId="0">
      <selection activeCell="B27" sqref="B27"/>
    </sheetView>
  </sheetViews>
  <sheetFormatPr defaultRowHeight="15"/>
  <cols>
    <col min="1" max="1" width="11.140625" bestFit="1" customWidth="1"/>
    <col min="2" max="2" width="13.85546875" bestFit="1" customWidth="1"/>
    <col min="6" max="6" width="10.5703125" bestFit="1" customWidth="1"/>
  </cols>
  <sheetData>
    <row r="1" spans="1:6">
      <c r="B1" t="s">
        <v>203</v>
      </c>
      <c r="C1" t="s">
        <v>202</v>
      </c>
      <c r="D1" t="s">
        <v>204</v>
      </c>
      <c r="E1" t="s">
        <v>205</v>
      </c>
      <c r="F1" t="s">
        <v>206</v>
      </c>
    </row>
    <row r="2" spans="1:6">
      <c r="A2">
        <v>2008</v>
      </c>
      <c r="B2" s="140">
        <v>284037</v>
      </c>
      <c r="C2" s="142">
        <v>32454</v>
      </c>
      <c r="D2" s="143">
        <v>3.7999999999999999E-2</v>
      </c>
      <c r="E2" s="140">
        <f t="shared" ref="E2:E8" si="0">-C2*(1+D2)</f>
        <v>-33687.252</v>
      </c>
      <c r="F2" s="140">
        <f>B2+E2</f>
        <v>250349.74799999999</v>
      </c>
    </row>
    <row r="3" spans="1:6">
      <c r="A3">
        <v>2009</v>
      </c>
      <c r="B3" s="140">
        <v>325063</v>
      </c>
      <c r="C3" s="142">
        <v>38044</v>
      </c>
      <c r="D3" s="144">
        <v>-4.0000000000000001E-3</v>
      </c>
      <c r="E3" s="140">
        <f t="shared" si="0"/>
        <v>-37891.824000000001</v>
      </c>
      <c r="F3" s="140">
        <f t="shared" ref="F3:F11" si="1">B3+E3</f>
        <v>287171.17599999998</v>
      </c>
    </row>
    <row r="4" spans="1:6">
      <c r="A4">
        <v>2010</v>
      </c>
      <c r="B4" s="140">
        <v>276401</v>
      </c>
      <c r="C4" s="142">
        <v>38099</v>
      </c>
      <c r="D4" s="143">
        <v>1.6E-2</v>
      </c>
      <c r="E4" s="140">
        <f t="shared" si="0"/>
        <v>-38708.584000000003</v>
      </c>
      <c r="F4" s="140">
        <f t="shared" si="1"/>
        <v>237692.416</v>
      </c>
    </row>
    <row r="5" spans="1:6">
      <c r="A5">
        <v>2011</v>
      </c>
      <c r="B5" s="140">
        <v>317712</v>
      </c>
      <c r="C5" s="142">
        <v>43747</v>
      </c>
      <c r="D5" s="143">
        <v>3.2000000000000001E-2</v>
      </c>
      <c r="E5" s="140">
        <f t="shared" si="0"/>
        <v>-45146.904000000002</v>
      </c>
      <c r="F5" s="140">
        <f t="shared" si="1"/>
        <v>272565.09600000002</v>
      </c>
    </row>
    <row r="6" spans="1:6">
      <c r="A6">
        <v>2012</v>
      </c>
      <c r="B6" s="140">
        <v>21586</v>
      </c>
      <c r="C6" s="142">
        <v>45469</v>
      </c>
      <c r="D6" s="143">
        <v>2.1000000000000001E-2</v>
      </c>
      <c r="E6" s="140">
        <f t="shared" si="0"/>
        <v>-46423.848999999995</v>
      </c>
      <c r="F6" s="140">
        <f t="shared" si="1"/>
        <v>-24837.848999999995</v>
      </c>
    </row>
    <row r="7" spans="1:6">
      <c r="A7">
        <v>2013</v>
      </c>
      <c r="B7" s="140">
        <v>97831</v>
      </c>
      <c r="C7" s="142">
        <v>48374</v>
      </c>
      <c r="D7" s="143">
        <v>1.4999999999999999E-2</v>
      </c>
      <c r="E7" s="140">
        <f t="shared" si="0"/>
        <v>-49099.609999999993</v>
      </c>
      <c r="F7" s="140">
        <f t="shared" si="1"/>
        <v>48731.390000000007</v>
      </c>
    </row>
    <row r="8" spans="1:6">
      <c r="A8">
        <v>2014</v>
      </c>
      <c r="B8" s="140">
        <v>16483</v>
      </c>
      <c r="C8" s="142">
        <v>54028</v>
      </c>
      <c r="D8" s="143">
        <v>1.6E-2</v>
      </c>
      <c r="E8" s="140">
        <f t="shared" si="0"/>
        <v>-54892.448000000004</v>
      </c>
      <c r="F8" s="140">
        <f t="shared" si="1"/>
        <v>-38409.448000000004</v>
      </c>
    </row>
    <row r="9" spans="1:6">
      <c r="A9">
        <v>2015</v>
      </c>
      <c r="B9" s="140">
        <v>-749439</v>
      </c>
      <c r="C9" s="142">
        <v>62283</v>
      </c>
      <c r="D9" s="143">
        <v>1E-3</v>
      </c>
      <c r="E9" s="140">
        <f>-C9*(1+D9)</f>
        <v>-62345.282999999996</v>
      </c>
      <c r="F9" s="140">
        <f t="shared" si="1"/>
        <v>-811784.28300000005</v>
      </c>
    </row>
    <row r="10" spans="1:6">
      <c r="A10">
        <v>2016</v>
      </c>
      <c r="B10" s="140">
        <v>-1473984</v>
      </c>
      <c r="C10" s="142">
        <v>57528</v>
      </c>
      <c r="D10" s="143">
        <v>1.2999999999999999E-2</v>
      </c>
      <c r="E10" s="140">
        <f t="shared" ref="E10:E11" si="2">-C10*(1+D10)</f>
        <v>-58275.863999999994</v>
      </c>
      <c r="F10" s="140">
        <f t="shared" si="1"/>
        <v>-1532259.8640000001</v>
      </c>
    </row>
    <row r="11" spans="1:6">
      <c r="A11">
        <v>2017</v>
      </c>
      <c r="B11" s="140">
        <v>-1785948</v>
      </c>
      <c r="C11" s="142">
        <v>71911</v>
      </c>
      <c r="D11" s="143">
        <v>2.1000000000000001E-2</v>
      </c>
      <c r="E11" s="140">
        <f t="shared" si="2"/>
        <v>-73421.130999999994</v>
      </c>
      <c r="F11" s="140">
        <f t="shared" si="1"/>
        <v>-1859369.1310000001</v>
      </c>
    </row>
    <row r="14" spans="1:6">
      <c r="B14">
        <v>10</v>
      </c>
      <c r="C14" t="s">
        <v>232</v>
      </c>
    </row>
    <row r="15" spans="1:6">
      <c r="B15" s="99">
        <v>0.31</v>
      </c>
      <c r="C15" t="s">
        <v>233</v>
      </c>
    </row>
    <row r="16" spans="1:6">
      <c r="B16" s="99">
        <v>0.27</v>
      </c>
      <c r="C16" t="s">
        <v>234</v>
      </c>
    </row>
    <row r="18" spans="1:9" ht="15.75" thickBot="1">
      <c r="B18" t="s">
        <v>235</v>
      </c>
      <c r="C18" s="191" t="s">
        <v>236</v>
      </c>
      <c r="D18" s="191"/>
    </row>
    <row r="19" spans="1:9">
      <c r="A19" t="s">
        <v>230</v>
      </c>
      <c r="B19" s="99">
        <f>'Valuation Model'!G10</f>
        <v>0.02</v>
      </c>
      <c r="C19" s="158">
        <f>$B19*(1+B15)^$B$14</f>
        <v>0.29767540434632339</v>
      </c>
      <c r="D19" s="159">
        <f>$B19*(1+B16)^$B$14</f>
        <v>0.21830677061467871</v>
      </c>
    </row>
    <row r="20" spans="1:9" ht="15.75" thickBot="1">
      <c r="A20" t="s">
        <v>231</v>
      </c>
      <c r="B20" s="99">
        <f>'Valuation Model'!G11</f>
        <v>0.01</v>
      </c>
      <c r="C20" s="160">
        <f>$B20*(1+B15)^$B$14</f>
        <v>0.1488377021731617</v>
      </c>
      <c r="D20" s="161">
        <f>$B20*(1+B16)^$B$14</f>
        <v>0.10915338530733935</v>
      </c>
    </row>
    <row r="21" spans="1:9">
      <c r="A21" s="99"/>
    </row>
    <row r="22" spans="1:9">
      <c r="A22" s="174" t="s">
        <v>37</v>
      </c>
      <c r="B22" s="174"/>
      <c r="C22" s="174"/>
      <c r="D22" s="193" t="s">
        <v>127</v>
      </c>
      <c r="E22" s="194"/>
      <c r="F22" s="193" t="s">
        <v>206</v>
      </c>
      <c r="G22" s="195"/>
    </row>
    <row r="23" spans="1:9">
      <c r="B23" s="192" t="s">
        <v>241</v>
      </c>
      <c r="C23" s="192"/>
      <c r="D23" s="49"/>
      <c r="E23" s="164"/>
      <c r="F23" s="49"/>
      <c r="G23" s="3"/>
    </row>
    <row r="24" spans="1:9">
      <c r="B24" s="20">
        <v>7.0000000000000007E-2</v>
      </c>
      <c r="C24" s="20">
        <v>0.05</v>
      </c>
      <c r="D24" s="49"/>
      <c r="E24" s="164"/>
      <c r="F24" s="49"/>
      <c r="G24" s="3"/>
    </row>
    <row r="25" spans="1:9">
      <c r="D25" s="49"/>
      <c r="E25" s="164"/>
      <c r="F25" s="49"/>
      <c r="G25" s="3"/>
    </row>
    <row r="26" spans="1:9">
      <c r="B26" t="s">
        <v>3</v>
      </c>
      <c r="C26" t="s">
        <v>4</v>
      </c>
      <c r="D26" s="49" t="s">
        <v>3</v>
      </c>
      <c r="E26" s="164" t="s">
        <v>4</v>
      </c>
      <c r="F26" s="49" t="s">
        <v>3</v>
      </c>
      <c r="G26" s="3" t="s">
        <v>4</v>
      </c>
    </row>
    <row r="27" spans="1:9">
      <c r="A27" t="s">
        <v>242</v>
      </c>
      <c r="B27" s="140">
        <f>'Graphing Data'!P3</f>
        <v>54167.888365379564</v>
      </c>
      <c r="C27" s="140">
        <f>'Graphing Data'!P4</f>
        <v>32918.577019301825</v>
      </c>
      <c r="D27" s="165">
        <f>B19</f>
        <v>0.02</v>
      </c>
      <c r="E27" s="54">
        <f>B20</f>
        <v>0.01</v>
      </c>
      <c r="F27" s="162">
        <f>'Graphing Data'!P11</f>
        <v>1083.3577673075913</v>
      </c>
      <c r="G27" s="163">
        <f>'Graphing Data'!P12</f>
        <v>329.18577019301824</v>
      </c>
      <c r="H27" s="140">
        <f>F27</f>
        <v>1083.3577673075913</v>
      </c>
      <c r="I27" s="140">
        <f>G27</f>
        <v>329.18577019301824</v>
      </c>
    </row>
    <row r="28" spans="1:9">
      <c r="A28">
        <v>1</v>
      </c>
      <c r="B28" s="140">
        <f>B27*(1+B$24)</f>
        <v>57959.640550956137</v>
      </c>
      <c r="C28" s="140">
        <f>C27*(1+C$24)</f>
        <v>34564.505870266919</v>
      </c>
      <c r="D28" s="165">
        <f>D27*(1+$B$15)</f>
        <v>2.6200000000000001E-2</v>
      </c>
      <c r="E28" s="54">
        <f>E27*(1+$B$16)</f>
        <v>1.2700000000000001E-2</v>
      </c>
      <c r="F28" s="166">
        <f>D28*B28</f>
        <v>1518.5425824350509</v>
      </c>
      <c r="G28" s="62">
        <f>E28*C28</f>
        <v>438.9692245523899</v>
      </c>
      <c r="H28" s="140">
        <f>B28*E28</f>
        <v>736.08743499714296</v>
      </c>
      <c r="I28" s="140">
        <f>D28*C28</f>
        <v>905.59005380099336</v>
      </c>
    </row>
    <row r="29" spans="1:9">
      <c r="A29">
        <v>2</v>
      </c>
      <c r="B29" s="140">
        <f t="shared" ref="B29:B37" si="3">B28*(1+B$24)</f>
        <v>62016.815389523072</v>
      </c>
      <c r="C29" s="140">
        <f t="shared" ref="C29:C37" si="4">C28*(1+C$24)</f>
        <v>36292.73116378027</v>
      </c>
      <c r="D29" s="165">
        <f t="shared" ref="D29:D37" si="5">D28*(1+$B$15)</f>
        <v>3.4322000000000005E-2</v>
      </c>
      <c r="E29" s="54">
        <f t="shared" ref="E29:E37" si="6">E28*(1+$B$16)</f>
        <v>1.6129000000000001E-2</v>
      </c>
      <c r="F29" s="166">
        <f t="shared" ref="F29:F37" si="7">D29*B29</f>
        <v>2128.5411377992114</v>
      </c>
      <c r="G29" s="62">
        <f t="shared" ref="G29:G37" si="8">E29*C29</f>
        <v>585.36546094061202</v>
      </c>
      <c r="H29" s="140">
        <f t="shared" ref="H29:H37" si="9">B29*E29</f>
        <v>1000.2692154176177</v>
      </c>
      <c r="I29" s="140">
        <f t="shared" ref="I29:I37" si="10">D29*C29</f>
        <v>1245.6391190032666</v>
      </c>
    </row>
    <row r="30" spans="1:9">
      <c r="A30">
        <v>3</v>
      </c>
      <c r="B30" s="140">
        <f t="shared" si="3"/>
        <v>66357.992466789685</v>
      </c>
      <c r="C30" s="140">
        <f t="shared" si="4"/>
        <v>38107.367721969284</v>
      </c>
      <c r="D30" s="165">
        <f t="shared" si="5"/>
        <v>4.4961820000000007E-2</v>
      </c>
      <c r="E30" s="54">
        <f t="shared" si="6"/>
        <v>2.0483830000000001E-2</v>
      </c>
      <c r="F30" s="166">
        <f t="shared" si="7"/>
        <v>2983.5761128531544</v>
      </c>
      <c r="G30" s="62">
        <f t="shared" si="8"/>
        <v>780.58484216430611</v>
      </c>
      <c r="H30" s="140">
        <f t="shared" si="9"/>
        <v>1359.2658368310006</v>
      </c>
      <c r="I30" s="140">
        <f t="shared" si="10"/>
        <v>1713.3766081889933</v>
      </c>
    </row>
    <row r="31" spans="1:9">
      <c r="A31">
        <v>4</v>
      </c>
      <c r="B31" s="140">
        <f t="shared" si="3"/>
        <v>71003.05193946496</v>
      </c>
      <c r="C31" s="140">
        <f t="shared" si="4"/>
        <v>40012.736108067751</v>
      </c>
      <c r="D31" s="165">
        <f t="shared" si="5"/>
        <v>5.8899984200000012E-2</v>
      </c>
      <c r="E31" s="54">
        <f t="shared" si="6"/>
        <v>2.6014464100000002E-2</v>
      </c>
      <c r="F31" s="166">
        <f t="shared" si="7"/>
        <v>4182.0786373862666</v>
      </c>
      <c r="G31" s="62">
        <f t="shared" si="8"/>
        <v>1040.9098870261023</v>
      </c>
      <c r="H31" s="140">
        <f t="shared" si="9"/>
        <v>1847.1063456696468</v>
      </c>
      <c r="I31" s="140">
        <f t="shared" si="10"/>
        <v>2356.7495245639607</v>
      </c>
    </row>
    <row r="32" spans="1:9">
      <c r="A32">
        <v>5</v>
      </c>
      <c r="B32" s="140">
        <f t="shared" si="3"/>
        <v>75973.265575227517</v>
      </c>
      <c r="C32" s="140">
        <f t="shared" si="4"/>
        <v>42013.372913471139</v>
      </c>
      <c r="D32" s="165">
        <f t="shared" si="5"/>
        <v>7.7158979302000025E-2</v>
      </c>
      <c r="E32" s="54">
        <f t="shared" si="6"/>
        <v>3.3038369407000001E-2</v>
      </c>
      <c r="F32" s="166">
        <f t="shared" si="7"/>
        <v>5862.019626024331</v>
      </c>
      <c r="G32" s="62">
        <f t="shared" si="8"/>
        <v>1388.0533343493073</v>
      </c>
      <c r="H32" s="140">
        <f t="shared" si="9"/>
        <v>2510.0328131304832</v>
      </c>
      <c r="I32" s="140">
        <f t="shared" si="10"/>
        <v>3241.7089710377281</v>
      </c>
    </row>
    <row r="33" spans="1:9">
      <c r="A33">
        <v>6</v>
      </c>
      <c r="B33" s="140">
        <f t="shared" si="3"/>
        <v>81291.394165493446</v>
      </c>
      <c r="C33" s="140">
        <f t="shared" si="4"/>
        <v>44114.041559144702</v>
      </c>
      <c r="D33" s="165">
        <f t="shared" si="5"/>
        <v>0.10107826288562004</v>
      </c>
      <c r="E33" s="54">
        <f t="shared" si="6"/>
        <v>4.195872914689E-2</v>
      </c>
      <c r="F33" s="166">
        <f t="shared" si="7"/>
        <v>8216.7929097983051</v>
      </c>
      <c r="G33" s="62">
        <f t="shared" si="8"/>
        <v>1850.9691213548017</v>
      </c>
      <c r="H33" s="140">
        <f t="shared" si="9"/>
        <v>3410.8835897630138</v>
      </c>
      <c r="I33" s="140">
        <f t="shared" si="10"/>
        <v>4458.9706896623957</v>
      </c>
    </row>
    <row r="34" spans="1:9">
      <c r="A34">
        <v>7</v>
      </c>
      <c r="B34" s="140">
        <f t="shared" si="3"/>
        <v>86981.791757077997</v>
      </c>
      <c r="C34" s="140">
        <f t="shared" si="4"/>
        <v>46319.743637101936</v>
      </c>
      <c r="D34" s="165">
        <f t="shared" si="5"/>
        <v>0.13241252438016227</v>
      </c>
      <c r="E34" s="54">
        <f t="shared" si="6"/>
        <v>5.3287586016550301E-2</v>
      </c>
      <c r="F34" s="166">
        <f t="shared" si="7"/>
        <v>11517.478621664288</v>
      </c>
      <c r="G34" s="62">
        <f t="shared" si="8"/>
        <v>2468.2673233266278</v>
      </c>
      <c r="H34" s="140">
        <f t="shared" si="9"/>
        <v>4635.0497101289593</v>
      </c>
      <c r="I34" s="140">
        <f t="shared" si="10"/>
        <v>6133.3141836306258</v>
      </c>
    </row>
    <row r="35" spans="1:9">
      <c r="A35">
        <v>8</v>
      </c>
      <c r="B35" s="140">
        <f t="shared" si="3"/>
        <v>93070.517180073468</v>
      </c>
      <c r="C35" s="140">
        <f t="shared" si="4"/>
        <v>48635.730818957032</v>
      </c>
      <c r="D35" s="165">
        <f t="shared" si="5"/>
        <v>0.17346040693801257</v>
      </c>
      <c r="E35" s="54">
        <f t="shared" si="6"/>
        <v>6.7675234241018886E-2</v>
      </c>
      <c r="F35" s="166">
        <f t="shared" si="7"/>
        <v>16144.049783986833</v>
      </c>
      <c r="G35" s="62">
        <f t="shared" si="8"/>
        <v>3291.4344756560586</v>
      </c>
      <c r="H35" s="140">
        <f t="shared" si="9"/>
        <v>6298.5690510942441</v>
      </c>
      <c r="I35" s="140">
        <f t="shared" si="10"/>
        <v>8436.3736595839255</v>
      </c>
    </row>
    <row r="36" spans="1:9">
      <c r="A36">
        <v>9</v>
      </c>
      <c r="B36" s="140">
        <f t="shared" si="3"/>
        <v>99585.453382678621</v>
      </c>
      <c r="C36" s="140">
        <f t="shared" si="4"/>
        <v>51067.517359904887</v>
      </c>
      <c r="D36" s="165">
        <f t="shared" si="5"/>
        <v>0.22723313308879647</v>
      </c>
      <c r="E36" s="54">
        <f t="shared" si="6"/>
        <v>8.5947547486093984E-2</v>
      </c>
      <c r="F36" s="166">
        <f t="shared" si="7"/>
        <v>22629.114582214348</v>
      </c>
      <c r="G36" s="62">
        <f t="shared" si="8"/>
        <v>4389.1278732873543</v>
      </c>
      <c r="H36" s="140">
        <f t="shared" si="9"/>
        <v>8559.1254835319687</v>
      </c>
      <c r="I36" s="140">
        <f t="shared" si="10"/>
        <v>11604.231968757691</v>
      </c>
    </row>
    <row r="37" spans="1:9">
      <c r="A37">
        <v>10</v>
      </c>
      <c r="B37" s="140">
        <f t="shared" si="3"/>
        <v>106556.43511946613</v>
      </c>
      <c r="C37" s="140">
        <f t="shared" si="4"/>
        <v>53620.893227900131</v>
      </c>
      <c r="D37" s="165">
        <f t="shared" si="5"/>
        <v>0.29767540434632339</v>
      </c>
      <c r="E37" s="54">
        <f t="shared" si="6"/>
        <v>0.10915338530733935</v>
      </c>
      <c r="F37" s="166">
        <f t="shared" si="7"/>
        <v>31719.229909889855</v>
      </c>
      <c r="G37" s="62">
        <f t="shared" si="8"/>
        <v>5852.9020190286865</v>
      </c>
      <c r="H37" s="140">
        <f t="shared" si="9"/>
        <v>11630.995619571593</v>
      </c>
      <c r="I37" s="140">
        <f t="shared" si="10"/>
        <v>15961.621073026205</v>
      </c>
    </row>
    <row r="39" spans="1:9">
      <c r="F39" s="167">
        <f>(F37/F27)^0.1-1</f>
        <v>0.40170000000000017</v>
      </c>
      <c r="G39" s="167">
        <f>(G37/G27)^0.1-1</f>
        <v>0.33350000000000013</v>
      </c>
      <c r="H39" s="167">
        <f t="shared" ref="H39:I39" si="11">(H37/H27)^0.1-1</f>
        <v>0.26789853219936766</v>
      </c>
      <c r="I39" s="167">
        <f t="shared" si="11"/>
        <v>0.47422439771867153</v>
      </c>
    </row>
  </sheetData>
  <mergeCells count="5">
    <mergeCell ref="C18:D18"/>
    <mergeCell ref="B23:C23"/>
    <mergeCell ref="A22:C22"/>
    <mergeCell ref="D22:E22"/>
    <mergeCell ref="F22:G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AB29F-3361-498D-A55B-E36D13E0A570}">
  <dimension ref="A1:N58"/>
  <sheetViews>
    <sheetView zoomScale="87" zoomScaleNormal="87" workbookViewId="0">
      <pane xSplit="1" ySplit="1" topLeftCell="B2" activePane="bottomRight" state="frozen"/>
      <selection pane="topRight" activeCell="B1" sqref="B1"/>
      <selection pane="bottomLeft" activeCell="A2" sqref="A2"/>
      <selection pane="bottomRight" activeCell="M46" sqref="M46"/>
    </sheetView>
  </sheetViews>
  <sheetFormatPr defaultRowHeight="15"/>
  <cols>
    <col min="1" max="1" width="24.7109375" bestFit="1" customWidth="1"/>
    <col min="2" max="3" width="9" customWidth="1"/>
    <col min="4" max="14" width="10.42578125" bestFit="1" customWidth="1"/>
  </cols>
  <sheetData>
    <row r="1" spans="1:14">
      <c r="B1">
        <v>2005</v>
      </c>
      <c r="C1">
        <v>2006</v>
      </c>
      <c r="D1">
        <v>2007</v>
      </c>
      <c r="E1">
        <v>2008</v>
      </c>
      <c r="F1">
        <v>2009</v>
      </c>
      <c r="G1">
        <v>2010</v>
      </c>
      <c r="H1">
        <v>2011</v>
      </c>
      <c r="I1">
        <v>2012</v>
      </c>
      <c r="J1">
        <v>2013</v>
      </c>
      <c r="K1">
        <v>2014</v>
      </c>
      <c r="L1">
        <v>2015</v>
      </c>
      <c r="M1">
        <v>2016</v>
      </c>
      <c r="N1">
        <v>2017</v>
      </c>
    </row>
    <row r="2" spans="1:14">
      <c r="A2" s="10" t="s">
        <v>191</v>
      </c>
      <c r="B2" s="10"/>
      <c r="C2" s="10"/>
      <c r="D2" s="10"/>
      <c r="E2" t="s">
        <v>192</v>
      </c>
    </row>
    <row r="3" spans="1:14">
      <c r="A3" t="s">
        <v>193</v>
      </c>
      <c r="E3" s="140"/>
      <c r="F3" s="140"/>
      <c r="G3" s="140"/>
      <c r="H3" s="140"/>
      <c r="I3" s="140"/>
      <c r="J3" s="140"/>
      <c r="K3" s="140"/>
      <c r="L3" s="140">
        <v>5624</v>
      </c>
      <c r="M3" s="140">
        <v>4693</v>
      </c>
      <c r="N3" s="140">
        <v>5319</v>
      </c>
    </row>
    <row r="4" spans="1:14">
      <c r="A4" t="s">
        <v>194</v>
      </c>
      <c r="E4" s="140"/>
      <c r="F4" s="140"/>
      <c r="G4" s="140"/>
      <c r="I4" s="140">
        <v>27146</v>
      </c>
      <c r="J4" s="140">
        <v>33420</v>
      </c>
      <c r="K4" s="140">
        <v>39114</v>
      </c>
      <c r="L4" s="140">
        <v>44738</v>
      </c>
      <c r="M4" s="140">
        <v>49431</v>
      </c>
      <c r="N4" s="140">
        <v>54750</v>
      </c>
    </row>
    <row r="5" spans="1:14">
      <c r="A5" t="s">
        <v>195</v>
      </c>
      <c r="E5" s="140"/>
      <c r="F5" s="140"/>
      <c r="G5" s="140"/>
      <c r="H5" s="140"/>
      <c r="I5" s="140"/>
      <c r="J5" s="140"/>
      <c r="K5" s="140"/>
      <c r="L5" s="140">
        <v>43401</v>
      </c>
      <c r="M5" s="140">
        <v>47905</v>
      </c>
      <c r="N5" s="140">
        <v>52810</v>
      </c>
    </row>
    <row r="6" spans="1:14">
      <c r="A6" t="s">
        <v>196</v>
      </c>
      <c r="E6" s="141"/>
      <c r="F6" s="141"/>
      <c r="G6" s="141"/>
      <c r="H6" s="141"/>
      <c r="I6" s="141"/>
      <c r="J6" s="141"/>
      <c r="K6" s="141"/>
      <c r="L6" s="141">
        <v>8.5</v>
      </c>
      <c r="M6" s="141">
        <v>9.2100000000000009</v>
      </c>
      <c r="N6" s="141">
        <v>10.18</v>
      </c>
    </row>
    <row r="7" spans="1:14">
      <c r="A7" t="s">
        <v>199</v>
      </c>
      <c r="E7" s="140"/>
      <c r="F7" s="140"/>
      <c r="G7" s="140"/>
      <c r="I7" s="140">
        <v>2184868</v>
      </c>
      <c r="J7" s="140">
        <v>2751375</v>
      </c>
      <c r="K7" s="140">
        <v>3431434</v>
      </c>
      <c r="L7" s="140">
        <v>4180339</v>
      </c>
      <c r="M7" s="140">
        <v>5077307</v>
      </c>
      <c r="N7" s="140">
        <v>6153025</v>
      </c>
    </row>
    <row r="8" spans="1:14">
      <c r="A8" t="s">
        <v>138</v>
      </c>
      <c r="E8" s="140"/>
      <c r="F8" s="140"/>
      <c r="G8" s="140"/>
      <c r="I8" s="140"/>
      <c r="J8" s="20">
        <f>J7/I7-1</f>
        <v>0.25928660221120903</v>
      </c>
      <c r="K8" s="20">
        <f t="shared" ref="K8:N8" si="0">K7/J7-1</f>
        <v>0.24717059651992179</v>
      </c>
      <c r="L8" s="20">
        <f t="shared" si="0"/>
        <v>0.21824840576855031</v>
      </c>
      <c r="M8" s="20">
        <f t="shared" si="0"/>
        <v>0.21456824434573374</v>
      </c>
      <c r="N8" s="20">
        <f t="shared" si="0"/>
        <v>0.21186782678297766</v>
      </c>
    </row>
    <row r="9" spans="1:14">
      <c r="A9" t="s">
        <v>139</v>
      </c>
      <c r="E9" s="140"/>
      <c r="F9" s="140"/>
      <c r="G9" s="140"/>
      <c r="I9" s="140"/>
      <c r="J9" s="140"/>
      <c r="K9" s="140"/>
      <c r="L9" s="20">
        <f>SUM(J7:L7)/SUM(I7:K7)-1</f>
        <v>0.23847371259669803</v>
      </c>
      <c r="M9" s="20">
        <f t="shared" ref="M9:N9" si="1">SUM(K7:M7)/SUM(J7:L7)-1</f>
        <v>0.22444261145358535</v>
      </c>
      <c r="N9" s="20">
        <f t="shared" si="1"/>
        <v>0.21448292547607872</v>
      </c>
    </row>
    <row r="10" spans="1:14">
      <c r="M10" s="20">
        <f>M6/L6-1</f>
        <v>8.3529411764706074E-2</v>
      </c>
      <c r="N10" s="20">
        <f>N6/M6-1</f>
        <v>0.10532030401737225</v>
      </c>
    </row>
    <row r="11" spans="1:14">
      <c r="A11" s="10" t="s">
        <v>197</v>
      </c>
      <c r="B11" s="10"/>
      <c r="C11" s="10"/>
      <c r="D11" s="10"/>
    </row>
    <row r="12" spans="1:14">
      <c r="A12" t="s">
        <v>193</v>
      </c>
      <c r="E12" s="140"/>
      <c r="F12" s="140"/>
      <c r="G12" s="140"/>
      <c r="H12" s="140"/>
      <c r="I12" s="140"/>
      <c r="J12" s="140"/>
      <c r="K12" s="140"/>
      <c r="L12" s="140">
        <v>11747</v>
      </c>
      <c r="M12" s="140">
        <v>14341</v>
      </c>
      <c r="N12" s="140">
        <v>18467</v>
      </c>
    </row>
    <row r="13" spans="1:14">
      <c r="A13" t="s">
        <v>194</v>
      </c>
      <c r="E13" s="140"/>
      <c r="F13" s="140"/>
      <c r="G13" s="140"/>
      <c r="I13" s="140">
        <v>6121</v>
      </c>
      <c r="J13" s="140">
        <v>10930</v>
      </c>
      <c r="K13" s="140">
        <v>18277</v>
      </c>
      <c r="L13" s="140">
        <v>30024</v>
      </c>
      <c r="M13" s="140">
        <v>44365</v>
      </c>
      <c r="N13" s="140">
        <v>62832</v>
      </c>
    </row>
    <row r="14" spans="1:14">
      <c r="A14" t="s">
        <v>195</v>
      </c>
      <c r="E14" s="140"/>
      <c r="F14" s="140"/>
      <c r="G14" s="140"/>
      <c r="H14" s="140"/>
      <c r="I14" s="140"/>
      <c r="J14" s="140"/>
      <c r="K14" s="140"/>
      <c r="L14" s="140">
        <v>27438</v>
      </c>
      <c r="M14" s="140">
        <v>41185</v>
      </c>
      <c r="N14" s="140">
        <v>57834</v>
      </c>
    </row>
    <row r="15" spans="1:14">
      <c r="A15" t="s">
        <v>196</v>
      </c>
      <c r="E15" s="141"/>
      <c r="F15" s="141"/>
      <c r="G15" s="141"/>
      <c r="H15" s="141"/>
      <c r="I15" s="141"/>
      <c r="J15" s="141"/>
      <c r="K15" s="141"/>
      <c r="L15" s="141">
        <v>7.48</v>
      </c>
      <c r="M15" s="141">
        <v>7.81</v>
      </c>
      <c r="N15" s="141">
        <v>8.66</v>
      </c>
    </row>
    <row r="16" spans="1:14">
      <c r="A16" t="s">
        <v>200</v>
      </c>
      <c r="E16" s="140"/>
      <c r="F16" s="140"/>
      <c r="G16" s="140"/>
      <c r="H16" s="140"/>
      <c r="I16" s="140">
        <v>287542</v>
      </c>
      <c r="J16" s="140">
        <v>712390</v>
      </c>
      <c r="K16" s="140">
        <v>1308061</v>
      </c>
      <c r="L16" s="140">
        <v>1953435</v>
      </c>
      <c r="M16" s="140">
        <v>3211095</v>
      </c>
      <c r="N16" s="140">
        <v>5089191</v>
      </c>
    </row>
    <row r="17" spans="1:14">
      <c r="A17" t="s">
        <v>138</v>
      </c>
      <c r="E17" s="140"/>
      <c r="F17" s="140"/>
      <c r="G17" s="140"/>
      <c r="I17" s="140"/>
      <c r="J17" s="20">
        <f>J16/I16-1</f>
        <v>1.4775163280494676</v>
      </c>
      <c r="K17" s="20">
        <f t="shared" ref="K17" si="2">K16/J16-1</f>
        <v>0.83615856483106166</v>
      </c>
      <c r="L17" s="20">
        <f t="shared" ref="L17" si="3">L16/K16-1</f>
        <v>0.4933821893627286</v>
      </c>
      <c r="M17" s="20">
        <f t="shared" ref="M17" si="4">M16/L16-1</f>
        <v>0.64381973293198902</v>
      </c>
      <c r="N17" s="20">
        <f t="shared" ref="N17" si="5">N16/M16-1</f>
        <v>0.58487712135579928</v>
      </c>
    </row>
    <row r="18" spans="1:14">
      <c r="A18" t="s">
        <v>139</v>
      </c>
      <c r="E18" s="140"/>
      <c r="F18" s="140"/>
      <c r="G18" s="140"/>
      <c r="I18" s="140"/>
      <c r="J18" s="140"/>
      <c r="K18" s="140"/>
      <c r="L18" s="20">
        <f>SUM(J16:L16)/SUM(I16:K16)-1</f>
        <v>0.72179291704957516</v>
      </c>
      <c r="M18" s="20">
        <f t="shared" ref="M18" si="6">SUM(K16:M16)/SUM(J16:L16)-1</f>
        <v>0.62878124838004923</v>
      </c>
      <c r="N18" s="20">
        <f t="shared" ref="N18" si="7">SUM(L16:N16)/SUM(K16:M16)-1</f>
        <v>0.58417564156301549</v>
      </c>
    </row>
    <row r="19" spans="1:14">
      <c r="M19" s="20">
        <f>M15/L15-1</f>
        <v>4.4117647058823373E-2</v>
      </c>
      <c r="N19" s="20">
        <f>N15/M15-1</f>
        <v>0.1088348271446864</v>
      </c>
    </row>
    <row r="20" spans="1:14">
      <c r="A20" s="10" t="s">
        <v>198</v>
      </c>
      <c r="B20" s="10"/>
      <c r="C20" s="10"/>
      <c r="D20" s="10"/>
    </row>
    <row r="21" spans="1:14">
      <c r="A21" t="s">
        <v>193</v>
      </c>
      <c r="E21" s="140"/>
      <c r="F21" s="140"/>
      <c r="G21" s="140"/>
      <c r="H21" s="140"/>
      <c r="I21" s="140"/>
      <c r="J21" s="140"/>
      <c r="K21" s="140"/>
      <c r="L21" s="140">
        <v>-863</v>
      </c>
      <c r="M21" s="140">
        <v>-790</v>
      </c>
      <c r="N21" s="140">
        <v>-731</v>
      </c>
    </row>
    <row r="22" spans="1:14">
      <c r="A22" t="s">
        <v>194</v>
      </c>
      <c r="E22" s="140"/>
      <c r="F22" s="140"/>
      <c r="G22" s="140"/>
      <c r="H22" s="140"/>
      <c r="I22" s="140">
        <v>8224</v>
      </c>
      <c r="J22" s="140">
        <v>6930</v>
      </c>
      <c r="K22" s="140">
        <v>5767</v>
      </c>
      <c r="L22" s="140">
        <v>4904</v>
      </c>
      <c r="M22" s="140">
        <v>4114</v>
      </c>
      <c r="N22" s="140">
        <v>3383</v>
      </c>
    </row>
    <row r="23" spans="1:14">
      <c r="A23" t="s">
        <v>195</v>
      </c>
      <c r="E23" s="140"/>
      <c r="F23" s="140"/>
      <c r="G23" s="140"/>
      <c r="H23" s="140"/>
      <c r="I23" s="140"/>
      <c r="J23" s="140"/>
      <c r="K23" s="140"/>
      <c r="L23" s="140">
        <v>4787</v>
      </c>
      <c r="M23" s="140">
        <v>4029</v>
      </c>
      <c r="N23" s="140">
        <v>3330</v>
      </c>
    </row>
    <row r="24" spans="1:14">
      <c r="A24" t="s">
        <v>196</v>
      </c>
      <c r="E24" s="141"/>
      <c r="F24" s="141"/>
      <c r="G24" s="141"/>
      <c r="H24" s="141"/>
      <c r="I24" s="141"/>
      <c r="J24" s="141"/>
      <c r="K24" s="141"/>
      <c r="L24" s="141">
        <v>10.3</v>
      </c>
      <c r="M24" s="141">
        <v>10.220000000000001</v>
      </c>
      <c r="N24" s="141">
        <v>10.17</v>
      </c>
    </row>
    <row r="25" spans="1:14">
      <c r="A25" t="s">
        <v>201</v>
      </c>
      <c r="E25" s="140"/>
      <c r="F25" s="140"/>
      <c r="G25" s="140"/>
      <c r="H25" s="140"/>
      <c r="I25" s="140">
        <v>1136872</v>
      </c>
      <c r="J25" s="140">
        <v>910797</v>
      </c>
      <c r="K25" s="140">
        <v>765161</v>
      </c>
      <c r="L25" s="140">
        <v>645737</v>
      </c>
      <c r="M25" s="140">
        <v>542267</v>
      </c>
      <c r="N25" s="140">
        <v>450497</v>
      </c>
    </row>
    <row r="26" spans="1:14">
      <c r="A26" t="s">
        <v>138</v>
      </c>
      <c r="E26" s="140"/>
      <c r="F26" s="140"/>
      <c r="G26" s="140"/>
      <c r="I26" s="140"/>
      <c r="J26" s="20">
        <f>J25/I25-1</f>
        <v>-0.19885703931489207</v>
      </c>
      <c r="K26" s="20">
        <f t="shared" ref="K26" si="8">K25/J25-1</f>
        <v>-0.15989951657723944</v>
      </c>
      <c r="L26" s="20">
        <f t="shared" ref="L26" si="9">L25/K25-1</f>
        <v>-0.15607695635297669</v>
      </c>
      <c r="M26" s="20">
        <f t="shared" ref="M26" si="10">M25/L25-1</f>
        <v>-0.16023551383922552</v>
      </c>
      <c r="N26" s="20">
        <f t="shared" ref="N26" si="11">N25/M25-1</f>
        <v>-0.16923397514508531</v>
      </c>
    </row>
    <row r="27" spans="1:14">
      <c r="A27" t="s">
        <v>139</v>
      </c>
      <c r="E27" s="140"/>
      <c r="F27" s="140"/>
      <c r="G27" s="140"/>
      <c r="I27" s="140"/>
      <c r="J27" s="140"/>
      <c r="K27" s="140"/>
      <c r="L27" s="20">
        <f>SUM(J25:L25)/SUM(I25:K25)-1</f>
        <v>-0.1746052907569956</v>
      </c>
      <c r="M27" s="20">
        <f t="shared" ref="M27" si="12">SUM(K25:M25)/SUM(J25:L25)-1</f>
        <v>-0.1587331669319183</v>
      </c>
      <c r="N27" s="20">
        <f t="shared" ref="N27" si="13">SUM(L25:N25)/SUM(K25:M25)-1</f>
        <v>-0.16110466857638761</v>
      </c>
    </row>
    <row r="28" spans="1:14">
      <c r="M28" s="20">
        <f>M24/L24-1</f>
        <v>-7.7669902912621547E-3</v>
      </c>
      <c r="N28" s="20">
        <f>N24/M24-1</f>
        <v>-4.8923679060666192E-3</v>
      </c>
    </row>
    <row r="29" spans="1:14">
      <c r="A29" s="10" t="s">
        <v>209</v>
      </c>
      <c r="B29" s="10"/>
      <c r="C29" s="10"/>
      <c r="D29" s="10"/>
    </row>
    <row r="30" spans="1:14">
      <c r="A30" t="s">
        <v>210</v>
      </c>
      <c r="B30" s="140">
        <v>4170</v>
      </c>
      <c r="C30" s="140">
        <v>6316</v>
      </c>
      <c r="D30" s="140">
        <v>7479</v>
      </c>
      <c r="E30" s="140">
        <v>9390</v>
      </c>
      <c r="F30" s="140">
        <v>12268</v>
      </c>
      <c r="G30" s="140">
        <v>19501</v>
      </c>
      <c r="H30" s="140">
        <v>24395</v>
      </c>
    </row>
    <row r="31" spans="1:14">
      <c r="A31" t="s">
        <v>212</v>
      </c>
      <c r="B31" s="141">
        <v>38.78</v>
      </c>
      <c r="C31" s="141">
        <v>42.49</v>
      </c>
      <c r="D31" s="141">
        <v>40.86</v>
      </c>
      <c r="E31" s="141">
        <v>29.12</v>
      </c>
      <c r="F31" s="141">
        <v>25.48</v>
      </c>
      <c r="G31" s="140"/>
      <c r="H31" s="140"/>
    </row>
    <row r="32" spans="1:14">
      <c r="A32" t="s">
        <v>37</v>
      </c>
      <c r="B32" s="140">
        <v>682213</v>
      </c>
      <c r="C32" s="140">
        <v>996660</v>
      </c>
      <c r="D32" s="140">
        <v>1205340</v>
      </c>
      <c r="E32" s="140">
        <v>1364661</v>
      </c>
      <c r="F32" s="140">
        <v>1670269</v>
      </c>
      <c r="G32" s="140">
        <v>2159008</v>
      </c>
      <c r="H32" s="140">
        <v>3121727</v>
      </c>
    </row>
    <row r="33" spans="1:14">
      <c r="A33" t="s">
        <v>138</v>
      </c>
      <c r="C33" s="20">
        <f t="shared" ref="C33" si="14">C32/B32-1</f>
        <v>0.46092202875055155</v>
      </c>
      <c r="D33" s="20">
        <f t="shared" ref="D33" si="15">D32/C32-1</f>
        <v>0.20937932695201966</v>
      </c>
      <c r="E33" s="20">
        <f t="shared" ref="E33" si="16">E32/D32-1</f>
        <v>0.13217930210562989</v>
      </c>
      <c r="F33" s="20">
        <f t="shared" ref="F33" si="17">F32/E32-1</f>
        <v>0.22394426161515568</v>
      </c>
      <c r="G33" s="20">
        <f t="shared" ref="G33" si="18">G32/F32-1</f>
        <v>0.29261095069117604</v>
      </c>
      <c r="H33" s="20">
        <f t="shared" ref="H33" si="19">H32/G32-1</f>
        <v>0.44590802813143804</v>
      </c>
      <c r="I33" s="20"/>
      <c r="J33" s="20"/>
      <c r="K33" s="20"/>
      <c r="L33" s="20"/>
      <c r="M33" s="20"/>
      <c r="N33" s="20"/>
    </row>
    <row r="34" spans="1:14">
      <c r="A34" t="s">
        <v>139</v>
      </c>
      <c r="E34" s="20">
        <f t="shared" ref="E34:H34" si="20">SUM(C32:E32)/SUM(B32:D32)-1</f>
        <v>0.23661497954554678</v>
      </c>
      <c r="F34" s="20">
        <f t="shared" si="20"/>
        <v>0.18886263651073087</v>
      </c>
      <c r="G34" s="20">
        <f t="shared" si="20"/>
        <v>0.22490737618123369</v>
      </c>
      <c r="H34" s="20">
        <f t="shared" si="20"/>
        <v>0.33829167772122037</v>
      </c>
      <c r="I34" s="20"/>
      <c r="J34" s="20"/>
      <c r="K34" s="20"/>
      <c r="L34" s="20"/>
      <c r="M34" s="20"/>
      <c r="N34" s="20"/>
    </row>
    <row r="36" spans="1:14">
      <c r="A36" s="10" t="s">
        <v>211</v>
      </c>
      <c r="B36" s="10"/>
      <c r="C36" s="10"/>
      <c r="D36" s="10"/>
    </row>
    <row r="37" spans="1:14">
      <c r="A37" t="s">
        <v>210</v>
      </c>
      <c r="G37" s="140">
        <v>509</v>
      </c>
      <c r="H37" s="140">
        <v>1858</v>
      </c>
    </row>
    <row r="38" spans="1:14">
      <c r="A38" t="s">
        <v>37</v>
      </c>
      <c r="D38" s="140"/>
      <c r="E38" s="140"/>
      <c r="F38" s="140"/>
      <c r="G38" s="140">
        <v>3617</v>
      </c>
      <c r="H38" s="140">
        <v>82850</v>
      </c>
    </row>
    <row r="40" spans="1:14">
      <c r="A40" t="s">
        <v>213</v>
      </c>
      <c r="B40" s="140">
        <f t="shared" ref="B40:N40" si="21">B37+B30+B22+B13+B4</f>
        <v>4170</v>
      </c>
      <c r="C40" s="140">
        <f t="shared" si="21"/>
        <v>6316</v>
      </c>
      <c r="D40" s="140">
        <f t="shared" si="21"/>
        <v>7479</v>
      </c>
      <c r="E40" s="140">
        <f t="shared" si="21"/>
        <v>9390</v>
      </c>
      <c r="F40" s="140">
        <f t="shared" si="21"/>
        <v>12268</v>
      </c>
      <c r="G40" s="140">
        <f t="shared" si="21"/>
        <v>20010</v>
      </c>
      <c r="H40" s="140">
        <f t="shared" si="21"/>
        <v>26253</v>
      </c>
      <c r="I40" s="140">
        <f t="shared" si="21"/>
        <v>41491</v>
      </c>
      <c r="J40" s="140">
        <f t="shared" si="21"/>
        <v>51280</v>
      </c>
      <c r="K40" s="140">
        <f t="shared" si="21"/>
        <v>63158</v>
      </c>
      <c r="L40" s="140">
        <f t="shared" si="21"/>
        <v>79666</v>
      </c>
      <c r="M40" s="140">
        <f t="shared" si="21"/>
        <v>97910</v>
      </c>
      <c r="N40" s="140">
        <f t="shared" si="21"/>
        <v>120965</v>
      </c>
    </row>
    <row r="41" spans="1:14">
      <c r="C41" s="20">
        <f t="shared" ref="C41" si="22">C40/B40-1</f>
        <v>0.51462829736211035</v>
      </c>
      <c r="D41" s="20">
        <f t="shared" ref="D41" si="23">D40/C40-1</f>
        <v>0.18413552881570605</v>
      </c>
      <c r="E41" s="20">
        <f t="shared" ref="E41" si="24">E40/D40-1</f>
        <v>0.25551544324107511</v>
      </c>
      <c r="F41" s="20">
        <f t="shared" ref="F41" si="25">F40/E40-1</f>
        <v>0.30649627263045787</v>
      </c>
      <c r="G41" s="20">
        <f t="shared" ref="G41" si="26">G40/F40-1</f>
        <v>0.63107270948809902</v>
      </c>
      <c r="H41" s="20">
        <f t="shared" ref="H41" si="27">H40/G40-1</f>
        <v>0.31199400299850066</v>
      </c>
      <c r="I41" s="20">
        <f t="shared" ref="I41" si="28">I40/H40-1</f>
        <v>0.58042890336342512</v>
      </c>
      <c r="J41" s="20">
        <f t="shared" ref="J41" si="29">J40/I40-1</f>
        <v>0.23593068376274373</v>
      </c>
      <c r="K41" s="20">
        <f t="shared" ref="K41" si="30">K40/J40-1</f>
        <v>0.23163026521060837</v>
      </c>
      <c r="L41" s="20">
        <f t="shared" ref="L41" si="31">L40/K40-1</f>
        <v>0.26137623103961483</v>
      </c>
      <c r="M41" s="20">
        <f t="shared" ref="M41" si="32">M40/L40-1</f>
        <v>0.22900610046945991</v>
      </c>
      <c r="N41" s="20">
        <f t="shared" ref="N41" si="33">N40/M40-1</f>
        <v>0.23547135124093566</v>
      </c>
    </row>
    <row r="42" spans="1:14">
      <c r="E42" s="20">
        <f t="shared" ref="E42" si="34">SUM(C40:E40)/SUM(B40:D40)-1</f>
        <v>0.29056498747564707</v>
      </c>
      <c r="F42" s="20">
        <f t="shared" ref="F42" si="35">SUM(D40:F40)/SUM(C40:E40)-1</f>
        <v>0.25671770541298256</v>
      </c>
      <c r="G42" s="20">
        <f t="shared" ref="G42" si="36">SUM(E40:G40)/SUM(D40:F40)-1</f>
        <v>0.43007173010261868</v>
      </c>
      <c r="H42" s="20">
        <f t="shared" ref="H42" si="37">SUM(F40:H40)/SUM(E40:G40)-1</f>
        <v>0.40469904963041192</v>
      </c>
      <c r="I42" s="20">
        <f t="shared" ref="I42" si="38">SUM(G40:I40)/SUM(F40:H40)-1</f>
        <v>0.49927388905024683</v>
      </c>
      <c r="J42" s="20">
        <f t="shared" ref="J42" si="39">SUM(H40:J40)/SUM(G40:I40)-1</f>
        <v>0.35633703306971753</v>
      </c>
      <c r="K42" s="20">
        <f t="shared" ref="K42" si="40">SUM(I40:K40)/SUM(H40:J40)-1</f>
        <v>0.31006351660169384</v>
      </c>
      <c r="L42" s="20">
        <f t="shared" ref="L42" si="41">SUM(J40:L40)/SUM(I40:K40)-1</f>
        <v>0.24482296429785344</v>
      </c>
      <c r="M42" s="20">
        <f t="shared" ref="M42" si="42">SUM(K40:M40)/SUM(J40:L40)-1</f>
        <v>0.24023204055557845</v>
      </c>
      <c r="N42" s="20">
        <f t="shared" ref="N42" si="43">SUM(L40:N40)/SUM(K40:M40)-1</f>
        <v>0.24012810820241426</v>
      </c>
    </row>
    <row r="47" spans="1:14">
      <c r="A47" s="10" t="s">
        <v>224</v>
      </c>
    </row>
    <row r="48" spans="1:14">
      <c r="A48" s="10" t="s">
        <v>225</v>
      </c>
      <c r="B48">
        <v>2015</v>
      </c>
      <c r="C48">
        <v>2016</v>
      </c>
      <c r="D48">
        <v>2017</v>
      </c>
    </row>
    <row r="49" spans="1:4">
      <c r="A49" t="s">
        <v>227</v>
      </c>
      <c r="B49" s="140">
        <v>23264</v>
      </c>
      <c r="C49" s="140">
        <v>23689</v>
      </c>
      <c r="D49" s="140">
        <v>23510</v>
      </c>
    </row>
    <row r="50" spans="1:4">
      <c r="A50" t="s">
        <v>228</v>
      </c>
      <c r="B50" s="140">
        <v>7366</v>
      </c>
      <c r="C50" s="140">
        <v>9441</v>
      </c>
      <c r="D50" s="140">
        <v>8379</v>
      </c>
    </row>
    <row r="52" spans="1:4">
      <c r="A52" s="10" t="s">
        <v>226</v>
      </c>
    </row>
    <row r="53" spans="1:4">
      <c r="A53" t="s">
        <v>227</v>
      </c>
      <c r="B53" s="140">
        <v>7793</v>
      </c>
      <c r="C53" s="140">
        <v>7755</v>
      </c>
      <c r="D53" s="140">
        <v>6902</v>
      </c>
    </row>
    <row r="54" spans="1:4">
      <c r="A54" t="s">
        <v>228</v>
      </c>
      <c r="B54" s="140">
        <v>1973</v>
      </c>
      <c r="C54" s="140">
        <v>2703</v>
      </c>
      <c r="D54" s="140">
        <v>2355</v>
      </c>
    </row>
    <row r="56" spans="1:4">
      <c r="A56" t="s">
        <v>229</v>
      </c>
    </row>
    <row r="57" spans="1:4">
      <c r="A57" t="s">
        <v>227</v>
      </c>
      <c r="B57" s="20">
        <f>B53/B49</f>
        <v>0.33498108665749654</v>
      </c>
      <c r="C57" s="20">
        <f t="shared" ref="C57:D58" si="44">C53/C49</f>
        <v>0.32736713242433196</v>
      </c>
      <c r="D57" s="20">
        <f t="shared" si="44"/>
        <v>0.29357720119098257</v>
      </c>
    </row>
    <row r="58" spans="1:4">
      <c r="A58" t="s">
        <v>228</v>
      </c>
      <c r="B58" s="20">
        <f>B54/B50</f>
        <v>0.2678522943252783</v>
      </c>
      <c r="C58" s="20">
        <f t="shared" si="44"/>
        <v>0.28630441690498887</v>
      </c>
      <c r="D58" s="20">
        <f t="shared" si="44"/>
        <v>0.28105979233798783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5786-373A-42DA-9F5F-F4C4D3AA6547}">
  <dimension ref="A1:Y28"/>
  <sheetViews>
    <sheetView workbookViewId="0">
      <pane xSplit="1" ySplit="1" topLeftCell="E2" activePane="bottomRight" state="frozen"/>
      <selection pane="topRight" activeCell="B1" sqref="B1"/>
      <selection pane="bottomLeft" activeCell="A2" sqref="A2"/>
      <selection pane="bottomRight" activeCell="U30" sqref="U30"/>
    </sheetView>
  </sheetViews>
  <sheetFormatPr defaultRowHeight="15"/>
  <cols>
    <col min="1" max="1" width="23" bestFit="1" customWidth="1"/>
    <col min="2" max="12" width="10.7109375" customWidth="1"/>
    <col min="14" max="14" width="23" bestFit="1" customWidth="1"/>
    <col min="15" max="25" width="10.7109375" customWidth="1"/>
  </cols>
  <sheetData>
    <row r="1" spans="1:25">
      <c r="B1">
        <v>2012</v>
      </c>
      <c r="C1">
        <v>2013</v>
      </c>
      <c r="D1">
        <v>2014</v>
      </c>
      <c r="E1">
        <v>2015</v>
      </c>
      <c r="F1">
        <v>2016</v>
      </c>
      <c r="G1">
        <v>2017</v>
      </c>
      <c r="O1">
        <v>2012</v>
      </c>
      <c r="P1">
        <v>2013</v>
      </c>
      <c r="Q1">
        <v>2014</v>
      </c>
      <c r="R1">
        <v>2015</v>
      </c>
      <c r="S1">
        <v>2016</v>
      </c>
      <c r="T1">
        <v>2017</v>
      </c>
    </row>
    <row r="2" spans="1:25">
      <c r="A2" s="150" t="s">
        <v>239</v>
      </c>
      <c r="B2" s="150"/>
      <c r="C2" s="150"/>
      <c r="D2" s="150"/>
      <c r="E2" s="150"/>
      <c r="F2" s="150"/>
      <c r="G2" s="150"/>
      <c r="H2" s="150"/>
      <c r="I2" s="150"/>
      <c r="J2" s="150"/>
      <c r="K2" s="150"/>
      <c r="L2" s="150"/>
      <c r="N2" s="151" t="s">
        <v>240</v>
      </c>
      <c r="O2" s="151"/>
      <c r="P2" s="151"/>
      <c r="Q2" s="151"/>
      <c r="R2" s="151"/>
      <c r="S2" s="151"/>
      <c r="T2" s="151"/>
      <c r="U2" s="151"/>
      <c r="V2" s="151"/>
      <c r="W2" s="151"/>
      <c r="X2" s="151"/>
      <c r="Y2" s="151"/>
    </row>
    <row r="3" spans="1:25">
      <c r="A3" t="s">
        <v>191</v>
      </c>
      <c r="B3" s="140">
        <f>'Segment &amp; Sub Data'!I4</f>
        <v>27146</v>
      </c>
      <c r="C3" s="140">
        <f>'Segment &amp; Sub Data'!J4</f>
        <v>33420</v>
      </c>
      <c r="D3" s="140">
        <f>'Segment &amp; Sub Data'!K4</f>
        <v>39114</v>
      </c>
      <c r="E3" s="140">
        <f>'Segment &amp; Sub Data'!L4</f>
        <v>44738</v>
      </c>
      <c r="F3" s="140">
        <f>'Segment &amp; Sub Data'!M4</f>
        <v>49431</v>
      </c>
      <c r="G3" s="140">
        <f>'Segment &amp; Sub Data'!N4</f>
        <v>54750</v>
      </c>
      <c r="H3" s="140">
        <f>G3*(1+H4)</f>
        <v>60225.000000000007</v>
      </c>
      <c r="I3" s="140">
        <f t="shared" ref="I3:L3" si="0">H3*(1+I4)</f>
        <v>66247.500000000015</v>
      </c>
      <c r="J3" s="140">
        <f t="shared" si="0"/>
        <v>72872.250000000029</v>
      </c>
      <c r="K3" s="140">
        <f t="shared" si="0"/>
        <v>80159.475000000035</v>
      </c>
      <c r="L3" s="140">
        <f t="shared" si="0"/>
        <v>88175.422500000044</v>
      </c>
      <c r="N3" t="s">
        <v>191</v>
      </c>
      <c r="O3" s="140">
        <f t="shared" ref="O3:T3" si="1">B3</f>
        <v>27146</v>
      </c>
      <c r="P3" s="140">
        <f t="shared" si="1"/>
        <v>33420</v>
      </c>
      <c r="Q3" s="140">
        <f t="shared" si="1"/>
        <v>39114</v>
      </c>
      <c r="R3" s="140">
        <f t="shared" si="1"/>
        <v>44738</v>
      </c>
      <c r="S3" s="140">
        <f t="shared" si="1"/>
        <v>49431</v>
      </c>
      <c r="T3" s="140">
        <f t="shared" si="1"/>
        <v>54750</v>
      </c>
      <c r="U3" s="140">
        <f>T3*(1+U4)</f>
        <v>60225.000000000007</v>
      </c>
      <c r="V3" s="140">
        <f t="shared" ref="V3" si="2">U3*(1+V4)</f>
        <v>63236.250000000007</v>
      </c>
      <c r="W3" s="140">
        <f t="shared" ref="W3" si="3">V3*(1+W4)</f>
        <v>66398.062500000015</v>
      </c>
      <c r="X3" s="140">
        <f t="shared" ref="X3" si="4">W3*(1+X4)</f>
        <v>69717.965625000012</v>
      </c>
      <c r="Y3" s="140">
        <f t="shared" ref="Y3" si="5">X3*(1+Y4)</f>
        <v>73203.863906250015</v>
      </c>
    </row>
    <row r="4" spans="1:25">
      <c r="A4" s="112" t="s">
        <v>138</v>
      </c>
      <c r="C4" s="20">
        <f>C3/B3-1</f>
        <v>0.2311206070876004</v>
      </c>
      <c r="D4" s="20">
        <f t="shared" ref="D4" si="6">D3/C3-1</f>
        <v>0.1703770197486536</v>
      </c>
      <c r="E4" s="20">
        <f t="shared" ref="E4" si="7">E3/D3-1</f>
        <v>0.14378483407475584</v>
      </c>
      <c r="F4" s="20">
        <f t="shared" ref="F4" si="8">F3/E3-1</f>
        <v>0.10489963789172507</v>
      </c>
      <c r="G4" s="20">
        <f t="shared" ref="G4" si="9">G3/F3-1</f>
        <v>0.10760453966134609</v>
      </c>
      <c r="H4" s="153">
        <v>0.1</v>
      </c>
      <c r="I4" s="153">
        <v>0.1</v>
      </c>
      <c r="J4" s="153">
        <v>0.1</v>
      </c>
      <c r="K4" s="153">
        <v>0.1</v>
      </c>
      <c r="L4" s="153">
        <v>0.1</v>
      </c>
      <c r="N4" s="112" t="s">
        <v>138</v>
      </c>
      <c r="P4" s="20">
        <f>P3/O3-1</f>
        <v>0.2311206070876004</v>
      </c>
      <c r="Q4" s="20">
        <f t="shared" ref="Q4" si="10">Q3/P3-1</f>
        <v>0.1703770197486536</v>
      </c>
      <c r="R4" s="20">
        <f t="shared" ref="R4" si="11">R3/Q3-1</f>
        <v>0.14378483407475584</v>
      </c>
      <c r="S4" s="20">
        <f t="shared" ref="S4" si="12">S3/R3-1</f>
        <v>0.10489963789172507</v>
      </c>
      <c r="T4" s="20">
        <f t="shared" ref="T4" si="13">T3/S3-1</f>
        <v>0.10760453966134609</v>
      </c>
      <c r="U4" s="153">
        <v>0.1</v>
      </c>
      <c r="V4" s="153">
        <v>0.05</v>
      </c>
      <c r="W4" s="153">
        <v>0.05</v>
      </c>
      <c r="X4" s="153">
        <v>0.05</v>
      </c>
      <c r="Y4" s="153">
        <v>0.05</v>
      </c>
    </row>
    <row r="5" spans="1:25">
      <c r="A5" t="s">
        <v>221</v>
      </c>
      <c r="B5" s="140">
        <f>'Segment &amp; Sub Data'!I13</f>
        <v>6121</v>
      </c>
      <c r="C5" s="140">
        <f>'Segment &amp; Sub Data'!J13</f>
        <v>10930</v>
      </c>
      <c r="D5" s="140">
        <f>'Segment &amp; Sub Data'!K13</f>
        <v>18277</v>
      </c>
      <c r="E5" s="140">
        <f>'Segment &amp; Sub Data'!L13</f>
        <v>30024</v>
      </c>
      <c r="F5" s="140">
        <f>'Segment &amp; Sub Data'!M13</f>
        <v>44365</v>
      </c>
      <c r="G5" s="140">
        <f>'Segment &amp; Sub Data'!N13</f>
        <v>62832</v>
      </c>
      <c r="H5" s="140">
        <f>G5*(1+H6)</f>
        <v>87964.799999999988</v>
      </c>
      <c r="I5" s="140">
        <f t="shared" ref="I5:L5" si="14">H5*(1+I6)</f>
        <v>123150.71999999997</v>
      </c>
      <c r="J5" s="140">
        <f t="shared" si="14"/>
        <v>166253.47199999998</v>
      </c>
      <c r="K5" s="140">
        <f t="shared" si="14"/>
        <v>224442.18719999999</v>
      </c>
      <c r="L5" s="140">
        <f t="shared" si="14"/>
        <v>291774.84336</v>
      </c>
      <c r="N5" t="s">
        <v>221</v>
      </c>
      <c r="O5" s="140">
        <f t="shared" ref="O5:T5" si="15">B5</f>
        <v>6121</v>
      </c>
      <c r="P5" s="140">
        <f t="shared" si="15"/>
        <v>10930</v>
      </c>
      <c r="Q5" s="140">
        <f t="shared" si="15"/>
        <v>18277</v>
      </c>
      <c r="R5" s="140">
        <f t="shared" si="15"/>
        <v>30024</v>
      </c>
      <c r="S5" s="140">
        <f t="shared" si="15"/>
        <v>44365</v>
      </c>
      <c r="T5" s="140">
        <f t="shared" si="15"/>
        <v>62832</v>
      </c>
      <c r="U5" s="140">
        <f>T5*(1+U6)</f>
        <v>87964.799999999988</v>
      </c>
      <c r="V5" s="140">
        <f t="shared" ref="V5" si="16">U5*(1+V6)</f>
        <v>114354.23999999999</v>
      </c>
      <c r="W5" s="140">
        <f t="shared" ref="W5" si="17">V5*(1+W6)</f>
        <v>142942.79999999999</v>
      </c>
      <c r="X5" s="140">
        <f t="shared" ref="X5" si="18">W5*(1+X6)</f>
        <v>167243.07599999997</v>
      </c>
      <c r="Y5" s="140">
        <f t="shared" ref="Y5" si="19">X5*(1+Y6)</f>
        <v>192329.53739999994</v>
      </c>
    </row>
    <row r="6" spans="1:25">
      <c r="A6" s="112" t="s">
        <v>138</v>
      </c>
      <c r="C6" s="20">
        <f>C5/B5-1</f>
        <v>0.78565593857212868</v>
      </c>
      <c r="D6" s="20">
        <f t="shared" ref="D6" si="20">D5/C5-1</f>
        <v>0.67218664226898439</v>
      </c>
      <c r="E6" s="20">
        <f t="shared" ref="E6" si="21">E5/D5-1</f>
        <v>0.6427203589210484</v>
      </c>
      <c r="F6" s="20">
        <f t="shared" ref="F6" si="22">F5/E5-1</f>
        <v>0.47765121236344266</v>
      </c>
      <c r="G6" s="20">
        <f t="shared" ref="G6" si="23">G5/F5-1</f>
        <v>0.41625154964499034</v>
      </c>
      <c r="H6" s="153">
        <v>0.4</v>
      </c>
      <c r="I6" s="153">
        <v>0.4</v>
      </c>
      <c r="J6" s="153">
        <v>0.35</v>
      </c>
      <c r="K6" s="153">
        <v>0.35</v>
      </c>
      <c r="L6" s="153">
        <v>0.3</v>
      </c>
      <c r="N6" s="112" t="s">
        <v>138</v>
      </c>
      <c r="P6" s="20">
        <f>P5/O5-1</f>
        <v>0.78565593857212868</v>
      </c>
      <c r="Q6" s="20">
        <f t="shared" ref="Q6" si="24">Q5/P5-1</f>
        <v>0.67218664226898439</v>
      </c>
      <c r="R6" s="20">
        <f t="shared" ref="R6" si="25">R5/Q5-1</f>
        <v>0.6427203589210484</v>
      </c>
      <c r="S6" s="20">
        <f t="shared" ref="S6" si="26">S5/R5-1</f>
        <v>0.47765121236344266</v>
      </c>
      <c r="T6" s="20">
        <f t="shared" ref="T6" si="27">T5/S5-1</f>
        <v>0.41625154964499034</v>
      </c>
      <c r="U6" s="153">
        <v>0.4</v>
      </c>
      <c r="V6" s="153">
        <v>0.3</v>
      </c>
      <c r="W6" s="153">
        <v>0.25</v>
      </c>
      <c r="X6" s="153">
        <v>0.17</v>
      </c>
      <c r="Y6" s="153">
        <v>0.15</v>
      </c>
    </row>
    <row r="7" spans="1:25">
      <c r="A7" t="s">
        <v>198</v>
      </c>
      <c r="B7" s="140">
        <f>'Segment &amp; Sub Data'!I22</f>
        <v>8224</v>
      </c>
      <c r="C7" s="140">
        <f>'Segment &amp; Sub Data'!J22</f>
        <v>6930</v>
      </c>
      <c r="D7" s="140">
        <f>'Segment &amp; Sub Data'!K22</f>
        <v>5767</v>
      </c>
      <c r="E7" s="140">
        <f>'Segment &amp; Sub Data'!L22</f>
        <v>4904</v>
      </c>
      <c r="F7" s="140">
        <f>'Segment &amp; Sub Data'!M22</f>
        <v>4114</v>
      </c>
      <c r="G7" s="140">
        <f>'Segment &amp; Sub Data'!N22</f>
        <v>3383</v>
      </c>
      <c r="H7" s="140">
        <f>G7*(1+H8)</f>
        <v>2706.4</v>
      </c>
      <c r="I7" s="140">
        <f t="shared" ref="I7:L7" si="28">H7*(1+I8)</f>
        <v>2165.1200000000003</v>
      </c>
      <c r="J7" s="140">
        <f t="shared" si="28"/>
        <v>1732.0960000000005</v>
      </c>
      <c r="K7" s="140">
        <f t="shared" si="28"/>
        <v>1385.6768000000004</v>
      </c>
      <c r="L7" s="140">
        <f t="shared" si="28"/>
        <v>1108.5414400000004</v>
      </c>
      <c r="N7" t="s">
        <v>198</v>
      </c>
      <c r="O7" s="140">
        <f t="shared" ref="O7:T7" si="29">B7</f>
        <v>8224</v>
      </c>
      <c r="P7" s="140">
        <f t="shared" si="29"/>
        <v>6930</v>
      </c>
      <c r="Q7" s="140">
        <f t="shared" si="29"/>
        <v>5767</v>
      </c>
      <c r="R7" s="140">
        <f t="shared" si="29"/>
        <v>4904</v>
      </c>
      <c r="S7" s="140">
        <f t="shared" si="29"/>
        <v>4114</v>
      </c>
      <c r="T7" s="140">
        <f t="shared" si="29"/>
        <v>3383</v>
      </c>
      <c r="U7" s="140">
        <f>T7*(1+U8)</f>
        <v>2706.4</v>
      </c>
      <c r="V7" s="140">
        <f t="shared" ref="V7" si="30">U7*(1+V8)</f>
        <v>2165.1200000000003</v>
      </c>
      <c r="W7" s="140">
        <f t="shared" ref="W7" si="31">V7*(1+W8)</f>
        <v>1732.0960000000005</v>
      </c>
      <c r="X7" s="140">
        <f t="shared" ref="X7" si="32">W7*(1+X8)</f>
        <v>1385.6768000000004</v>
      </c>
      <c r="Y7" s="140">
        <f t="shared" ref="Y7" si="33">X7*(1+Y8)</f>
        <v>1108.5414400000004</v>
      </c>
    </row>
    <row r="8" spans="1:25">
      <c r="A8" s="112" t="s">
        <v>138</v>
      </c>
      <c r="C8" s="20">
        <f>C7/B7-1</f>
        <v>-0.15734435797665369</v>
      </c>
      <c r="D8" s="20">
        <f t="shared" ref="D8" si="34">D7/C7-1</f>
        <v>-0.16782106782106787</v>
      </c>
      <c r="E8" s="20">
        <f t="shared" ref="E8" si="35">E7/D7-1</f>
        <v>-0.14964452921796423</v>
      </c>
      <c r="F8" s="20">
        <f t="shared" ref="F8" si="36">F7/E7-1</f>
        <v>-0.16109298531810767</v>
      </c>
      <c r="G8" s="20">
        <f t="shared" ref="G8" si="37">G7/F7-1</f>
        <v>-0.1776859504132231</v>
      </c>
      <c r="H8" s="153">
        <v>-0.2</v>
      </c>
      <c r="I8" s="153">
        <f>H8</f>
        <v>-0.2</v>
      </c>
      <c r="J8" s="153">
        <f t="shared" ref="J8:L8" si="38">I8</f>
        <v>-0.2</v>
      </c>
      <c r="K8" s="153">
        <f t="shared" si="38"/>
        <v>-0.2</v>
      </c>
      <c r="L8" s="153">
        <f t="shared" si="38"/>
        <v>-0.2</v>
      </c>
      <c r="N8" s="112" t="s">
        <v>138</v>
      </c>
      <c r="P8" s="20">
        <f>P7/O7-1</f>
        <v>-0.15734435797665369</v>
      </c>
      <c r="Q8" s="20">
        <f t="shared" ref="Q8" si="39">Q7/P7-1</f>
        <v>-0.16782106782106787</v>
      </c>
      <c r="R8" s="20">
        <f t="shared" ref="R8" si="40">R7/Q7-1</f>
        <v>-0.14964452921796423</v>
      </c>
      <c r="S8" s="20">
        <f t="shared" ref="S8" si="41">S7/R7-1</f>
        <v>-0.16109298531810767</v>
      </c>
      <c r="T8" s="20">
        <f t="shared" ref="T8" si="42">T7/S7-1</f>
        <v>-0.1776859504132231</v>
      </c>
      <c r="U8" s="153">
        <v>-0.2</v>
      </c>
      <c r="V8" s="153">
        <f>U8</f>
        <v>-0.2</v>
      </c>
      <c r="W8" s="153">
        <f t="shared" ref="W8:Y8" si="43">V8</f>
        <v>-0.2</v>
      </c>
      <c r="X8" s="153">
        <f t="shared" si="43"/>
        <v>-0.2</v>
      </c>
      <c r="Y8" s="153">
        <f t="shared" si="43"/>
        <v>-0.2</v>
      </c>
    </row>
    <row r="9" spans="1:25">
      <c r="A9" s="1" t="s">
        <v>8</v>
      </c>
      <c r="B9" s="152">
        <f>B3+B5+B7</f>
        <v>41491</v>
      </c>
      <c r="C9" s="152">
        <f t="shared" ref="C9:L9" si="44">C3+C5+C7</f>
        <v>51280</v>
      </c>
      <c r="D9" s="152">
        <f t="shared" si="44"/>
        <v>63158</v>
      </c>
      <c r="E9" s="152">
        <f t="shared" si="44"/>
        <v>79666</v>
      </c>
      <c r="F9" s="152">
        <f t="shared" si="44"/>
        <v>97910</v>
      </c>
      <c r="G9" s="152">
        <f t="shared" si="44"/>
        <v>120965</v>
      </c>
      <c r="H9" s="152">
        <f t="shared" si="44"/>
        <v>150896.19999999998</v>
      </c>
      <c r="I9" s="152">
        <f t="shared" si="44"/>
        <v>191563.33999999997</v>
      </c>
      <c r="J9" s="152">
        <f t="shared" si="44"/>
        <v>240857.818</v>
      </c>
      <c r="K9" s="152">
        <f t="shared" si="44"/>
        <v>305987.33900000004</v>
      </c>
      <c r="L9" s="152">
        <f t="shared" si="44"/>
        <v>381058.80730000004</v>
      </c>
      <c r="N9" s="1" t="s">
        <v>8</v>
      </c>
      <c r="O9" s="152">
        <f>O3+O5+O7</f>
        <v>41491</v>
      </c>
      <c r="P9" s="152">
        <f t="shared" ref="P9:Y9" si="45">P3+P5+P7</f>
        <v>51280</v>
      </c>
      <c r="Q9" s="152">
        <f t="shared" si="45"/>
        <v>63158</v>
      </c>
      <c r="R9" s="152">
        <f t="shared" si="45"/>
        <v>79666</v>
      </c>
      <c r="S9" s="152">
        <f t="shared" si="45"/>
        <v>97910</v>
      </c>
      <c r="T9" s="152">
        <f t="shared" si="45"/>
        <v>120965</v>
      </c>
      <c r="U9" s="152">
        <f t="shared" si="45"/>
        <v>150896.19999999998</v>
      </c>
      <c r="V9" s="152">
        <f t="shared" si="45"/>
        <v>179755.61</v>
      </c>
      <c r="W9" s="152">
        <f t="shared" si="45"/>
        <v>211072.95849999998</v>
      </c>
      <c r="X9" s="152">
        <f t="shared" si="45"/>
        <v>238346.71842499997</v>
      </c>
      <c r="Y9" s="152">
        <f t="shared" si="45"/>
        <v>266641.94274624996</v>
      </c>
    </row>
    <row r="11" spans="1:25">
      <c r="A11" s="150" t="s">
        <v>237</v>
      </c>
      <c r="B11" s="150"/>
      <c r="C11" s="150"/>
      <c r="D11" s="150"/>
      <c r="E11" s="150"/>
      <c r="F11" s="150"/>
      <c r="G11" s="150"/>
      <c r="H11" s="150"/>
      <c r="I11" s="150"/>
      <c r="J11" s="150"/>
      <c r="K11" s="150"/>
      <c r="L11" s="150"/>
      <c r="N11" s="151" t="s">
        <v>238</v>
      </c>
      <c r="O11" s="151"/>
      <c r="P11" s="151"/>
      <c r="Q11" s="151"/>
      <c r="R11" s="151"/>
      <c r="S11" s="151"/>
      <c r="T11" s="151"/>
      <c r="U11" s="151"/>
      <c r="V11" s="151"/>
      <c r="W11" s="151"/>
      <c r="X11" s="151"/>
      <c r="Y11" s="151"/>
    </row>
    <row r="12" spans="1:25">
      <c r="A12" t="s">
        <v>191</v>
      </c>
      <c r="B12" s="141">
        <f t="shared" ref="B12:G12" si="46">B21/B3</f>
        <v>80.485817431665808</v>
      </c>
      <c r="C12" s="141">
        <f t="shared" si="46"/>
        <v>82.327199281867152</v>
      </c>
      <c r="D12" s="141">
        <f t="shared" si="46"/>
        <v>87.7290484225597</v>
      </c>
      <c r="E12" s="141">
        <f t="shared" si="46"/>
        <v>93.440453305914431</v>
      </c>
      <c r="F12" s="141">
        <f t="shared" si="46"/>
        <v>102.71503712245352</v>
      </c>
      <c r="G12" s="141">
        <f t="shared" si="46"/>
        <v>112.38401826484018</v>
      </c>
      <c r="H12" s="141">
        <f>G12*(1+H13)</f>
        <v>123.6224200913242</v>
      </c>
      <c r="I12" s="141">
        <f t="shared" ref="I12" si="47">H12*(1+I13)</f>
        <v>135.98466210045663</v>
      </c>
      <c r="J12" s="141">
        <f t="shared" ref="J12" si="48">I12*(1+J13)</f>
        <v>149.5831283105023</v>
      </c>
      <c r="K12" s="141">
        <f t="shared" ref="K12" si="49">J12*(1+K13)</f>
        <v>164.54144114155255</v>
      </c>
      <c r="L12" s="141">
        <f t="shared" ref="L12" si="50">K12*(1+L13)</f>
        <v>180.99558525570782</v>
      </c>
      <c r="N12" t="s">
        <v>191</v>
      </c>
      <c r="O12" s="141">
        <f t="shared" ref="O12:T12" si="51">B12</f>
        <v>80.485817431665808</v>
      </c>
      <c r="P12" s="141">
        <f t="shared" si="51"/>
        <v>82.327199281867152</v>
      </c>
      <c r="Q12" s="141">
        <f t="shared" si="51"/>
        <v>87.7290484225597</v>
      </c>
      <c r="R12" s="141">
        <f t="shared" si="51"/>
        <v>93.440453305914431</v>
      </c>
      <c r="S12" s="141">
        <f t="shared" si="51"/>
        <v>102.71503712245352</v>
      </c>
      <c r="T12" s="141">
        <f t="shared" si="51"/>
        <v>112.38401826484018</v>
      </c>
      <c r="U12" s="141">
        <f>T12*(1+U13)</f>
        <v>118.00321917808219</v>
      </c>
      <c r="V12" s="141">
        <f t="shared" ref="V12" si="52">U12*(1+V13)</f>
        <v>123.9033801369863</v>
      </c>
      <c r="W12" s="141">
        <f t="shared" ref="W12" si="53">V12*(1+W13)</f>
        <v>127.6204815410959</v>
      </c>
      <c r="X12" s="141">
        <f t="shared" ref="X12" si="54">W12*(1+X13)</f>
        <v>131.44909598732877</v>
      </c>
      <c r="Y12" s="141">
        <f t="shared" ref="Y12" si="55">X12*(1+Y13)</f>
        <v>135.39256886694864</v>
      </c>
    </row>
    <row r="13" spans="1:25">
      <c r="A13" s="112" t="s">
        <v>138</v>
      </c>
      <c r="C13" s="20">
        <f>C12/B12-1</f>
        <v>2.2878339426256167E-2</v>
      </c>
      <c r="D13" s="20">
        <f t="shared" ref="D13" si="56">D12/C12-1</f>
        <v>6.5614392179163206E-2</v>
      </c>
      <c r="E13" s="20">
        <f t="shared" ref="E13" si="57">E12/D12-1</f>
        <v>6.5102779364993424E-2</v>
      </c>
      <c r="F13" s="20">
        <f t="shared" ref="F13" si="58">F12/E12-1</f>
        <v>9.9256622676851203E-2</v>
      </c>
      <c r="G13" s="20">
        <f t="shared" ref="G13" si="59">G12/F12-1</f>
        <v>9.4134037364554723E-2</v>
      </c>
      <c r="H13" s="153">
        <v>0.1</v>
      </c>
      <c r="I13" s="153">
        <v>0.1</v>
      </c>
      <c r="J13" s="153">
        <v>0.1</v>
      </c>
      <c r="K13" s="153">
        <v>0.1</v>
      </c>
      <c r="L13" s="153">
        <v>0.1</v>
      </c>
      <c r="N13" s="112" t="s">
        <v>138</v>
      </c>
      <c r="P13" s="20">
        <f>P12/O12-1</f>
        <v>2.2878339426256167E-2</v>
      </c>
      <c r="Q13" s="20">
        <f t="shared" ref="Q13" si="60">Q12/P12-1</f>
        <v>6.5614392179163206E-2</v>
      </c>
      <c r="R13" s="20">
        <f t="shared" ref="R13" si="61">R12/Q12-1</f>
        <v>6.5102779364993424E-2</v>
      </c>
      <c r="S13" s="20">
        <f t="shared" ref="S13" si="62">S12/R12-1</f>
        <v>9.9256622676851203E-2</v>
      </c>
      <c r="T13" s="20">
        <f t="shared" ref="T13" si="63">T12/S12-1</f>
        <v>9.4134037364554723E-2</v>
      </c>
      <c r="U13" s="153">
        <v>0.05</v>
      </c>
      <c r="V13" s="153">
        <v>0.05</v>
      </c>
      <c r="W13" s="153">
        <v>0.03</v>
      </c>
      <c r="X13" s="153">
        <v>0.03</v>
      </c>
      <c r="Y13" s="153">
        <v>0.03</v>
      </c>
    </row>
    <row r="14" spans="1:25">
      <c r="A14" t="s">
        <v>221</v>
      </c>
      <c r="B14" s="141">
        <f t="shared" ref="B14:G14" si="64">B23/B5</f>
        <v>46.976311060284267</v>
      </c>
      <c r="C14" s="141">
        <f t="shared" si="64"/>
        <v>65.177493138151874</v>
      </c>
      <c r="D14" s="141">
        <f t="shared" si="64"/>
        <v>71.568692892706679</v>
      </c>
      <c r="E14" s="141">
        <f t="shared" si="64"/>
        <v>65.062450039968027</v>
      </c>
      <c r="F14" s="141">
        <f t="shared" si="64"/>
        <v>72.379014989293367</v>
      </c>
      <c r="G14" s="141">
        <f t="shared" si="64"/>
        <v>80.996800993124523</v>
      </c>
      <c r="H14" s="141">
        <f>G14*(1+H15)</f>
        <v>89.096481092436989</v>
      </c>
      <c r="I14" s="141">
        <f t="shared" ref="I14" si="65">H14*(1+I15)</f>
        <v>98.006129201680693</v>
      </c>
      <c r="J14" s="141">
        <f t="shared" ref="J14" si="66">I14*(1+J15)</f>
        <v>107.80674212184877</v>
      </c>
      <c r="K14" s="141">
        <f t="shared" ref="K14" si="67">J14*(1+K15)</f>
        <v>118.58741633403366</v>
      </c>
      <c r="L14" s="141">
        <f t="shared" ref="L14" si="68">K14*(1+L15)</f>
        <v>130.44615796743705</v>
      </c>
      <c r="N14" t="s">
        <v>221</v>
      </c>
      <c r="O14" s="141">
        <f t="shared" ref="O14:T14" si="69">B14</f>
        <v>46.976311060284267</v>
      </c>
      <c r="P14" s="141">
        <f t="shared" si="69"/>
        <v>65.177493138151874</v>
      </c>
      <c r="Q14" s="141">
        <f t="shared" si="69"/>
        <v>71.568692892706679</v>
      </c>
      <c r="R14" s="141">
        <f t="shared" si="69"/>
        <v>65.062450039968027</v>
      </c>
      <c r="S14" s="141">
        <f t="shared" si="69"/>
        <v>72.379014989293367</v>
      </c>
      <c r="T14" s="141">
        <f t="shared" si="69"/>
        <v>80.996800993124523</v>
      </c>
      <c r="U14" s="141">
        <f>T14*(1+U15)</f>
        <v>89.096481092436989</v>
      </c>
      <c r="V14" s="141">
        <f t="shared" ref="V14" si="70">U14*(1+V15)</f>
        <v>98.006129201680693</v>
      </c>
      <c r="W14" s="141">
        <f t="shared" ref="W14" si="71">V14*(1+W15)</f>
        <v>107.80674212184877</v>
      </c>
      <c r="X14" s="141">
        <f t="shared" ref="X14" si="72">W14*(1+X15)</f>
        <v>113.19707922794122</v>
      </c>
      <c r="Y14" s="141">
        <f t="shared" ref="Y14" si="73">X14*(1+Y15)</f>
        <v>118.85693318933828</v>
      </c>
    </row>
    <row r="15" spans="1:25">
      <c r="A15" s="112" t="s">
        <v>138</v>
      </c>
      <c r="C15" s="20">
        <f>C14/B14-1</f>
        <v>0.38745447794975219</v>
      </c>
      <c r="D15" s="20">
        <f t="shared" ref="D15" si="74">D14/C14-1</f>
        <v>9.8058385599578912E-2</v>
      </c>
      <c r="E15" s="20">
        <f t="shared" ref="E15" si="75">E14/D14-1</f>
        <v>-9.0909063583047178E-2</v>
      </c>
      <c r="F15" s="20">
        <f t="shared" ref="F15" si="76">F14/E14-1</f>
        <v>0.11245449479432068</v>
      </c>
      <c r="G15" s="20">
        <f t="shared" ref="G15" si="77">G14/F14-1</f>
        <v>0.11906470411494197</v>
      </c>
      <c r="H15" s="153">
        <v>0.1</v>
      </c>
      <c r="I15" s="153">
        <v>0.1</v>
      </c>
      <c r="J15" s="153">
        <v>0.1</v>
      </c>
      <c r="K15" s="153">
        <v>0.1</v>
      </c>
      <c r="L15" s="153">
        <v>0.1</v>
      </c>
      <c r="N15" s="112" t="s">
        <v>138</v>
      </c>
      <c r="P15" s="20">
        <f>P14/O14-1</f>
        <v>0.38745447794975219</v>
      </c>
      <c r="Q15" s="20">
        <f t="shared" ref="Q15" si="78">Q14/P14-1</f>
        <v>9.8058385599578912E-2</v>
      </c>
      <c r="R15" s="20">
        <f t="shared" ref="R15" si="79">R14/Q14-1</f>
        <v>-9.0909063583047178E-2</v>
      </c>
      <c r="S15" s="20">
        <f t="shared" ref="S15" si="80">S14/R14-1</f>
        <v>0.11245449479432068</v>
      </c>
      <c r="T15" s="20">
        <f t="shared" ref="T15" si="81">T14/S14-1</f>
        <v>0.11906470411494197</v>
      </c>
      <c r="U15" s="153">
        <v>0.1</v>
      </c>
      <c r="V15" s="153">
        <v>0.1</v>
      </c>
      <c r="W15" s="153">
        <v>0.1</v>
      </c>
      <c r="X15" s="153">
        <v>0.05</v>
      </c>
      <c r="Y15" s="153">
        <v>0.05</v>
      </c>
    </row>
    <row r="16" spans="1:25">
      <c r="A16" t="s">
        <v>198</v>
      </c>
      <c r="B16" s="141">
        <f t="shared" ref="B16:G16" si="82">B25/B7</f>
        <v>138.23832684824902</v>
      </c>
      <c r="C16" s="141">
        <f t="shared" si="82"/>
        <v>131.42813852813853</v>
      </c>
      <c r="D16" s="141">
        <f t="shared" si="82"/>
        <v>132.67920929426046</v>
      </c>
      <c r="E16" s="141">
        <f t="shared" si="82"/>
        <v>131.67557096247961</v>
      </c>
      <c r="F16" s="141">
        <f t="shared" si="82"/>
        <v>131.81016042780749</v>
      </c>
      <c r="G16" s="141">
        <f t="shared" si="82"/>
        <v>133.1649423588531</v>
      </c>
      <c r="H16" s="141">
        <f>G16*(1+H17)</f>
        <v>133.1649423588531</v>
      </c>
      <c r="I16" s="141">
        <f t="shared" ref="I16" si="83">H16*(1+I17)</f>
        <v>133.1649423588531</v>
      </c>
      <c r="J16" s="141">
        <f t="shared" ref="J16" si="84">I16*(1+J17)</f>
        <v>133.1649423588531</v>
      </c>
      <c r="K16" s="141">
        <f t="shared" ref="K16" si="85">J16*(1+K17)</f>
        <v>133.1649423588531</v>
      </c>
      <c r="L16" s="141">
        <f t="shared" ref="L16" si="86">K16*(1+L17)</f>
        <v>133.1649423588531</v>
      </c>
      <c r="N16" t="s">
        <v>198</v>
      </c>
      <c r="O16" s="141">
        <f t="shared" ref="O16:T16" si="87">B16</f>
        <v>138.23832684824902</v>
      </c>
      <c r="P16" s="141">
        <f t="shared" si="87"/>
        <v>131.42813852813853</v>
      </c>
      <c r="Q16" s="141">
        <f t="shared" si="87"/>
        <v>132.67920929426046</v>
      </c>
      <c r="R16" s="141">
        <f t="shared" si="87"/>
        <v>131.67557096247961</v>
      </c>
      <c r="S16" s="141">
        <f t="shared" si="87"/>
        <v>131.81016042780749</v>
      </c>
      <c r="T16" s="141">
        <f t="shared" si="87"/>
        <v>133.1649423588531</v>
      </c>
      <c r="U16" s="141">
        <f>T16*(1+U17)</f>
        <v>133.1649423588531</v>
      </c>
      <c r="V16" s="141">
        <f t="shared" ref="V16" si="88">U16*(1+V17)</f>
        <v>133.1649423588531</v>
      </c>
      <c r="W16" s="141">
        <f t="shared" ref="W16" si="89">V16*(1+W17)</f>
        <v>133.1649423588531</v>
      </c>
      <c r="X16" s="141">
        <f t="shared" ref="X16" si="90">W16*(1+X17)</f>
        <v>133.1649423588531</v>
      </c>
      <c r="Y16" s="141">
        <f t="shared" ref="Y16" si="91">X16*(1+Y17)</f>
        <v>133.1649423588531</v>
      </c>
    </row>
    <row r="17" spans="1:25">
      <c r="A17" s="112" t="s">
        <v>138</v>
      </c>
      <c r="C17" s="20">
        <f>C16/B16-1</f>
        <v>-4.9264111302405711E-2</v>
      </c>
      <c r="D17" s="20">
        <f t="shared" ref="D17" si="92">D16/C16-1</f>
        <v>9.5190480526670118E-3</v>
      </c>
      <c r="E17" s="20">
        <f t="shared" ref="E17" si="93">E16/D16-1</f>
        <v>-7.5643978971486892E-3</v>
      </c>
      <c r="F17" s="20">
        <f t="shared" ref="F17" si="94">F16/E16-1</f>
        <v>1.0221293467276293E-3</v>
      </c>
      <c r="G17" s="20">
        <f t="shared" ref="G17" si="95">G16/F16-1</f>
        <v>1.0278281481856055E-2</v>
      </c>
      <c r="H17" s="153">
        <v>0</v>
      </c>
      <c r="I17" s="153">
        <v>0</v>
      </c>
      <c r="J17" s="153">
        <v>0</v>
      </c>
      <c r="K17" s="153">
        <v>0</v>
      </c>
      <c r="L17" s="153">
        <v>0</v>
      </c>
      <c r="N17" s="112" t="s">
        <v>138</v>
      </c>
      <c r="P17" s="20">
        <f>P16/O16-1</f>
        <v>-4.9264111302405711E-2</v>
      </c>
      <c r="Q17" s="20">
        <f t="shared" ref="Q17" si="96">Q16/P16-1</f>
        <v>9.5190480526670118E-3</v>
      </c>
      <c r="R17" s="20">
        <f t="shared" ref="R17" si="97">R16/Q16-1</f>
        <v>-7.5643978971486892E-3</v>
      </c>
      <c r="S17" s="20">
        <f t="shared" ref="S17" si="98">S16/R16-1</f>
        <v>1.0221293467276293E-3</v>
      </c>
      <c r="T17" s="20">
        <f t="shared" ref="T17" si="99">T16/S16-1</f>
        <v>1.0278281481856055E-2</v>
      </c>
      <c r="U17" s="153">
        <v>0</v>
      </c>
      <c r="V17" s="153">
        <f>U17</f>
        <v>0</v>
      </c>
      <c r="W17" s="153">
        <f t="shared" ref="W17:Y17" si="100">V17</f>
        <v>0</v>
      </c>
      <c r="X17" s="153">
        <f t="shared" si="100"/>
        <v>0</v>
      </c>
      <c r="Y17" s="153">
        <f t="shared" si="100"/>
        <v>0</v>
      </c>
    </row>
    <row r="18" spans="1:25">
      <c r="A18" s="1" t="s">
        <v>8</v>
      </c>
      <c r="B18" s="152">
        <f>B12+B14+B16</f>
        <v>265.70045534019908</v>
      </c>
      <c r="C18" s="152">
        <f t="shared" ref="C18:L18" si="101">C12+C14+C16</f>
        <v>278.93283094815752</v>
      </c>
      <c r="D18" s="152">
        <f t="shared" si="101"/>
        <v>291.97695060952685</v>
      </c>
      <c r="E18" s="152">
        <f t="shared" si="101"/>
        <v>290.17847430836207</v>
      </c>
      <c r="F18" s="152">
        <f t="shared" si="101"/>
        <v>306.90421253955435</v>
      </c>
      <c r="G18" s="152">
        <f t="shared" si="101"/>
        <v>326.5457616168178</v>
      </c>
      <c r="H18" s="152">
        <f t="shared" si="101"/>
        <v>345.88384354261427</v>
      </c>
      <c r="I18" s="152">
        <f t="shared" si="101"/>
        <v>367.15573366099045</v>
      </c>
      <c r="J18" s="152">
        <f t="shared" si="101"/>
        <v>390.5548127912042</v>
      </c>
      <c r="K18" s="152">
        <f t="shared" si="101"/>
        <v>416.29379983443926</v>
      </c>
      <c r="L18" s="152">
        <f t="shared" si="101"/>
        <v>444.60668558199791</v>
      </c>
      <c r="N18" s="1" t="s">
        <v>8</v>
      </c>
      <c r="O18" s="152">
        <f>O12+O14+O16</f>
        <v>265.70045534019908</v>
      </c>
      <c r="P18" s="152">
        <f t="shared" ref="P18:Y18" si="102">P12+P14+P16</f>
        <v>278.93283094815752</v>
      </c>
      <c r="Q18" s="152">
        <f t="shared" si="102"/>
        <v>291.97695060952685</v>
      </c>
      <c r="R18" s="152">
        <f t="shared" si="102"/>
        <v>290.17847430836207</v>
      </c>
      <c r="S18" s="152">
        <f t="shared" si="102"/>
        <v>306.90421253955435</v>
      </c>
      <c r="T18" s="152">
        <f t="shared" si="102"/>
        <v>326.5457616168178</v>
      </c>
      <c r="U18" s="152">
        <f t="shared" si="102"/>
        <v>340.26464262937225</v>
      </c>
      <c r="V18" s="152">
        <f t="shared" si="102"/>
        <v>355.07445169752009</v>
      </c>
      <c r="W18" s="152">
        <f t="shared" si="102"/>
        <v>368.59216602179777</v>
      </c>
      <c r="X18" s="152">
        <f t="shared" si="102"/>
        <v>377.81111757412305</v>
      </c>
      <c r="Y18" s="152">
        <f t="shared" si="102"/>
        <v>387.41444441514</v>
      </c>
    </row>
    <row r="20" spans="1:25">
      <c r="A20" s="150" t="s">
        <v>222</v>
      </c>
      <c r="B20" s="150"/>
      <c r="C20" s="150"/>
      <c r="D20" s="150"/>
      <c r="E20" s="150"/>
      <c r="F20" s="150"/>
      <c r="G20" s="150"/>
      <c r="H20" s="150"/>
      <c r="I20" s="150"/>
      <c r="J20" s="150"/>
      <c r="K20" s="150"/>
      <c r="L20" s="150"/>
      <c r="N20" s="151" t="s">
        <v>223</v>
      </c>
      <c r="O20" s="151"/>
      <c r="P20" s="151"/>
      <c r="Q20" s="151"/>
      <c r="R20" s="151"/>
      <c r="S20" s="151"/>
      <c r="T20" s="151"/>
      <c r="U20" s="151"/>
      <c r="V20" s="151"/>
      <c r="W20" s="151"/>
      <c r="X20" s="151"/>
      <c r="Y20" s="151"/>
    </row>
    <row r="21" spans="1:25">
      <c r="A21" t="s">
        <v>191</v>
      </c>
      <c r="B21" s="140">
        <f>'Segment &amp; Sub Data'!I7</f>
        <v>2184868</v>
      </c>
      <c r="C21" s="140">
        <f>'Segment &amp; Sub Data'!J7</f>
        <v>2751375</v>
      </c>
      <c r="D21" s="140">
        <f>'Segment &amp; Sub Data'!K7</f>
        <v>3431434</v>
      </c>
      <c r="E21" s="140">
        <f>'Segment &amp; Sub Data'!L7</f>
        <v>4180339</v>
      </c>
      <c r="F21" s="140">
        <f>'Segment &amp; Sub Data'!M7</f>
        <v>5077307</v>
      </c>
      <c r="G21" s="140">
        <f>'Segment &amp; Sub Data'!N7</f>
        <v>6153025</v>
      </c>
      <c r="H21" s="140">
        <f>H3*H12</f>
        <v>7445160.2500000009</v>
      </c>
      <c r="I21" s="140">
        <f>I3*I12</f>
        <v>9008643.9025000036</v>
      </c>
      <c r="J21" s="140">
        <f>J3*J12</f>
        <v>10900459.122025006</v>
      </c>
      <c r="K21" s="140">
        <f>K3*K12</f>
        <v>13189555.537650259</v>
      </c>
      <c r="L21" s="140">
        <f>L3*L12</f>
        <v>15959362.200556817</v>
      </c>
      <c r="N21" t="s">
        <v>191</v>
      </c>
      <c r="O21" s="140">
        <f t="shared" ref="O21:T21" si="103">B21</f>
        <v>2184868</v>
      </c>
      <c r="P21" s="140">
        <f t="shared" si="103"/>
        <v>2751375</v>
      </c>
      <c r="Q21" s="140">
        <f t="shared" si="103"/>
        <v>3431434</v>
      </c>
      <c r="R21" s="140">
        <f t="shared" si="103"/>
        <v>4180339</v>
      </c>
      <c r="S21" s="140">
        <f t="shared" si="103"/>
        <v>5077307</v>
      </c>
      <c r="T21" s="140">
        <f t="shared" si="103"/>
        <v>6153025</v>
      </c>
      <c r="U21" s="140">
        <f>U3*U12</f>
        <v>7106743.8750000009</v>
      </c>
      <c r="V21" s="140">
        <f>V3*V12</f>
        <v>7835185.1221875008</v>
      </c>
      <c r="W21" s="140">
        <f>W3*W12</f>
        <v>8473752.7096457835</v>
      </c>
      <c r="X21" s="140">
        <f>X3*X12</f>
        <v>9164363.5554819144</v>
      </c>
      <c r="Y21" s="140">
        <f>Y3*Y12</f>
        <v>9911259.1852536909</v>
      </c>
    </row>
    <row r="22" spans="1:25">
      <c r="A22" s="112" t="s">
        <v>138</v>
      </c>
      <c r="C22" s="20">
        <f>C21/B21-1</f>
        <v>0.25928660221120903</v>
      </c>
      <c r="D22" s="20">
        <f t="shared" ref="D22:G22" si="104">D21/C21-1</f>
        <v>0.24717059651992179</v>
      </c>
      <c r="E22" s="20">
        <f t="shared" si="104"/>
        <v>0.21824840576855031</v>
      </c>
      <c r="F22" s="20">
        <f t="shared" si="104"/>
        <v>0.21456824434573374</v>
      </c>
      <c r="G22" s="20">
        <f t="shared" si="104"/>
        <v>0.21186782678297766</v>
      </c>
      <c r="H22" s="20">
        <f t="shared" ref="H22" si="105">H21/G21-1</f>
        <v>0.21000000000000019</v>
      </c>
      <c r="I22" s="20">
        <f t="shared" ref="I22" si="106">I21/H21-1</f>
        <v>0.21000000000000041</v>
      </c>
      <c r="J22" s="20">
        <f t="shared" ref="J22" si="107">J21/I21-1</f>
        <v>0.21000000000000019</v>
      </c>
      <c r="K22" s="20">
        <f t="shared" ref="K22" si="108">K21/J21-1</f>
        <v>0.21000000000000019</v>
      </c>
      <c r="L22" s="20">
        <f t="shared" ref="L22" si="109">L21/K21-1</f>
        <v>0.21000000000000019</v>
      </c>
      <c r="N22" s="112" t="s">
        <v>138</v>
      </c>
      <c r="P22" s="20">
        <f>P21/O21-1</f>
        <v>0.25928660221120903</v>
      </c>
      <c r="Q22" s="20">
        <f t="shared" ref="Q22" si="110">Q21/P21-1</f>
        <v>0.24717059651992179</v>
      </c>
      <c r="R22" s="20">
        <f t="shared" ref="R22" si="111">R21/Q21-1</f>
        <v>0.21824840576855031</v>
      </c>
      <c r="S22" s="20">
        <f t="shared" ref="S22" si="112">S21/R21-1</f>
        <v>0.21456824434573374</v>
      </c>
      <c r="T22" s="20">
        <f t="shared" ref="T22" si="113">T21/S21-1</f>
        <v>0.21186782678297766</v>
      </c>
      <c r="U22" s="20">
        <f t="shared" ref="U22" si="114">U21/T21-1</f>
        <v>0.15500000000000025</v>
      </c>
      <c r="V22" s="20">
        <f t="shared" ref="V22" si="115">V21/U21-1</f>
        <v>0.10250000000000004</v>
      </c>
      <c r="W22" s="20">
        <f t="shared" ref="W22" si="116">W21/V21-1</f>
        <v>8.1500000000000128E-2</v>
      </c>
      <c r="X22" s="20">
        <f t="shared" ref="X22" si="117">X21/W21-1</f>
        <v>8.1499999999999906E-2</v>
      </c>
      <c r="Y22" s="20">
        <f t="shared" ref="Y22" si="118">Y21/X21-1</f>
        <v>8.1500000000000128E-2</v>
      </c>
    </row>
    <row r="23" spans="1:25">
      <c r="A23" t="s">
        <v>221</v>
      </c>
      <c r="B23" s="140">
        <f>'Segment &amp; Sub Data'!I16</f>
        <v>287542</v>
      </c>
      <c r="C23" s="140">
        <f>'Segment &amp; Sub Data'!J16</f>
        <v>712390</v>
      </c>
      <c r="D23" s="140">
        <f>'Segment &amp; Sub Data'!K16</f>
        <v>1308061</v>
      </c>
      <c r="E23" s="140">
        <f>'Segment &amp; Sub Data'!L16</f>
        <v>1953435</v>
      </c>
      <c r="F23" s="140">
        <f>'Segment &amp; Sub Data'!M16</f>
        <v>3211095</v>
      </c>
      <c r="G23" s="140">
        <f>'Segment &amp; Sub Data'!N16</f>
        <v>5089191</v>
      </c>
      <c r="H23" s="140">
        <f>H5*H14</f>
        <v>7837354.1400000006</v>
      </c>
      <c r="I23" s="140">
        <f>I5*I14</f>
        <v>12069525.375599999</v>
      </c>
      <c r="J23" s="140">
        <f>J5*J14</f>
        <v>17923245.182766002</v>
      </c>
      <c r="K23" s="140">
        <f>K5*K14</f>
        <v>26616019.096407518</v>
      </c>
      <c r="L23" s="140">
        <f>L5*L14</f>
        <v>38060907.307862759</v>
      </c>
      <c r="N23" t="s">
        <v>221</v>
      </c>
      <c r="O23" s="140">
        <f t="shared" ref="O23:T23" si="119">B23</f>
        <v>287542</v>
      </c>
      <c r="P23" s="140">
        <f t="shared" si="119"/>
        <v>712390</v>
      </c>
      <c r="Q23" s="140">
        <f t="shared" si="119"/>
        <v>1308061</v>
      </c>
      <c r="R23" s="140">
        <f t="shared" si="119"/>
        <v>1953435</v>
      </c>
      <c r="S23" s="140">
        <f t="shared" si="119"/>
        <v>3211095</v>
      </c>
      <c r="T23" s="140">
        <f t="shared" si="119"/>
        <v>5089191</v>
      </c>
      <c r="U23" s="140">
        <f>U5*U14</f>
        <v>7837354.1400000006</v>
      </c>
      <c r="V23" s="140">
        <f>V5*V14</f>
        <v>11207416.420200001</v>
      </c>
      <c r="W23" s="140">
        <f>W5*W14</f>
        <v>15410197.577775003</v>
      </c>
      <c r="X23" s="140">
        <f>X5*X14</f>
        <v>18931427.724296592</v>
      </c>
      <c r="Y23" s="140">
        <f>Y5*Y14</f>
        <v>22859698.977088131</v>
      </c>
    </row>
    <row r="24" spans="1:25">
      <c r="A24" s="112" t="s">
        <v>138</v>
      </c>
      <c r="C24" s="20">
        <f>C23/B23-1</f>
        <v>1.4775163280494676</v>
      </c>
      <c r="D24" s="20">
        <f t="shared" ref="D24" si="120">D23/C23-1</f>
        <v>0.83615856483106166</v>
      </c>
      <c r="E24" s="20">
        <f t="shared" ref="E24" si="121">E23/D23-1</f>
        <v>0.4933821893627286</v>
      </c>
      <c r="F24" s="20">
        <f t="shared" ref="F24" si="122">F23/E23-1</f>
        <v>0.64381973293198902</v>
      </c>
      <c r="G24" s="20">
        <f t="shared" ref="G24:H24" si="123">G23/F23-1</f>
        <v>0.58487712135579928</v>
      </c>
      <c r="H24" s="20">
        <f t="shared" si="123"/>
        <v>0.54</v>
      </c>
      <c r="I24" s="20">
        <f t="shared" ref="I24" si="124">I23/H23-1</f>
        <v>0.53999999999999981</v>
      </c>
      <c r="J24" s="20">
        <f t="shared" ref="J24" si="125">J23/I23-1</f>
        <v>0.48500000000000032</v>
      </c>
      <c r="K24" s="20">
        <f t="shared" ref="K24" si="126">K23/J23-1</f>
        <v>0.48500000000000032</v>
      </c>
      <c r="L24" s="20">
        <f t="shared" ref="L24" si="127">L23/K23-1</f>
        <v>0.43000000000000038</v>
      </c>
      <c r="N24" s="112" t="s">
        <v>138</v>
      </c>
      <c r="P24" s="20">
        <f>P23/O23-1</f>
        <v>1.4775163280494676</v>
      </c>
      <c r="Q24" s="20">
        <f t="shared" ref="Q24" si="128">Q23/P23-1</f>
        <v>0.83615856483106166</v>
      </c>
      <c r="R24" s="20">
        <f t="shared" ref="R24" si="129">R23/Q23-1</f>
        <v>0.4933821893627286</v>
      </c>
      <c r="S24" s="20">
        <f t="shared" ref="S24" si="130">S23/R23-1</f>
        <v>0.64381973293198902</v>
      </c>
      <c r="T24" s="20">
        <f t="shared" ref="T24" si="131">T23/S23-1</f>
        <v>0.58487712135579928</v>
      </c>
      <c r="U24" s="20">
        <f t="shared" ref="U24" si="132">U23/T23-1</f>
        <v>0.54</v>
      </c>
      <c r="V24" s="20">
        <f t="shared" ref="V24" si="133">V23/U23-1</f>
        <v>0.43000000000000016</v>
      </c>
      <c r="W24" s="20">
        <f t="shared" ref="W24" si="134">W23/V23-1</f>
        <v>0.37500000000000022</v>
      </c>
      <c r="X24" s="20">
        <f t="shared" ref="X24" si="135">X23/W23-1</f>
        <v>0.22849999999999993</v>
      </c>
      <c r="Y24" s="20">
        <f t="shared" ref="Y24" si="136">Y23/X23-1</f>
        <v>0.2074999999999998</v>
      </c>
    </row>
    <row r="25" spans="1:25">
      <c r="A25" t="s">
        <v>198</v>
      </c>
      <c r="B25" s="140">
        <f>'Segment &amp; Sub Data'!I25</f>
        <v>1136872</v>
      </c>
      <c r="C25" s="140">
        <f>'Segment &amp; Sub Data'!J25</f>
        <v>910797</v>
      </c>
      <c r="D25" s="140">
        <f>'Segment &amp; Sub Data'!K25</f>
        <v>765161</v>
      </c>
      <c r="E25" s="140">
        <f>'Segment &amp; Sub Data'!L25</f>
        <v>645737</v>
      </c>
      <c r="F25" s="140">
        <f>'Segment &amp; Sub Data'!M25</f>
        <v>542267</v>
      </c>
      <c r="G25" s="140">
        <f>'Segment &amp; Sub Data'!N25</f>
        <v>450497</v>
      </c>
      <c r="H25" s="140">
        <f>H7*H16</f>
        <v>360397.60000000003</v>
      </c>
      <c r="I25" s="140">
        <f>I7*I16</f>
        <v>288318.08000000007</v>
      </c>
      <c r="J25" s="140">
        <f>J7*J16</f>
        <v>230654.46400000007</v>
      </c>
      <c r="K25" s="140">
        <f>K7*K16</f>
        <v>184523.57120000006</v>
      </c>
      <c r="L25" s="140">
        <f>L7*L16</f>
        <v>147618.85696000006</v>
      </c>
      <c r="N25" t="s">
        <v>198</v>
      </c>
      <c r="O25" s="140">
        <f t="shared" ref="O25:T25" si="137">B25</f>
        <v>1136872</v>
      </c>
      <c r="P25" s="140">
        <f t="shared" si="137"/>
        <v>910797</v>
      </c>
      <c r="Q25" s="140">
        <f t="shared" si="137"/>
        <v>765161</v>
      </c>
      <c r="R25" s="140">
        <f t="shared" si="137"/>
        <v>645737</v>
      </c>
      <c r="S25" s="140">
        <f t="shared" si="137"/>
        <v>542267</v>
      </c>
      <c r="T25" s="140">
        <f t="shared" si="137"/>
        <v>450497</v>
      </c>
      <c r="U25" s="140">
        <f>U7*U16</f>
        <v>360397.60000000003</v>
      </c>
      <c r="V25" s="140">
        <f>V7*V16</f>
        <v>288318.08000000007</v>
      </c>
      <c r="W25" s="140">
        <f>W7*W16</f>
        <v>230654.46400000007</v>
      </c>
      <c r="X25" s="140">
        <f>X7*X16</f>
        <v>184523.57120000006</v>
      </c>
      <c r="Y25" s="140">
        <f>Y7*Y16</f>
        <v>147618.85696000006</v>
      </c>
    </row>
    <row r="26" spans="1:25">
      <c r="A26" s="112" t="s">
        <v>138</v>
      </c>
      <c r="C26" s="20">
        <f>C25/B25-1</f>
        <v>-0.19885703931489207</v>
      </c>
      <c r="D26" s="20">
        <f t="shared" ref="D26" si="138">D25/C25-1</f>
        <v>-0.15989951657723944</v>
      </c>
      <c r="E26" s="20">
        <f t="shared" ref="E26" si="139">E25/D25-1</f>
        <v>-0.15607695635297669</v>
      </c>
      <c r="F26" s="20">
        <f t="shared" ref="F26" si="140">F25/E25-1</f>
        <v>-0.16023551383922552</v>
      </c>
      <c r="G26" s="20">
        <f t="shared" ref="G26:H26" si="141">G25/F25-1</f>
        <v>-0.16923397514508531</v>
      </c>
      <c r="H26" s="20">
        <f t="shared" si="141"/>
        <v>-0.19999999999999996</v>
      </c>
      <c r="I26" s="20">
        <f t="shared" ref="I26" si="142">I25/H25-1</f>
        <v>-0.19999999999999984</v>
      </c>
      <c r="J26" s="20">
        <f t="shared" ref="J26" si="143">J25/I25-1</f>
        <v>-0.19999999999999996</v>
      </c>
      <c r="K26" s="20">
        <f t="shared" ref="K26" si="144">K25/J25-1</f>
        <v>-0.19999999999999996</v>
      </c>
      <c r="L26" s="20">
        <f t="shared" ref="L26" si="145">L25/K25-1</f>
        <v>-0.19999999999999996</v>
      </c>
      <c r="N26" s="112" t="s">
        <v>138</v>
      </c>
      <c r="P26" s="20">
        <f>P25/O25-1</f>
        <v>-0.19885703931489207</v>
      </c>
      <c r="Q26" s="20">
        <f t="shared" ref="Q26" si="146">Q25/P25-1</f>
        <v>-0.15989951657723944</v>
      </c>
      <c r="R26" s="20">
        <f t="shared" ref="R26" si="147">R25/Q25-1</f>
        <v>-0.15607695635297669</v>
      </c>
      <c r="S26" s="20">
        <f t="shared" ref="S26" si="148">S25/R25-1</f>
        <v>-0.16023551383922552</v>
      </c>
      <c r="T26" s="20">
        <f t="shared" ref="T26" si="149">T25/S25-1</f>
        <v>-0.16923397514508531</v>
      </c>
      <c r="U26" s="20">
        <f t="shared" ref="U26" si="150">U25/T25-1</f>
        <v>-0.19999999999999996</v>
      </c>
      <c r="V26" s="20">
        <f t="shared" ref="V26" si="151">V25/U25-1</f>
        <v>-0.19999999999999984</v>
      </c>
      <c r="W26" s="20">
        <f t="shared" ref="W26" si="152">W25/V25-1</f>
        <v>-0.19999999999999996</v>
      </c>
      <c r="X26" s="20">
        <f t="shared" ref="X26" si="153">X25/W25-1</f>
        <v>-0.19999999999999996</v>
      </c>
      <c r="Y26" s="20">
        <f t="shared" ref="Y26" si="154">Y25/X25-1</f>
        <v>-0.19999999999999996</v>
      </c>
    </row>
    <row r="27" spans="1:25" ht="15.75" thickBot="1">
      <c r="A27" s="1" t="s">
        <v>8</v>
      </c>
      <c r="B27" s="152">
        <f>B21+B23+B25</f>
        <v>3609282</v>
      </c>
      <c r="C27" s="152">
        <f t="shared" ref="C27:L27" si="155">C21+C23+C25</f>
        <v>4374562</v>
      </c>
      <c r="D27" s="152">
        <f t="shared" si="155"/>
        <v>5504656</v>
      </c>
      <c r="E27" s="152">
        <f t="shared" si="155"/>
        <v>6779511</v>
      </c>
      <c r="F27" s="152">
        <f t="shared" si="155"/>
        <v>8830669</v>
      </c>
      <c r="G27" s="152">
        <f t="shared" si="155"/>
        <v>11692713</v>
      </c>
      <c r="H27" s="154">
        <f t="shared" si="155"/>
        <v>15642911.99</v>
      </c>
      <c r="I27" s="154">
        <f t="shared" si="155"/>
        <v>21366487.358100004</v>
      </c>
      <c r="J27" s="154">
        <f t="shared" si="155"/>
        <v>29054358.768791009</v>
      </c>
      <c r="K27" s="154">
        <f t="shared" si="155"/>
        <v>39990098.205257773</v>
      </c>
      <c r="L27" s="154">
        <f t="shared" si="155"/>
        <v>54167888.365379572</v>
      </c>
      <c r="N27" s="1" t="s">
        <v>8</v>
      </c>
      <c r="O27" s="152">
        <f>O21+O23+O25</f>
        <v>3609282</v>
      </c>
      <c r="P27" s="152">
        <f t="shared" ref="P27:Y27" si="156">P21+P23+P25</f>
        <v>4374562</v>
      </c>
      <c r="Q27" s="152">
        <f t="shared" si="156"/>
        <v>5504656</v>
      </c>
      <c r="R27" s="152">
        <f t="shared" si="156"/>
        <v>6779511</v>
      </c>
      <c r="S27" s="152">
        <f t="shared" si="156"/>
        <v>8830669</v>
      </c>
      <c r="T27" s="152">
        <f t="shared" si="156"/>
        <v>11692713</v>
      </c>
      <c r="U27" s="154">
        <f t="shared" si="156"/>
        <v>15304495.615</v>
      </c>
      <c r="V27" s="154">
        <f t="shared" si="156"/>
        <v>19330919.622387499</v>
      </c>
      <c r="W27" s="154">
        <f t="shared" si="156"/>
        <v>24114604.751420788</v>
      </c>
      <c r="X27" s="154">
        <f t="shared" si="156"/>
        <v>28280314.850978505</v>
      </c>
      <c r="Y27" s="154">
        <f t="shared" si="156"/>
        <v>32918577.019301821</v>
      </c>
    </row>
    <row r="28" spans="1:25" ht="15.75" thickBot="1">
      <c r="A28" s="112"/>
      <c r="H28" s="155">
        <f>H27/G27-1</f>
        <v>0.337834255403344</v>
      </c>
      <c r="I28" s="156">
        <f t="shared" ref="I28:L28" si="157">I27/H27-1</f>
        <v>0.36588937991589399</v>
      </c>
      <c r="J28" s="156">
        <f t="shared" si="157"/>
        <v>0.35980979380668021</v>
      </c>
      <c r="K28" s="156">
        <f t="shared" si="157"/>
        <v>0.37638894471880358</v>
      </c>
      <c r="L28" s="157">
        <f t="shared" si="157"/>
        <v>0.35453251670829222</v>
      </c>
      <c r="U28" s="155">
        <f>U27/T27-1</f>
        <v>0.30889175292338056</v>
      </c>
      <c r="V28" s="156">
        <f t="shared" ref="V28" si="158">V27/U27-1</f>
        <v>0.26308766447952614</v>
      </c>
      <c r="W28" s="156">
        <f t="shared" ref="W28" si="159">W27/V27-1</f>
        <v>0.24746288446066544</v>
      </c>
      <c r="X28" s="156">
        <f t="shared" ref="X28" si="160">X27/W27-1</f>
        <v>0.17274635609825961</v>
      </c>
      <c r="Y28" s="157">
        <f t="shared" ref="Y28" si="161">Y27/X27-1</f>
        <v>0.16401027332136753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72E5-52C2-4EE7-A442-D45BE920F6C0}">
  <dimension ref="A1:G11"/>
  <sheetViews>
    <sheetView zoomScale="98" zoomScaleNormal="98" workbookViewId="0">
      <selection activeCell="E30" sqref="E30"/>
    </sheetView>
  </sheetViews>
  <sheetFormatPr defaultRowHeight="15"/>
  <cols>
    <col min="1" max="1" width="24.42578125" bestFit="1" customWidth="1"/>
    <col min="2" max="4" width="9.85546875" bestFit="1" customWidth="1"/>
    <col min="5" max="6" width="10.140625" bestFit="1" customWidth="1"/>
    <col min="7" max="7" width="10.85546875" bestFit="1" customWidth="1"/>
  </cols>
  <sheetData>
    <row r="1" spans="1:7">
      <c r="B1">
        <v>2012</v>
      </c>
      <c r="C1">
        <v>2013</v>
      </c>
      <c r="D1">
        <v>2014</v>
      </c>
      <c r="E1">
        <v>2015</v>
      </c>
      <c r="F1">
        <v>2016</v>
      </c>
      <c r="G1">
        <v>2017</v>
      </c>
    </row>
    <row r="2" spans="1:7">
      <c r="A2" t="s">
        <v>217</v>
      </c>
      <c r="B2" s="146">
        <v>2.2995619999999999</v>
      </c>
      <c r="C2" s="146">
        <v>2.9723250000000001</v>
      </c>
      <c r="D2" s="146">
        <v>3.7476479999999999</v>
      </c>
      <c r="E2" s="146">
        <v>4.7031720000000004</v>
      </c>
      <c r="F2" s="146">
        <v>6.2006110000000003</v>
      </c>
      <c r="G2" s="146">
        <v>7.4469469999999998</v>
      </c>
    </row>
    <row r="3" spans="1:7">
      <c r="A3" t="s">
        <v>214</v>
      </c>
      <c r="B3" s="146">
        <v>2.7152940000000001</v>
      </c>
      <c r="C3" s="146">
        <v>3.2669069999999998</v>
      </c>
      <c r="D3" s="146">
        <v>4.4951030000000003</v>
      </c>
      <c r="E3" s="146">
        <v>5.2491469999999998</v>
      </c>
      <c r="F3" s="146">
        <v>6.7313359999999998</v>
      </c>
      <c r="G3" s="146">
        <v>8.2101590000000009</v>
      </c>
    </row>
    <row r="4" spans="1:7">
      <c r="A4" t="s">
        <v>215</v>
      </c>
      <c r="B4" s="146">
        <v>0.54034599999999999</v>
      </c>
      <c r="C4" s="146">
        <v>0.92964500000000005</v>
      </c>
      <c r="D4" s="146">
        <v>1.1643079999999999</v>
      </c>
      <c r="E4" s="146">
        <v>0.89186399999999999</v>
      </c>
      <c r="F4" s="146">
        <v>1.3869339999999999</v>
      </c>
      <c r="G4" s="146">
        <v>1.894001</v>
      </c>
    </row>
    <row r="5" spans="1:7">
      <c r="A5" t="s">
        <v>216</v>
      </c>
      <c r="B5" s="146">
        <v>7.8482999999999997E-2</v>
      </c>
      <c r="C5" s="146">
        <v>8.3283999999999997E-2</v>
      </c>
      <c r="D5" s="146">
        <v>4.4053000000000002E-2</v>
      </c>
      <c r="E5" s="146">
        <v>5.8048000000000002E-2</v>
      </c>
      <c r="F5" s="146">
        <v>0.160606</v>
      </c>
      <c r="G5" s="146">
        <v>0.143535</v>
      </c>
    </row>
    <row r="6" spans="1:7">
      <c r="B6" s="147"/>
      <c r="C6" s="147"/>
      <c r="D6" s="147"/>
      <c r="E6" s="147"/>
      <c r="F6" s="147"/>
      <c r="G6" s="147"/>
    </row>
    <row r="7" spans="1:7">
      <c r="A7" s="1" t="s">
        <v>218</v>
      </c>
      <c r="B7" s="148">
        <f>SUM(B2:B5)</f>
        <v>5.6336849999999998</v>
      </c>
      <c r="C7" s="148">
        <f t="shared" ref="C7:E7" si="0">SUM(C2:C5)</f>
        <v>7.2521609999999992</v>
      </c>
      <c r="D7" s="148">
        <f t="shared" si="0"/>
        <v>9.4511120000000002</v>
      </c>
      <c r="E7" s="148">
        <f t="shared" si="0"/>
        <v>10.902230999999999</v>
      </c>
      <c r="F7" s="148">
        <f>SUM(F2:F5)</f>
        <v>14.479487000000001</v>
      </c>
      <c r="G7" s="148">
        <f>SUM(G2:G5)</f>
        <v>17.694642000000002</v>
      </c>
    </row>
    <row r="8" spans="1:7">
      <c r="A8" s="3"/>
      <c r="B8" s="149"/>
      <c r="C8" s="149"/>
      <c r="D8" s="149"/>
      <c r="E8" s="149"/>
      <c r="F8" s="149"/>
      <c r="G8" s="149"/>
    </row>
    <row r="9" spans="1:7">
      <c r="A9" s="145" t="s">
        <v>219</v>
      </c>
      <c r="B9" s="147">
        <f>('Segment &amp; Sub Data'!I7+'Segment &amp; Sub Data'!I16)/1000000</f>
        <v>2.47241</v>
      </c>
      <c r="C9" s="147">
        <f>('Segment &amp; Sub Data'!J7+'Segment &amp; Sub Data'!J16)/1000000</f>
        <v>3.463765</v>
      </c>
      <c r="D9" s="147">
        <f>('Segment &amp; Sub Data'!K7+'Segment &amp; Sub Data'!K16)/1000000</f>
        <v>4.7394949999999998</v>
      </c>
      <c r="E9" s="147">
        <f>('Segment &amp; Sub Data'!L7+'Segment &amp; Sub Data'!L16)/1000000</f>
        <v>6.1337739999999998</v>
      </c>
      <c r="F9" s="147">
        <f>('Segment &amp; Sub Data'!M7+'Segment &amp; Sub Data'!M16)/1000000</f>
        <v>8.2884019999999996</v>
      </c>
      <c r="G9" s="147">
        <f>('Segment &amp; Sub Data'!N7+'Segment &amp; Sub Data'!N16)/1000000</f>
        <v>11.242216000000001</v>
      </c>
    </row>
    <row r="11" spans="1:7">
      <c r="A11" t="s">
        <v>220</v>
      </c>
      <c r="B11" s="20">
        <f>B9/B7</f>
        <v>0.43886195270058587</v>
      </c>
      <c r="C11" s="20">
        <f t="shared" ref="C11:G11" si="1">C9/C7</f>
        <v>0.47761832645469404</v>
      </c>
      <c r="D11" s="20">
        <f t="shared" si="1"/>
        <v>0.50147485290619764</v>
      </c>
      <c r="E11" s="20">
        <f t="shared" si="1"/>
        <v>0.56261640392686607</v>
      </c>
      <c r="F11" s="20">
        <f t="shared" si="1"/>
        <v>0.57242373296788751</v>
      </c>
      <c r="G11" s="20">
        <f t="shared" si="1"/>
        <v>0.63534577303118078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workbookViewId="0">
      <selection activeCell="P11" sqref="P11"/>
    </sheetView>
  </sheetViews>
  <sheetFormatPr defaultRowHeight="15"/>
  <cols>
    <col min="1" max="1" width="37.42578125" bestFit="1" customWidth="1"/>
    <col min="12" max="12" width="9.5703125" bestFit="1" customWidth="1"/>
  </cols>
  <sheetData>
    <row r="1" spans="1:16">
      <c r="A1" s="10" t="s">
        <v>37</v>
      </c>
      <c r="B1" s="134">
        <f>'Company Analysis'!B2</f>
        <v>39813</v>
      </c>
      <c r="C1" s="134">
        <f>'Company Analysis'!C2</f>
        <v>40178</v>
      </c>
      <c r="D1" s="134">
        <f>'Company Analysis'!D2</f>
        <v>40543</v>
      </c>
      <c r="E1" s="134">
        <f>'Company Analysis'!E2</f>
        <v>40908</v>
      </c>
      <c r="F1" s="134">
        <f>'Company Analysis'!F2</f>
        <v>41274</v>
      </c>
      <c r="G1" s="134">
        <f>'Company Analysis'!G2</f>
        <v>41639</v>
      </c>
      <c r="H1" s="134">
        <f>'Company Analysis'!H2</f>
        <v>42004</v>
      </c>
      <c r="I1" s="134">
        <f>'Company Analysis'!I2</f>
        <v>42369</v>
      </c>
      <c r="J1" s="134">
        <f>'Company Analysis'!J2</f>
        <v>42735</v>
      </c>
      <c r="K1" s="134">
        <f>'Company Analysis'!K2</f>
        <v>43100</v>
      </c>
      <c r="L1" s="134">
        <f>'Graphing Data'!K1+365</f>
        <v>43465</v>
      </c>
      <c r="M1" s="134">
        <f>'Graphing Data'!L1+365</f>
        <v>43830</v>
      </c>
      <c r="N1" s="134">
        <f>'Graphing Data'!M1+365</f>
        <v>44195</v>
      </c>
      <c r="O1" s="134">
        <f>'Graphing Data'!N1+365</f>
        <v>44560</v>
      </c>
      <c r="P1" s="134">
        <f>'Graphing Data'!O1+365</f>
        <v>44925</v>
      </c>
    </row>
    <row r="2" spans="1:16">
      <c r="A2" t="s">
        <v>163</v>
      </c>
      <c r="B2" s="17">
        <f>'Company Analysis'!B3</f>
        <v>1364.6610000000001</v>
      </c>
      <c r="C2" s="17">
        <f>'Company Analysis'!C3</f>
        <v>1670.269</v>
      </c>
      <c r="D2" s="17">
        <f>'Company Analysis'!D3</f>
        <v>2162.625</v>
      </c>
      <c r="E2" s="17">
        <f>'Company Analysis'!E3</f>
        <v>3204.5770000000002</v>
      </c>
      <c r="F2" s="17">
        <f>'Company Analysis'!F3</f>
        <v>3609.2820000000002</v>
      </c>
      <c r="G2" s="17">
        <f>'Company Analysis'!G3</f>
        <v>4374.5619999999999</v>
      </c>
      <c r="H2" s="17">
        <f>'Company Analysis'!H3</f>
        <v>5504.6559999999999</v>
      </c>
      <c r="I2" s="17">
        <f>'Company Analysis'!I3</f>
        <v>6779.5110000000004</v>
      </c>
      <c r="J2" s="17">
        <f>'Company Analysis'!J3</f>
        <v>8830.6689999999999</v>
      </c>
      <c r="K2" s="17">
        <f>'Company Analysis'!K3</f>
        <v>11692.713</v>
      </c>
      <c r="L2" s="17"/>
      <c r="M2" s="17"/>
      <c r="N2" s="17"/>
      <c r="O2" s="17"/>
      <c r="P2" s="17"/>
    </row>
    <row r="3" spans="1:16">
      <c r="A3" t="s">
        <v>164</v>
      </c>
      <c r="L3" s="17">
        <f>$K$2*(1+'Valuation Model'!C8)</f>
        <v>15642.911990000001</v>
      </c>
      <c r="M3" s="17">
        <f>L3*(1+'Valuation Model'!D8)</f>
        <v>21366.487358100003</v>
      </c>
      <c r="N3" s="17">
        <f>M3*(1+'Valuation Model'!E8)</f>
        <v>29054.358768791004</v>
      </c>
      <c r="O3" s="17">
        <f>N3*(1+'Valuation Model'!F8)</f>
        <v>39990.098205257767</v>
      </c>
      <c r="P3" s="17">
        <f>O3*(1+'Valuation Model'!G8)</f>
        <v>54167.888365379564</v>
      </c>
    </row>
    <row r="4" spans="1:16">
      <c r="A4" t="s">
        <v>165</v>
      </c>
      <c r="L4" s="17">
        <f>$K$2*(1+'Valuation Model'!C9)</f>
        <v>15304.495615</v>
      </c>
      <c r="M4" s="17">
        <f>L4*(1+'Valuation Model'!D9)</f>
        <v>19330.919622387501</v>
      </c>
      <c r="N4" s="17">
        <f>M4*(1+'Valuation Model'!E9)</f>
        <v>24114.604751420789</v>
      </c>
      <c r="O4" s="17">
        <f>N4*(1+'Valuation Model'!F9)</f>
        <v>28280.31485097851</v>
      </c>
      <c r="P4" s="17">
        <f>O4*(1+'Valuation Model'!G9)</f>
        <v>32918.577019301825</v>
      </c>
    </row>
    <row r="5" spans="1:16">
      <c r="A5" t="s">
        <v>166</v>
      </c>
      <c r="C5" s="20">
        <f>C2/B2-1</f>
        <v>0.22394426161515568</v>
      </c>
      <c r="D5" s="20">
        <f t="shared" ref="D5:K5" si="0">D2/C2-1</f>
        <v>0.2947764701374449</v>
      </c>
      <c r="E5" s="20">
        <f t="shared" si="0"/>
        <v>0.48179966475926261</v>
      </c>
      <c r="F5" s="20">
        <f t="shared" si="0"/>
        <v>0.12628967879380015</v>
      </c>
      <c r="G5" s="20">
        <f t="shared" si="0"/>
        <v>0.21203109094828276</v>
      </c>
      <c r="H5" s="20">
        <f t="shared" si="0"/>
        <v>0.25833306283006174</v>
      </c>
      <c r="I5" s="20">
        <f t="shared" si="0"/>
        <v>0.23159576184233854</v>
      </c>
      <c r="J5" s="20">
        <f t="shared" si="0"/>
        <v>0.30255249973043763</v>
      </c>
      <c r="K5" s="20">
        <f t="shared" si="0"/>
        <v>0.32410273785598798</v>
      </c>
    </row>
    <row r="6" spans="1:16">
      <c r="A6" t="s">
        <v>167</v>
      </c>
      <c r="K6" s="99">
        <f>K5</f>
        <v>0.32410273785598798</v>
      </c>
      <c r="L6" s="99">
        <f>'Valuation Model'!C8</f>
        <v>0.337834255403344</v>
      </c>
      <c r="M6" s="99">
        <f>'Valuation Model'!D8</f>
        <v>0.36588937991589399</v>
      </c>
      <c r="N6" s="99">
        <f>'Valuation Model'!E8</f>
        <v>0.35980979380668021</v>
      </c>
      <c r="O6" s="99">
        <f>'Valuation Model'!F8</f>
        <v>0.37638894471880358</v>
      </c>
      <c r="P6" s="99">
        <f>'Valuation Model'!G8</f>
        <v>0.35453251670829222</v>
      </c>
    </row>
    <row r="7" spans="1:16">
      <c r="A7" t="s">
        <v>168</v>
      </c>
      <c r="K7" s="99">
        <f>K5</f>
        <v>0.32410273785598798</v>
      </c>
      <c r="L7" s="99">
        <f>'Valuation Model'!C9</f>
        <v>0.30889175292338056</v>
      </c>
      <c r="M7" s="99">
        <f>'Valuation Model'!D9</f>
        <v>0.26308766447952614</v>
      </c>
      <c r="N7" s="99">
        <f>'Valuation Model'!E9</f>
        <v>0.24746288446066544</v>
      </c>
      <c r="O7" s="99">
        <f>'Valuation Model'!F9</f>
        <v>0.17274635609825961</v>
      </c>
      <c r="P7" s="99">
        <f>'Valuation Model'!G9</f>
        <v>0.16401027332136753</v>
      </c>
    </row>
    <row r="9" spans="1:16">
      <c r="A9" s="10" t="s">
        <v>71</v>
      </c>
      <c r="B9" s="134">
        <f>B1</f>
        <v>39813</v>
      </c>
      <c r="C9" s="134">
        <f t="shared" ref="C9:P9" si="1">C1</f>
        <v>40178</v>
      </c>
      <c r="D9" s="134">
        <f t="shared" si="1"/>
        <v>40543</v>
      </c>
      <c r="E9" s="134">
        <f t="shared" si="1"/>
        <v>40908</v>
      </c>
      <c r="F9" s="134">
        <f t="shared" si="1"/>
        <v>41274</v>
      </c>
      <c r="G9" s="134">
        <f t="shared" si="1"/>
        <v>41639</v>
      </c>
      <c r="H9" s="134">
        <f t="shared" si="1"/>
        <v>42004</v>
      </c>
      <c r="I9" s="134">
        <f t="shared" si="1"/>
        <v>42369</v>
      </c>
      <c r="J9" s="134">
        <f t="shared" si="1"/>
        <v>42735</v>
      </c>
      <c r="K9" s="134">
        <f t="shared" si="1"/>
        <v>43100</v>
      </c>
      <c r="L9" s="134">
        <f t="shared" si="1"/>
        <v>43465</v>
      </c>
      <c r="M9" s="134">
        <f t="shared" si="1"/>
        <v>43830</v>
      </c>
      <c r="N9" s="134">
        <f t="shared" si="1"/>
        <v>44195</v>
      </c>
      <c r="O9" s="134">
        <f t="shared" si="1"/>
        <v>44560</v>
      </c>
      <c r="P9" s="134">
        <f t="shared" si="1"/>
        <v>44925</v>
      </c>
    </row>
    <row r="10" spans="1:16">
      <c r="A10" t="s">
        <v>169</v>
      </c>
      <c r="B10" s="17">
        <f>'Company Analysis'!B11</f>
        <v>87.500747999999987</v>
      </c>
      <c r="C10" s="17">
        <f>'Company Analysis'!C11</f>
        <v>94.127175999999963</v>
      </c>
      <c r="D10" s="17">
        <f>'Company Analysis'!D11</f>
        <v>113.79141600000003</v>
      </c>
      <c r="E10" s="17">
        <f>'Company Analysis'!E11</f>
        <v>187.41109599999999</v>
      </c>
      <c r="F10" s="17">
        <f>'Company Analysis'!F11</f>
        <v>-73.112848999999997</v>
      </c>
      <c r="G10" s="17">
        <f>'Company Analysis'!G11</f>
        <v>-17.195610000000002</v>
      </c>
      <c r="H10" s="17">
        <f>'Company Analysis'!H11</f>
        <v>-113.19944800000002</v>
      </c>
      <c r="I10" s="17">
        <f>'Company Analysis'!I11</f>
        <v>-889.74228299999993</v>
      </c>
      <c r="J10" s="17">
        <f>'Company Analysis'!J11</f>
        <v>-1609.436864</v>
      </c>
      <c r="K10" s="17">
        <f>'Company Analysis'!K11</f>
        <v>-1913.0891310000002</v>
      </c>
    </row>
    <row r="11" spans="1:16">
      <c r="A11" t="s">
        <v>170</v>
      </c>
      <c r="L11" s="18">
        <f>'Valuation Model'!C10*'Graphing Data'!L3</f>
        <v>-1564.2911990000002</v>
      </c>
      <c r="M11" s="18">
        <f>'Valuation Model'!D10*'Graphing Data'!M3</f>
        <v>-2136.6487358100003</v>
      </c>
      <c r="N11" s="18">
        <f>'Valuation Model'!E10*'Graphing Data'!N3</f>
        <v>-2033.8051138153705</v>
      </c>
      <c r="O11" s="18">
        <f>'Valuation Model'!F10*'Graphing Data'!O3</f>
        <v>-1999.5049102628884</v>
      </c>
      <c r="P11" s="18">
        <f>'Valuation Model'!G10*'Graphing Data'!P3</f>
        <v>1083.3577673075913</v>
      </c>
    </row>
    <row r="12" spans="1:16">
      <c r="A12" t="s">
        <v>171</v>
      </c>
      <c r="L12" s="18">
        <f>'Valuation Model'!C11*'Graphing Data'!L4</f>
        <v>-1530.4495615000001</v>
      </c>
      <c r="M12" s="18">
        <f>'Valuation Model'!D11*'Graphing Data'!M4</f>
        <v>-1933.0919622387501</v>
      </c>
      <c r="N12" s="18">
        <f>'Valuation Model'!E11*'Graphing Data'!N4</f>
        <v>-2411.4604751420788</v>
      </c>
      <c r="O12" s="18">
        <f>'Valuation Model'!F11*'Graphing Data'!O4</f>
        <v>-1414.0157425489256</v>
      </c>
      <c r="P12" s="18">
        <f>'Valuation Model'!G11*'Graphing Data'!P4</f>
        <v>329.18577019301824</v>
      </c>
    </row>
    <row r="13" spans="1:16">
      <c r="A13" t="s">
        <v>172</v>
      </c>
      <c r="B13" s="20">
        <f>B10/B2</f>
        <v>6.4119036156232198E-2</v>
      </c>
      <c r="C13" s="20">
        <f t="shared" ref="C13:K13" si="2">C10/C2</f>
        <v>5.6354500981578397E-2</v>
      </c>
      <c r="D13" s="20">
        <f t="shared" si="2"/>
        <v>5.2617266516386346E-2</v>
      </c>
      <c r="E13" s="20">
        <f t="shared" si="2"/>
        <v>5.8482319507379595E-2</v>
      </c>
      <c r="F13" s="20">
        <f t="shared" si="2"/>
        <v>-2.0256895692827546E-2</v>
      </c>
      <c r="G13" s="20">
        <f t="shared" si="2"/>
        <v>-3.9308186739609591E-3</v>
      </c>
      <c r="H13" s="20">
        <f t="shared" si="2"/>
        <v>-2.0564309195706329E-2</v>
      </c>
      <c r="I13" s="20">
        <f t="shared" si="2"/>
        <v>-0.13123989075318263</v>
      </c>
      <c r="J13" s="20">
        <f t="shared" si="2"/>
        <v>-0.18225537204485867</v>
      </c>
      <c r="K13" s="20">
        <f t="shared" si="2"/>
        <v>-0.16361379356527439</v>
      </c>
    </row>
    <row r="14" spans="1:16">
      <c r="A14" t="s">
        <v>173</v>
      </c>
      <c r="K14" s="99">
        <f>K13</f>
        <v>-0.16361379356527439</v>
      </c>
      <c r="L14" s="99">
        <f>'Valuation Model'!C10</f>
        <v>-0.1</v>
      </c>
      <c r="M14" s="99">
        <f>'Valuation Model'!D10</f>
        <v>-0.1</v>
      </c>
      <c r="N14" s="99">
        <f>'Valuation Model'!E10</f>
        <v>-7.0000000000000007E-2</v>
      </c>
      <c r="O14" s="99">
        <f>'Valuation Model'!F10</f>
        <v>-0.05</v>
      </c>
      <c r="P14" s="99">
        <f>'Valuation Model'!G10</f>
        <v>0.02</v>
      </c>
    </row>
    <row r="15" spans="1:16">
      <c r="A15" t="s">
        <v>174</v>
      </c>
      <c r="K15" s="99">
        <f>K13</f>
        <v>-0.16361379356527439</v>
      </c>
      <c r="L15" s="99">
        <f>'Valuation Model'!C11</f>
        <v>-0.1</v>
      </c>
      <c r="M15" s="99">
        <f>'Valuation Model'!D11</f>
        <v>-0.1</v>
      </c>
      <c r="N15" s="99">
        <f>'Valuation Model'!E11</f>
        <v>-0.1</v>
      </c>
      <c r="O15" s="99">
        <f>'Valuation Model'!F11</f>
        <v>-0.05</v>
      </c>
      <c r="P15" s="99">
        <f>'Valuation Model'!G11</f>
        <v>0.01</v>
      </c>
    </row>
    <row r="17" spans="1:16">
      <c r="A17" s="10" t="s">
        <v>175</v>
      </c>
      <c r="B17" s="134">
        <f>B9</f>
        <v>39813</v>
      </c>
      <c r="C17" s="134">
        <f t="shared" ref="C17:K17" si="3">C9</f>
        <v>40178</v>
      </c>
      <c r="D17" s="134">
        <f t="shared" si="3"/>
        <v>40543</v>
      </c>
      <c r="E17" s="134">
        <f t="shared" si="3"/>
        <v>40908</v>
      </c>
      <c r="F17" s="134">
        <f t="shared" si="3"/>
        <v>41274</v>
      </c>
      <c r="G17" s="134">
        <f t="shared" si="3"/>
        <v>41639</v>
      </c>
      <c r="H17" s="134">
        <f t="shared" si="3"/>
        <v>42004</v>
      </c>
      <c r="I17" s="134">
        <f t="shared" si="3"/>
        <v>42369</v>
      </c>
      <c r="J17" s="134">
        <f t="shared" si="3"/>
        <v>42735</v>
      </c>
      <c r="K17" s="134">
        <f t="shared" si="3"/>
        <v>43100</v>
      </c>
    </row>
    <row r="18" spans="1:16">
      <c r="A18" t="s">
        <v>137</v>
      </c>
      <c r="B18" s="18">
        <f>B10</f>
        <v>87.500747999999987</v>
      </c>
      <c r="C18" s="18">
        <f t="shared" ref="C18:K18" si="4">C10</f>
        <v>94.127175999999963</v>
      </c>
      <c r="D18" s="18">
        <f t="shared" si="4"/>
        <v>113.79141600000003</v>
      </c>
      <c r="E18" s="18">
        <f t="shared" si="4"/>
        <v>187.41109599999999</v>
      </c>
      <c r="F18" s="18">
        <f t="shared" si="4"/>
        <v>-73.112848999999997</v>
      </c>
      <c r="G18" s="18">
        <f t="shared" si="4"/>
        <v>-17.195610000000002</v>
      </c>
      <c r="H18" s="18">
        <f t="shared" si="4"/>
        <v>-113.19944800000002</v>
      </c>
      <c r="I18" s="18">
        <f t="shared" si="4"/>
        <v>-889.74228299999993</v>
      </c>
      <c r="J18" s="18">
        <f t="shared" si="4"/>
        <v>-1609.436864</v>
      </c>
      <c r="K18" s="18">
        <f t="shared" si="4"/>
        <v>-1913.0891310000002</v>
      </c>
    </row>
    <row r="19" spans="1:16">
      <c r="A19" t="s">
        <v>176</v>
      </c>
      <c r="B19" s="18">
        <f>-'Company Analysis'!B28</f>
        <v>657.71654910853147</v>
      </c>
      <c r="C19" s="18">
        <f>-'Company Analysis'!C28</f>
        <v>937.56024938461758</v>
      </c>
      <c r="D19" s="18">
        <f>-'Company Analysis'!D28</f>
        <v>1568.0137701492436</v>
      </c>
      <c r="E19" s="18">
        <f>-'Company Analysis'!E28</f>
        <v>2033.6650992017917</v>
      </c>
      <c r="F19" s="18">
        <f>-'Company Analysis'!F28</f>
        <v>2306.4224451169193</v>
      </c>
      <c r="G19" s="18">
        <f>-'Company Analysis'!G28</f>
        <v>1112.6012622777273</v>
      </c>
      <c r="H19" s="18">
        <f>-'Company Analysis'!H28</f>
        <v>1172.3332975775938</v>
      </c>
      <c r="I19" s="18">
        <f>-'Company Analysis'!I28</f>
        <v>799.6877831746483</v>
      </c>
      <c r="J19" s="18">
        <f>-'Company Analysis'!J28</f>
        <v>85.769048078873411</v>
      </c>
      <c r="K19" s="18">
        <f>-'Company Analysis'!K28</f>
        <v>509.88054612106134</v>
      </c>
    </row>
    <row r="21" spans="1:16">
      <c r="A21" s="10" t="s">
        <v>177</v>
      </c>
      <c r="B21" s="134">
        <f>B17</f>
        <v>39813</v>
      </c>
      <c r="C21" s="134">
        <f t="shared" ref="C21:K21" si="5">C17</f>
        <v>40178</v>
      </c>
      <c r="D21" s="134">
        <f t="shared" si="5"/>
        <v>40543</v>
      </c>
      <c r="E21" s="134">
        <f t="shared" si="5"/>
        <v>40908</v>
      </c>
      <c r="F21" s="134">
        <f t="shared" si="5"/>
        <v>41274</v>
      </c>
      <c r="G21" s="134">
        <f t="shared" si="5"/>
        <v>41639</v>
      </c>
      <c r="H21" s="134">
        <f t="shared" si="5"/>
        <v>42004</v>
      </c>
      <c r="I21" s="134">
        <f t="shared" si="5"/>
        <v>42369</v>
      </c>
      <c r="J21" s="134">
        <f t="shared" si="5"/>
        <v>42735</v>
      </c>
      <c r="K21" s="134">
        <f t="shared" si="5"/>
        <v>43100</v>
      </c>
    </row>
    <row r="22" spans="1:16">
      <c r="A22" t="str">
        <f>'Company Analysis'!A19</f>
        <v>Capex in Excess of Maintenance</v>
      </c>
      <c r="B22" s="18">
        <f>-'Company Analysis'!B19</f>
        <v>-151.68425199999999</v>
      </c>
      <c r="C22" s="18">
        <f>-'Company Analysis'!C19</f>
        <v>-184.80382400000002</v>
      </c>
      <c r="D22" s="18">
        <f>-'Company Analysis'!D19</f>
        <v>-128.77258399999999</v>
      </c>
      <c r="E22" s="18">
        <f>-'Company Analysis'!E19</f>
        <v>-80.618904000000001</v>
      </c>
      <c r="F22" s="18">
        <f>-'Company Analysis'!F19</f>
        <v>-6.1458489999999983</v>
      </c>
      <c r="G22" s="18">
        <f>-'Company Analysis'!G19</f>
        <v>-60.883610000000004</v>
      </c>
      <c r="H22" s="18">
        <f>-'Company Analysis'!H19</f>
        <v>-59.956448000000023</v>
      </c>
      <c r="I22" s="18">
        <f>-'Company Analysis'!I19</f>
        <v>-49.055282999999989</v>
      </c>
      <c r="J22" s="18">
        <f>-'Company Analysis'!J19</f>
        <v>-27.799863999999999</v>
      </c>
      <c r="K22" s="18">
        <f>-'Company Analysis'!K19</f>
        <v>46.160868999999991</v>
      </c>
    </row>
    <row r="23" spans="1:16">
      <c r="A23" t="s">
        <v>179</v>
      </c>
      <c r="B23" s="18">
        <f>-'Company Analysis'!B20</f>
        <v>0</v>
      </c>
      <c r="C23" s="18">
        <f>-'Company Analysis'!C20</f>
        <v>0</v>
      </c>
      <c r="D23" s="18">
        <f>-'Company Analysis'!D20</f>
        <v>0</v>
      </c>
      <c r="E23" s="18">
        <f>-'Company Analysis'!E20</f>
        <v>0</v>
      </c>
      <c r="F23" s="18">
        <f>-'Company Analysis'!F20</f>
        <v>0</v>
      </c>
      <c r="G23" s="18">
        <f>-'Company Analysis'!G20</f>
        <v>0</v>
      </c>
      <c r="H23" s="18">
        <f>-'Company Analysis'!H20</f>
        <v>0</v>
      </c>
      <c r="I23" s="18">
        <f>-'Company Analysis'!I20</f>
        <v>0</v>
      </c>
      <c r="J23" s="18">
        <f>-'Company Analysis'!J20</f>
        <v>0</v>
      </c>
      <c r="K23" s="18">
        <f>-'Company Analysis'!K20</f>
        <v>0</v>
      </c>
    </row>
    <row r="24" spans="1:16">
      <c r="A24" t="s">
        <v>180</v>
      </c>
      <c r="B24" s="18">
        <f>-'Company Analysis'!B21</f>
        <v>0</v>
      </c>
      <c r="C24" s="18">
        <f>-'Company Analysis'!C21</f>
        <v>0</v>
      </c>
      <c r="D24" s="18">
        <f>-'Company Analysis'!D21</f>
        <v>0</v>
      </c>
      <c r="E24" s="18">
        <f>-'Company Analysis'!E21</f>
        <v>0</v>
      </c>
      <c r="F24" s="18">
        <f>-'Company Analysis'!F21</f>
        <v>0</v>
      </c>
      <c r="G24" s="18">
        <f>-'Company Analysis'!G21</f>
        <v>0</v>
      </c>
      <c r="H24" s="18">
        <f>-'Company Analysis'!H21</f>
        <v>0</v>
      </c>
      <c r="I24" s="18">
        <f>-'Company Analysis'!I21</f>
        <v>0</v>
      </c>
      <c r="J24" s="18">
        <f>-'Company Analysis'!J21</f>
        <v>0</v>
      </c>
      <c r="K24" s="18">
        <f>-'Company Analysis'!K21</f>
        <v>0</v>
      </c>
    </row>
    <row r="25" spans="1:16">
      <c r="A25" t="s">
        <v>181</v>
      </c>
      <c r="B25" s="18">
        <f>-'Company Analysis'!B22</f>
        <v>0</v>
      </c>
      <c r="C25" s="18">
        <f>-'Company Analysis'!C22</f>
        <v>0</v>
      </c>
      <c r="D25" s="18">
        <f>-'Company Analysis'!D22</f>
        <v>0</v>
      </c>
      <c r="E25" s="18">
        <f>-'Company Analysis'!E22</f>
        <v>0</v>
      </c>
      <c r="F25" s="18">
        <f>-'Company Analysis'!F22</f>
        <v>0</v>
      </c>
      <c r="G25" s="18">
        <f>-'Company Analysis'!G22</f>
        <v>0</v>
      </c>
      <c r="H25" s="18">
        <f>-'Company Analysis'!H22</f>
        <v>0</v>
      </c>
      <c r="I25" s="18">
        <f>-'Company Analysis'!I22</f>
        <v>0</v>
      </c>
      <c r="J25" s="18">
        <f>-'Company Analysis'!J22</f>
        <v>0</v>
      </c>
      <c r="K25" s="18">
        <f>-'Company Analysis'!K22</f>
        <v>0</v>
      </c>
    </row>
    <row r="26" spans="1:16">
      <c r="A26" t="s">
        <v>190</v>
      </c>
      <c r="B26" s="18">
        <f>'Company Analysis'!B23</f>
        <v>-823</v>
      </c>
      <c r="C26" s="18">
        <f>'Company Analysis'!C23</f>
        <v>-1158</v>
      </c>
      <c r="D26" s="18">
        <f>'Company Analysis'!D23</f>
        <v>-1776</v>
      </c>
      <c r="E26" s="18">
        <f>'Company Analysis'!E23</f>
        <v>-2083</v>
      </c>
      <c r="F26" s="18">
        <f>'Company Analysis'!F23</f>
        <v>-2319</v>
      </c>
      <c r="G26" s="18">
        <f>'Company Analysis'!G23</f>
        <v>-1180</v>
      </c>
      <c r="H26" s="18">
        <f>'Company Analysis'!H23</f>
        <v>-1093</v>
      </c>
      <c r="I26" s="18">
        <f>'Company Analysis'!I23</f>
        <v>-545</v>
      </c>
      <c r="J26" s="18">
        <f>'Company Analysis'!J23</f>
        <v>0</v>
      </c>
      <c r="K26" s="18">
        <f>'Company Analysis'!K23</f>
        <v>0</v>
      </c>
    </row>
    <row r="27" spans="1:16">
      <c r="A27" t="s">
        <v>182</v>
      </c>
      <c r="B27" s="18">
        <f>-'Company Analysis'!B27</f>
        <v>-13.599198891468479</v>
      </c>
      <c r="C27" s="18">
        <f>-'Company Analysis'!C27</f>
        <v>-35.635926615382395</v>
      </c>
      <c r="D27" s="18">
        <f>-'Company Analysis'!D27</f>
        <v>-79.213645850756407</v>
      </c>
      <c r="E27" s="18">
        <f>-'Company Analysis'!E27</f>
        <v>31.28400320179172</v>
      </c>
      <c r="F27" s="18">
        <f>-'Company Analysis'!F27</f>
        <v>-6.4317058830808636</v>
      </c>
      <c r="G27" s="18">
        <f>-'Company Analysis'!G27</f>
        <v>-6.5151277222726378</v>
      </c>
      <c r="H27" s="18">
        <f>-'Company Analysis'!H27</f>
        <v>139.28974557759369</v>
      </c>
      <c r="I27" s="18">
        <f>-'Company Analysis'!I27</f>
        <v>303.74306617464833</v>
      </c>
      <c r="J27" s="18">
        <f>-'Company Analysis'!J27</f>
        <v>113.56891207887341</v>
      </c>
      <c r="K27" s="18">
        <f>-'Company Analysis'!K27</f>
        <v>463.71967712106135</v>
      </c>
    </row>
    <row r="29" spans="1:16">
      <c r="A29" s="10" t="s">
        <v>73</v>
      </c>
      <c r="B29" s="134">
        <f>B1</f>
        <v>39813</v>
      </c>
      <c r="C29" s="134">
        <f t="shared" ref="C29:P29" si="6">C1</f>
        <v>40178</v>
      </c>
      <c r="D29" s="134">
        <f t="shared" si="6"/>
        <v>40543</v>
      </c>
      <c r="E29" s="134">
        <f t="shared" si="6"/>
        <v>40908</v>
      </c>
      <c r="F29" s="134">
        <f t="shared" si="6"/>
        <v>41274</v>
      </c>
      <c r="G29" s="134">
        <f t="shared" si="6"/>
        <v>41639</v>
      </c>
      <c r="H29" s="134">
        <f t="shared" si="6"/>
        <v>42004</v>
      </c>
      <c r="I29" s="134">
        <f t="shared" si="6"/>
        <v>42369</v>
      </c>
      <c r="J29" s="134">
        <f t="shared" si="6"/>
        <v>42735</v>
      </c>
      <c r="K29" s="134">
        <f t="shared" si="6"/>
        <v>43100</v>
      </c>
      <c r="L29" s="134">
        <f t="shared" si="6"/>
        <v>43465</v>
      </c>
      <c r="M29" s="134">
        <f t="shared" si="6"/>
        <v>43830</v>
      </c>
      <c r="N29" s="134">
        <f t="shared" si="6"/>
        <v>44195</v>
      </c>
      <c r="O29" s="134">
        <f t="shared" si="6"/>
        <v>44560</v>
      </c>
      <c r="P29" s="134">
        <f t="shared" si="6"/>
        <v>44925</v>
      </c>
    </row>
    <row r="30" spans="1:16">
      <c r="A30" t="s">
        <v>183</v>
      </c>
      <c r="B30" s="18">
        <f>'Company Analysis'!B32</f>
        <v>-570.21580110853142</v>
      </c>
      <c r="C30" s="18">
        <f>'Company Analysis'!C32</f>
        <v>-843.43307338461761</v>
      </c>
      <c r="D30" s="18">
        <f>'Company Analysis'!D32</f>
        <v>-1454.2223541492435</v>
      </c>
      <c r="E30" s="18">
        <f>'Company Analysis'!E32</f>
        <v>-1846.2540032017916</v>
      </c>
      <c r="F30" s="18">
        <f>'Company Analysis'!F32</f>
        <v>-2379.5352941169194</v>
      </c>
      <c r="G30" s="18">
        <f>'Company Analysis'!G32</f>
        <v>-1129.7968722777273</v>
      </c>
      <c r="H30" s="18">
        <f>'Company Analysis'!H32</f>
        <v>-1285.5327455775939</v>
      </c>
      <c r="I30" s="18">
        <f>'Company Analysis'!I32</f>
        <v>-1689.4300661746483</v>
      </c>
      <c r="J30" s="18">
        <f>'Company Analysis'!J32</f>
        <v>-1695.2059120788733</v>
      </c>
      <c r="K30" s="18">
        <f>'Company Analysis'!K32</f>
        <v>-2422.9696771210615</v>
      </c>
    </row>
    <row r="31" spans="1:16">
      <c r="A31" t="s">
        <v>184</v>
      </c>
      <c r="L31" s="18">
        <f>L11*(1-'Valuation Model'!C12)</f>
        <v>-2033.5785587000005</v>
      </c>
      <c r="M31" s="18">
        <f>M11*(1-'Valuation Model'!D12)</f>
        <v>-2777.6433565530006</v>
      </c>
      <c r="N31" s="18">
        <f>N11*(1-'Valuation Model'!E12)</f>
        <v>-2643.9466479599819</v>
      </c>
      <c r="O31" s="18">
        <f>O11*(1-'Valuation Model'!F12)</f>
        <v>-2599.3563833417552</v>
      </c>
      <c r="P31" s="18">
        <f>P11*(1-'Valuation Model'!G12)</f>
        <v>704.18254874993443</v>
      </c>
    </row>
    <row r="32" spans="1:16">
      <c r="A32" t="s">
        <v>185</v>
      </c>
      <c r="L32" s="18">
        <f>L12*(1-'Valuation Model'!C12)</f>
        <v>-1989.5844299500002</v>
      </c>
      <c r="M32" s="18">
        <f>M12*(1-'Valuation Model'!D12)</f>
        <v>-2513.0195509103751</v>
      </c>
      <c r="N32" s="18">
        <f>N12*(1-'Valuation Model'!E12)</f>
        <v>-3134.8986176847025</v>
      </c>
      <c r="O32" s="18">
        <f>O12*(1-'Valuation Model'!F12)</f>
        <v>-1838.2204653136032</v>
      </c>
      <c r="P32" s="18">
        <f>P12*(1-'Valuation Model'!G12)</f>
        <v>213.97075062546187</v>
      </c>
    </row>
    <row r="33" spans="1:16">
      <c r="A33" t="s">
        <v>186</v>
      </c>
      <c r="B33" s="20">
        <f t="shared" ref="B33:J33" si="7">B30/B2</f>
        <v>-0.41784428594979367</v>
      </c>
      <c r="C33" s="20">
        <f t="shared" si="7"/>
        <v>-0.50496840531951293</v>
      </c>
      <c r="D33" s="20">
        <f t="shared" si="7"/>
        <v>-0.67243389591318126</v>
      </c>
      <c r="E33" s="20">
        <f t="shared" si="7"/>
        <v>-0.57613032958852028</v>
      </c>
      <c r="F33" s="20">
        <f t="shared" si="7"/>
        <v>-0.65928217693073565</v>
      </c>
      <c r="G33" s="20">
        <f t="shared" si="7"/>
        <v>-0.2582651411221803</v>
      </c>
      <c r="H33" s="20">
        <f t="shared" si="7"/>
        <v>-0.23353552802892569</v>
      </c>
      <c r="I33" s="20">
        <f t="shared" si="7"/>
        <v>-0.24919644885518266</v>
      </c>
      <c r="J33" s="20">
        <f t="shared" si="7"/>
        <v>-0.19196800515101103</v>
      </c>
      <c r="K33" s="20">
        <f>K30/K2</f>
        <v>-0.20722048656467165</v>
      </c>
    </row>
    <row r="34" spans="1:16">
      <c r="A34" t="s">
        <v>187</v>
      </c>
      <c r="K34" s="99">
        <f>K33</f>
        <v>-0.20722048656467165</v>
      </c>
      <c r="L34" s="135">
        <f>(1-'Valuation Model'!C12)*'Valuation Model'!C10</f>
        <v>-0.13</v>
      </c>
      <c r="M34" s="135">
        <f>(1-'Valuation Model'!D12)*'Valuation Model'!D10</f>
        <v>-0.13</v>
      </c>
      <c r="N34" s="135">
        <f>(1-'Valuation Model'!E12)*'Valuation Model'!E10</f>
        <v>-9.1000000000000011E-2</v>
      </c>
      <c r="O34" s="135">
        <f>(1-'Valuation Model'!F12)*'Valuation Model'!F10</f>
        <v>-6.5000000000000002E-2</v>
      </c>
      <c r="P34" s="135">
        <f>(1-'Valuation Model'!G12)*'Valuation Model'!G10</f>
        <v>1.3000000000000001E-2</v>
      </c>
    </row>
    <row r="35" spans="1:16">
      <c r="A35" t="s">
        <v>188</v>
      </c>
      <c r="K35" s="99">
        <f>K33</f>
        <v>-0.20722048656467165</v>
      </c>
      <c r="L35" s="135">
        <f>(1-'Valuation Model'!C12)*'Valuation Model'!C11</f>
        <v>-0.13</v>
      </c>
      <c r="M35" s="135">
        <f>(1-'Valuation Model'!D12)*'Valuation Model'!D11</f>
        <v>-0.13</v>
      </c>
      <c r="N35" s="135">
        <f>(1-'Valuation Model'!E12)*'Valuation Model'!E11</f>
        <v>-0.13</v>
      </c>
      <c r="O35" s="135">
        <f>(1-'Valuation Model'!F12)*'Valuation Model'!F11</f>
        <v>-6.5000000000000002E-2</v>
      </c>
      <c r="P35" s="135">
        <f>(1-'Valuation Model'!G12)*'Valuation Model'!G11</f>
        <v>6.5000000000000006E-3</v>
      </c>
    </row>
    <row r="37" spans="1:16">
      <c r="A37" s="10" t="s">
        <v>153</v>
      </c>
      <c r="B37" s="134">
        <f>B1</f>
        <v>39813</v>
      </c>
      <c r="C37" s="134">
        <f t="shared" ref="C37:K37" si="8">C1</f>
        <v>40178</v>
      </c>
      <c r="D37" s="134">
        <f t="shared" si="8"/>
        <v>40543</v>
      </c>
      <c r="E37" s="134">
        <f t="shared" si="8"/>
        <v>40908</v>
      </c>
      <c r="F37" s="134">
        <f t="shared" si="8"/>
        <v>41274</v>
      </c>
      <c r="G37" s="134">
        <f t="shared" si="8"/>
        <v>41639</v>
      </c>
      <c r="H37" s="134">
        <f t="shared" si="8"/>
        <v>42004</v>
      </c>
      <c r="I37" s="134">
        <f t="shared" si="8"/>
        <v>42369</v>
      </c>
      <c r="J37" s="134">
        <f t="shared" si="8"/>
        <v>42735</v>
      </c>
      <c r="K37" s="134">
        <f t="shared" si="8"/>
        <v>43100</v>
      </c>
    </row>
    <row r="38" spans="1:16">
      <c r="A38" t="str">
        <f>ticker&amp;" Actual OCP ($, LHS)"</f>
        <v>NFLX Actual OCP ($, LHS)</v>
      </c>
      <c r="B38" s="18">
        <f>B10</f>
        <v>87.500747999999987</v>
      </c>
      <c r="C38" s="18">
        <f t="shared" ref="C38:K38" si="9">C10</f>
        <v>94.127175999999963</v>
      </c>
      <c r="D38" s="18">
        <f t="shared" si="9"/>
        <v>113.79141600000003</v>
      </c>
      <c r="E38" s="18">
        <f t="shared" si="9"/>
        <v>187.41109599999999</v>
      </c>
      <c r="F38" s="18">
        <f t="shared" si="9"/>
        <v>-73.112848999999997</v>
      </c>
      <c r="G38" s="18">
        <f t="shared" si="9"/>
        <v>-17.195610000000002</v>
      </c>
      <c r="H38" s="18">
        <f t="shared" si="9"/>
        <v>-113.19944800000002</v>
      </c>
      <c r="I38" s="18">
        <f t="shared" si="9"/>
        <v>-889.74228299999993</v>
      </c>
      <c r="J38" s="18">
        <f t="shared" si="9"/>
        <v>-1609.436864</v>
      </c>
      <c r="K38" s="18">
        <f t="shared" si="9"/>
        <v>-1913.0891310000002</v>
      </c>
    </row>
    <row r="39" spans="1:16">
      <c r="A39" t="str">
        <f>ticker&amp;" OCP if GDP-Growth ($, LHS)"</f>
        <v>NFLX OCP if GDP-Growth ($, LHS)</v>
      </c>
      <c r="B39" s="18">
        <f>B38</f>
        <v>87.500747999999987</v>
      </c>
      <c r="C39" s="18">
        <f>(1+'Company Analysis'!C40)*B39</f>
        <v>87.600577718197357</v>
      </c>
      <c r="D39" s="18">
        <f>(1+'Company Analysis'!D40)*C39</f>
        <v>91.591962294558712</v>
      </c>
      <c r="E39" s="18">
        <f>(1+'Company Analysis'!E40)*D39</f>
        <v>94.930244015725165</v>
      </c>
      <c r="F39" s="18">
        <f>(1+'Company Analysis'!F40)*E39</f>
        <v>98.221016413171213</v>
      </c>
      <c r="G39" s="18">
        <f>(1+'Company Analysis'!G40)*F39</f>
        <v>102.70613712591839</v>
      </c>
      <c r="H39" s="18">
        <f>(1+'Company Analysis'!H40)*G39</f>
        <v>106.4671916898123</v>
      </c>
      <c r="I39" s="18">
        <f>(1+'Company Analysis'!I40)*H39</f>
        <v>109.24017259709001</v>
      </c>
      <c r="J39" s="18">
        <f>(1+'Company Analysis'!J40)*I39</f>
        <v>113.47752316587744</v>
      </c>
      <c r="K39" s="18">
        <f>(1+'Company Analysis'!K40)*J39</f>
        <v>118.79797806639881</v>
      </c>
    </row>
    <row r="40" spans="1:16" ht="16.5">
      <c r="A40" t="str">
        <f>ticker&amp;" - GDP Growth Difference (YoY, %, RHS)"</f>
        <v>NFLX - GDP Growth Difference (YoY, %, RHS)</v>
      </c>
      <c r="B40" s="136"/>
      <c r="C40" s="99">
        <f>'Company Analysis'!C41-'Company Analysis'!C40</f>
        <v>7.4589057019290861E-2</v>
      </c>
      <c r="D40" s="99">
        <f>'Company Analysis'!D41-'Company Analysis'!D40</f>
        <v>0.16334794838270517</v>
      </c>
      <c r="E40" s="99">
        <f>'Company Analysis'!E41-'Company Analysis'!E40</f>
        <v>0.61052309645697989</v>
      </c>
      <c r="F40" s="99">
        <f>'Company Analysis'!F41-'Company Analysis'!F40</f>
        <v>-1.4247853351248938</v>
      </c>
      <c r="G40" s="99">
        <f>'Company Analysis'!G41-'Company Analysis'!G40</f>
        <v>-0.81047083184560376</v>
      </c>
      <c r="H40" s="99">
        <f>'Company Analysis'!H41-'Company Analysis'!H40</f>
        <v>5.5464238929738068</v>
      </c>
      <c r="I40" s="99">
        <f>'Company Analysis'!I41-'Company Analysis'!I40</f>
        <v>6.8339070855225268</v>
      </c>
      <c r="J40" s="99">
        <f>'Company Analysis'!J41-'Company Analysis'!J40</f>
        <v>0.77009051689594599</v>
      </c>
      <c r="K40" s="99">
        <f>'Company Analysis'!K41-'Company Analysis'!K40</f>
        <v>0.14178434479949953</v>
      </c>
    </row>
    <row r="41" spans="1:16" ht="16.5">
      <c r="A41" t="str">
        <f>ticker&amp;" - GDP Growth Difference (3Y, %, RHS)"</f>
        <v>NFLX - GDP Growth Difference (3Y, %, RHS)</v>
      </c>
      <c r="B41" s="137"/>
      <c r="C41" s="99"/>
      <c r="D41" s="99"/>
      <c r="E41" s="99">
        <f>'Company Analysis'!E43-'Company Analysis'!E42</f>
        <v>0.31034057059319653</v>
      </c>
      <c r="F41" s="99">
        <f>'Company Analysis'!F43-'Company Analysis'!F42</f>
        <v>-0.46178274080796045</v>
      </c>
      <c r="G41" s="99">
        <f>'Company Analysis'!G43-'Company Analysis'!G42</f>
        <v>-0.61331093156993255</v>
      </c>
      <c r="H41" s="99">
        <f>'Company Analysis'!H43-'Company Analysis'!H42</f>
        <v>-3.1347970245249916</v>
      </c>
      <c r="I41" s="99">
        <f>'Company Analysis'!I43-'Company Analysis'!I42</f>
        <v>3.9769181644437697</v>
      </c>
      <c r="J41" s="99">
        <f>'Company Analysis'!J43-'Company Analysis'!J42</f>
        <v>1.5269823815854771</v>
      </c>
      <c r="K41" s="99">
        <f>'Company Analysis'!K43-'Company Analysis'!K42</f>
        <v>0.65152646305249329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55"/>
  <sheetViews>
    <sheetView topLeftCell="B1" zoomScale="110" zoomScaleNormal="110" workbookViewId="0">
      <selection activeCell="C5" sqref="C5"/>
    </sheetView>
  </sheetViews>
  <sheetFormatPr defaultColWidth="9.140625" defaultRowHeight="15"/>
  <cols>
    <col min="1" max="1" width="4.7109375" style="77" bestFit="1" customWidth="1"/>
    <col min="2" max="2" width="14.42578125" style="77" bestFit="1" customWidth="1"/>
    <col min="3" max="3" width="9.28515625" style="77" bestFit="1" customWidth="1"/>
    <col min="4" max="4" width="12.28515625" style="77" bestFit="1" customWidth="1"/>
    <col min="5" max="7" width="12.28515625" style="77" customWidth="1"/>
    <col min="8" max="8" width="16.140625" style="77" bestFit="1" customWidth="1"/>
    <col min="9" max="10" width="12.28515625" style="77" customWidth="1"/>
    <col min="11" max="11" width="10.85546875" style="77" bestFit="1" customWidth="1"/>
    <col min="12" max="12" width="10.5703125" style="77" bestFit="1" customWidth="1"/>
    <col min="13" max="14" width="9.140625" style="77"/>
    <col min="15" max="15" width="13.85546875" style="77" bestFit="1" customWidth="1"/>
    <col min="16" max="16384" width="9.140625" style="77"/>
  </cols>
  <sheetData>
    <row r="1" spans="1:15">
      <c r="A1" s="77" t="s">
        <v>100</v>
      </c>
      <c r="B1" s="78">
        <f ca="1">MAX(C5:C12)+10</f>
        <v>963</v>
      </c>
      <c r="D1" s="77" t="s">
        <v>101</v>
      </c>
      <c r="E1" s="77">
        <v>5</v>
      </c>
    </row>
    <row r="2" spans="1:15">
      <c r="A2" s="77" t="s">
        <v>102</v>
      </c>
      <c r="B2" s="78">
        <f ca="1">MIN(C5:C12)-10</f>
        <v>14</v>
      </c>
    </row>
    <row r="4" spans="1:15" s="79" customFormat="1" ht="12">
      <c r="B4" s="80" t="s">
        <v>103</v>
      </c>
      <c r="C4" s="81" t="s">
        <v>104</v>
      </c>
      <c r="D4" s="79" t="s">
        <v>105</v>
      </c>
      <c r="E4" s="79" t="s">
        <v>106</v>
      </c>
      <c r="F4" s="79" t="s">
        <v>107</v>
      </c>
      <c r="G4" s="79" t="s">
        <v>108</v>
      </c>
      <c r="H4" s="79" t="s">
        <v>109</v>
      </c>
      <c r="J4" s="79" t="s">
        <v>110</v>
      </c>
      <c r="K4" s="79" t="s">
        <v>111</v>
      </c>
      <c r="L4" s="79" t="s">
        <v>56</v>
      </c>
      <c r="M4" s="79" t="s">
        <v>112</v>
      </c>
      <c r="N4" s="79" t="s">
        <v>113</v>
      </c>
      <c r="O4" s="79" t="s">
        <v>114</v>
      </c>
    </row>
    <row r="5" spans="1:15" s="79" customFormat="1" ht="12">
      <c r="A5" s="82"/>
      <c r="B5" s="88" t="str">
        <f>'Valuation Model'!I2</f>
        <v>23% | -7% | 27%</v>
      </c>
      <c r="C5" s="89">
        <f ca="1">'Valuation Model'!K2</f>
        <v>24</v>
      </c>
      <c r="D5" s="84">
        <f t="shared" ref="D5:D12" ca="1" si="0">IF(ABS(INDEX($K$6:$K$55,MATCH(C5,$K$6:$K$55,1)+IF(C5&gt;=MAX($K$6:$K$55),0,1),1)-C5)&lt;ABS(INDEX($K$6:$K$55,MATCH(C5,$K$6:$K$55,1))-C5),INDEX($K$6:$K$55,MATCH(C5,$K$6:$K$55,1)+IF(C5&gt;=MAX($K$6:$K$55),0,1),1),INDEX($K$6:$K$55,MATCH(C5,$K$6:$K$55,1)))</f>
        <v>19.260000000000002</v>
      </c>
      <c r="E5" s="85">
        <f>IF(H5="N",5%/COUNTIF('Valuation Model'!$L$2:$L$9,"No"),IF(G5&lt;&gt;"Y",50%/(COUNTIF('Valuation Model'!$L$2:$L$9,"Yes")-COUNTIF(G$5:G$12,"Y")),45%/(COUNTIF(G$5:G$12,"Y"))))</f>
        <v>6.25E-2</v>
      </c>
      <c r="F5" s="79" t="s">
        <v>51</v>
      </c>
      <c r="G5" s="79" t="str">
        <f>IF(LEFT('Valuation Model'!L2,1)="M","Y","")</f>
        <v/>
      </c>
      <c r="H5" s="79" t="str">
        <f>IF(LEFT('Valuation Model'!L2,1)="M","Y",LEFT('Valuation Model'!L2,1))</f>
        <v>Y</v>
      </c>
      <c r="J5" s="86">
        <v>0</v>
      </c>
      <c r="K5" s="84">
        <f t="shared" ref="K5:K55" ca="1" si="1">$B$1*J5</f>
        <v>0</v>
      </c>
      <c r="L5" s="87" t="str">
        <f t="shared" ref="L5:L55" ca="1" si="2">IFERROR(IF(VLOOKUP(K5,$D$5:$F$16,3,FALSE)="Scenario",IF(VLOOKUP(K5,$D$5:$H$16,5,FALSE)="Y",VLOOKUP(K5,$D$5:$E$16,2,0),""),IF(VLOOKUP(K5,$D$5:$F$16,3,FALSE)&lt;&gt;"Scenario","")),"")</f>
        <v/>
      </c>
      <c r="M5" s="85" t="str">
        <f t="shared" ref="M5:M55" ca="1" si="3">IFERROR(IF(VLOOKUP(K5,$D$5:$F$16,3,FALSE)="Scenario",IF(VLOOKUP(K5,$D$5:$H$16,5,FALSE)="N",VLOOKUP(K5,$D$5:$E$16,2,0),""),IF(VLOOKUP(K5,$D$5:$F$16,3,FALSE)&lt;&gt;"Scenario","")),"")</f>
        <v/>
      </c>
      <c r="N5" s="84">
        <f ca="1">LN('Histogram Data'!K5+0.01)-LN(price)</f>
        <v>-10.335075144789863</v>
      </c>
      <c r="O5" s="84">
        <f ca="1">_xlfn.NORM.DIST(N5,0+0.03^3,AVERAGE('Valuation Model'!$K$22:$L$22),FALSE)/scaling</f>
        <v>0</v>
      </c>
    </row>
    <row r="6" spans="1:15" s="79" customFormat="1" ht="12">
      <c r="A6" s="82"/>
      <c r="B6" s="88" t="str">
        <f>'Valuation Model'!I6</f>
        <v>36% | -7% | 27%</v>
      </c>
      <c r="C6" s="89">
        <f ca="1">'Valuation Model'!K6</f>
        <v>49</v>
      </c>
      <c r="D6" s="84">
        <f t="shared" ca="1" si="0"/>
        <v>57.78</v>
      </c>
      <c r="E6" s="85">
        <f>IF(H6="N",5%/COUNTIF('Valuation Model'!$L$2:$L$9,"No"),IF(G6&lt;&gt;"Y",50%/(COUNTIF('Valuation Model'!$L$2:$L$9,"Yes")-COUNTIF(G$5:G$12,"Y")),45%/(COUNTIF(G$5:G$12,"Y"))))</f>
        <v>6.25E-2</v>
      </c>
      <c r="F6" s="79" t="s">
        <v>51</v>
      </c>
      <c r="G6" s="79" t="str">
        <f>IF(LEFT('Valuation Model'!L3,1)="M","Y","")</f>
        <v/>
      </c>
      <c r="H6" s="79" t="str">
        <f>IF(LEFT('Valuation Model'!L6,1)="M","Y",LEFT('Valuation Model'!L6,1))</f>
        <v>Y</v>
      </c>
      <c r="J6" s="86">
        <v>0.02</v>
      </c>
      <c r="K6" s="84">
        <f t="shared" ca="1" si="1"/>
        <v>19.260000000000002</v>
      </c>
      <c r="L6" s="87">
        <f t="shared" ca="1" si="2"/>
        <v>6.25E-2</v>
      </c>
      <c r="M6" s="85" t="str">
        <f t="shared" ca="1" si="3"/>
        <v/>
      </c>
      <c r="N6" s="84">
        <f ca="1">LN('Histogram Data'!K6+0.01)-LN(price)</f>
        <v>-2.7713554763754975</v>
      </c>
      <c r="O6" s="84">
        <f ca="1">_xlfn.NORM.DIST(N6,0+0.03^3,AVERAGE('Valuation Model'!$K$22:$L$22),FALSE)/scaling</f>
        <v>2.7727574599802379E-27</v>
      </c>
    </row>
    <row r="7" spans="1:15" s="79" customFormat="1" ht="12">
      <c r="A7" s="82"/>
      <c r="B7" s="88" t="str">
        <f>'Valuation Model'!I4</f>
        <v>23% | -6% | 27%</v>
      </c>
      <c r="C7" s="89">
        <f ca="1">'Valuation Model'!K4</f>
        <v>68</v>
      </c>
      <c r="D7" s="84">
        <f t="shared" ca="1" si="0"/>
        <v>77.040000000000006</v>
      </c>
      <c r="E7" s="85">
        <f>IF(H7="N",5%/COUNTIF('Valuation Model'!$L$2:$L$9,"No"),IF(G7&lt;&gt;"Y",50%/(COUNTIF('Valuation Model'!$L$2:$L$9,"Yes")-COUNTIF(G$5:G$12,"Y")),45%/(COUNTIF(G$5:G$12,"Y"))))</f>
        <v>6.25E-2</v>
      </c>
      <c r="F7" s="79" t="s">
        <v>51</v>
      </c>
      <c r="G7" s="79" t="str">
        <f>IF(LEFT('Valuation Model'!L4,1)="M","Y","")</f>
        <v/>
      </c>
      <c r="H7" s="79" t="str">
        <f>IF(LEFT('Valuation Model'!L4,1)="M","Y",LEFT('Valuation Model'!L4,1))</f>
        <v>Y</v>
      </c>
      <c r="J7" s="86">
        <f>J6+2%</f>
        <v>0.04</v>
      </c>
      <c r="K7" s="84">
        <f t="shared" ca="1" si="1"/>
        <v>38.520000000000003</v>
      </c>
      <c r="L7" s="87" t="str">
        <f t="shared" ca="1" si="2"/>
        <v/>
      </c>
      <c r="M7" s="85" t="str">
        <f t="shared" ca="1" si="3"/>
        <v/>
      </c>
      <c r="N7" s="84">
        <f ca="1">LN('Histogram Data'!K7+0.01)-LN(price)</f>
        <v>-2.0784678001637062</v>
      </c>
      <c r="O7" s="84">
        <f ca="1">_xlfn.NORM.DIST(N7,0+0.03^3,AVERAGE('Valuation Model'!$K$22:$L$22),FALSE)/scaling</f>
        <v>6.9656972360566207E-16</v>
      </c>
    </row>
    <row r="8" spans="1:15" s="79" customFormat="1" ht="12">
      <c r="A8" s="82"/>
      <c r="B8" s="88" t="str">
        <f>'Valuation Model'!I3</f>
        <v>23% | -7% | 47%</v>
      </c>
      <c r="C8" s="89">
        <f ca="1">'Valuation Model'!K3</f>
        <v>277</v>
      </c>
      <c r="D8" s="84">
        <f t="shared" ca="1" si="0"/>
        <v>269.64</v>
      </c>
      <c r="E8" s="85">
        <f>IF(H8="N",5%/COUNTIF('Valuation Model'!$L$2:$L$9,"No"),IF(G8&lt;&gt;"Y",50%/(COUNTIF('Valuation Model'!$L$2:$L$9,"Yes")-COUNTIF(G$5:G$12,"Y")),45%/(COUNTIF(G$5:G$12,"Y"))))</f>
        <v>6.25E-2</v>
      </c>
      <c r="F8" s="79" t="s">
        <v>51</v>
      </c>
      <c r="G8" s="79" t="str">
        <f>IF(LEFT('Valuation Model'!L6,1)="M","Y","")</f>
        <v/>
      </c>
      <c r="H8" s="79" t="str">
        <f>IF(LEFT('Valuation Model'!L3,1)="M","Y",LEFT('Valuation Model'!L3,1))</f>
        <v>Y</v>
      </c>
      <c r="J8" s="86">
        <f t="shared" ref="J8:J55" si="4">J7+2%</f>
        <v>0.06</v>
      </c>
      <c r="K8" s="84">
        <f t="shared" ca="1" si="1"/>
        <v>57.78</v>
      </c>
      <c r="L8" s="87">
        <f t="shared" ca="1" si="2"/>
        <v>6.25E-2</v>
      </c>
      <c r="M8" s="85" t="str">
        <f t="shared" ca="1" si="3"/>
        <v/>
      </c>
      <c r="N8" s="84">
        <f ca="1">LN('Histogram Data'!K8+0.01)-LN(price)</f>
        <v>-1.6730892084720859</v>
      </c>
      <c r="O8" s="84">
        <f ca="1">_xlfn.NORM.DIST(N8,0+0.03^3,AVERAGE('Valuation Model'!$K$22:$L$22),FALSE)/scaling</f>
        <v>1.0052583613887849E-10</v>
      </c>
    </row>
    <row r="9" spans="1:15" s="79" customFormat="1" ht="12">
      <c r="A9" s="82"/>
      <c r="B9" s="88" t="str">
        <f>'Valuation Model'!I8</f>
        <v>36% | -6% | 27%</v>
      </c>
      <c r="C9" s="89">
        <f ca="1">'Valuation Model'!K8</f>
        <v>120</v>
      </c>
      <c r="D9" s="84">
        <f t="shared" ca="1" si="0"/>
        <v>115.56</v>
      </c>
      <c r="E9" s="85">
        <f>IF(H9="N",5%/COUNTIF('Valuation Model'!$L$2:$L$9,"No"),IF(G9&lt;&gt;"Y",50%/(COUNTIF('Valuation Model'!$L$2:$L$9,"Yes")-COUNTIF(G$5:G$12,"Y")),45%/(COUNTIF(G$5:G$12,"Y"))))</f>
        <v>6.25E-2</v>
      </c>
      <c r="F9" s="79" t="s">
        <v>51</v>
      </c>
      <c r="G9" s="79" t="str">
        <f>IF(LEFT('Valuation Model'!L5,1)="M","Y","")</f>
        <v/>
      </c>
      <c r="H9" s="79" t="str">
        <f>IF(LEFT('Valuation Model'!L8,1)="M","Y",LEFT('Valuation Model'!L8,1))</f>
        <v>Y</v>
      </c>
      <c r="J9" s="86">
        <f t="shared" si="4"/>
        <v>0.08</v>
      </c>
      <c r="K9" s="84">
        <f t="shared" ca="1" si="1"/>
        <v>77.040000000000006</v>
      </c>
      <c r="L9" s="87">
        <f t="shared" ca="1" si="2"/>
        <v>6.25E-2</v>
      </c>
      <c r="M9" s="85" t="str">
        <f t="shared" ca="1" si="3"/>
        <v/>
      </c>
      <c r="N9" s="84">
        <f ca="1">LN('Histogram Data'!K9+0.01)-LN(price)</f>
        <v>-1.3854503970356475</v>
      </c>
      <c r="O9" s="84">
        <f ca="1">_xlfn.NORM.DIST(N9,0+0.03^3,AVERAGE('Valuation Model'!$K$22:$L$22),FALSE)/scaling</f>
        <v>9.7018142760871314E-8</v>
      </c>
    </row>
    <row r="10" spans="1:15" s="79" customFormat="1" ht="12">
      <c r="A10" s="82"/>
      <c r="B10" s="88" t="str">
        <f>'Valuation Model'!I7</f>
        <v>36% | -7% | 47%</v>
      </c>
      <c r="C10" s="89">
        <f ca="1">'Valuation Model'!K7</f>
        <v>465</v>
      </c>
      <c r="D10" s="84">
        <f t="shared" ca="1" si="0"/>
        <v>462.24000000000012</v>
      </c>
      <c r="E10" s="85">
        <f>IF(H10="N",5%/COUNTIF('Valuation Model'!$L$2:$L$9,"No"),IF(G10&lt;&gt;"Y",50%/(COUNTIF('Valuation Model'!$L$2:$L$9,"Yes")-COUNTIF(G$5:G$12,"Y")),45%/(COUNTIF(G$5:G$12,"Y"))))</f>
        <v>6.25E-2</v>
      </c>
      <c r="F10" s="79" t="s">
        <v>51</v>
      </c>
      <c r="G10" s="79" t="str">
        <f>IF(LEFT('Valuation Model'!L7,1)="M","Y","")</f>
        <v/>
      </c>
      <c r="H10" s="79" t="str">
        <f>IF(LEFT('Valuation Model'!L7,1)="M","Y",LEFT('Valuation Model'!L7,1))</f>
        <v>Y</v>
      </c>
      <c r="J10" s="86">
        <f t="shared" si="4"/>
        <v>0.1</v>
      </c>
      <c r="K10" s="84">
        <f t="shared" ca="1" si="1"/>
        <v>96.300000000000011</v>
      </c>
      <c r="L10" s="87" t="str">
        <f t="shared" ca="1" si="2"/>
        <v/>
      </c>
      <c r="M10" s="85" t="str">
        <f t="shared" ca="1" si="3"/>
        <v/>
      </c>
      <c r="N10" s="84">
        <f ca="1">LN('Histogram Data'!K10+0.01)-LN(price)</f>
        <v>-1.162332803228999</v>
      </c>
      <c r="O10" s="84">
        <f ca="1">_xlfn.NORM.DIST(N10,0+0.03^3,AVERAGE('Valuation Model'!$K$22:$L$22),FALSE)/scaling</f>
        <v>8.2290378176389218E-6</v>
      </c>
    </row>
    <row r="11" spans="1:15" s="79" customFormat="1" ht="12">
      <c r="A11" s="82"/>
      <c r="B11" s="88" t="str">
        <f>'Valuation Model'!I5</f>
        <v>23% | -6% | 47%</v>
      </c>
      <c r="C11" s="89">
        <f ca="1">'Valuation Model'!K5</f>
        <v>574</v>
      </c>
      <c r="D11" s="84">
        <f t="shared" ca="1" si="0"/>
        <v>577.80000000000018</v>
      </c>
      <c r="E11" s="85">
        <f>IF(H11="N",5%/COUNTIF('Valuation Model'!$L$2:$L$9,"No"),IF(G11&lt;&gt;"Y",50%/(COUNTIF('Valuation Model'!$L$2:$L$9,"Yes")-COUNTIF(G$5:G$12,"Y")),45%/(COUNTIF(G$5:G$12,"Y"))))</f>
        <v>6.25E-2</v>
      </c>
      <c r="F11" s="79" t="s">
        <v>51</v>
      </c>
      <c r="G11" s="79" t="str">
        <f>IF(LEFT('Valuation Model'!L8,1)="M","Y","")</f>
        <v/>
      </c>
      <c r="H11" s="79" t="str">
        <f>IF(LEFT('Valuation Model'!L5,1)="M","Y",LEFT('Valuation Model'!L5,1))</f>
        <v>Y</v>
      </c>
      <c r="J11" s="86">
        <f t="shared" si="4"/>
        <v>0.12000000000000001</v>
      </c>
      <c r="K11" s="84">
        <f t="shared" ca="1" si="1"/>
        <v>115.56</v>
      </c>
      <c r="L11" s="87">
        <f t="shared" ca="1" si="2"/>
        <v>6.25E-2</v>
      </c>
      <c r="M11" s="85" t="str">
        <f t="shared" ca="1" si="3"/>
        <v/>
      </c>
      <c r="N11" s="84">
        <f ca="1">LN('Histogram Data'!K11+0.01)-LN(price)</f>
        <v>-0.9800285518144225</v>
      </c>
      <c r="O11" s="84">
        <f ca="1">_xlfn.NORM.DIST(N11,0+0.03^3,AVERAGE('Valuation Model'!$K$22:$L$22),FALSE)/scaling</f>
        <v>1.7391720271819888E-4</v>
      </c>
    </row>
    <row r="12" spans="1:15" s="79" customFormat="1" ht="12">
      <c r="A12" s="82"/>
      <c r="B12" s="88" t="str">
        <f>'Valuation Model'!I9</f>
        <v>36% | -6% | 47%</v>
      </c>
      <c r="C12" s="89">
        <f ca="1">'Valuation Model'!K9</f>
        <v>953</v>
      </c>
      <c r="D12" s="84">
        <f t="shared" ca="1" si="0"/>
        <v>943.74000000000046</v>
      </c>
      <c r="E12" s="85">
        <f>IF(H12="N",5%/COUNTIF('Valuation Model'!$L$2:$L$9,"No"),IF(G12&lt;&gt;"Y",50%/(COUNTIF('Valuation Model'!$L$2:$L$9,"Yes")-COUNTIF(G$5:G$12,"Y")),45%/(COUNTIF(G$5:G$12,"Y"))))</f>
        <v>6.25E-2</v>
      </c>
      <c r="F12" s="79" t="s">
        <v>51</v>
      </c>
      <c r="G12" s="79" t="str">
        <f>IF(LEFT('Valuation Model'!L9,1)="M","Y","")</f>
        <v/>
      </c>
      <c r="H12" s="79" t="str">
        <f>IF(LEFT('Valuation Model'!L9,1)="M","Y",LEFT('Valuation Model'!L9,1))</f>
        <v>Y</v>
      </c>
      <c r="J12" s="86">
        <f t="shared" si="4"/>
        <v>0.14000000000000001</v>
      </c>
      <c r="K12" s="84">
        <f t="shared" ca="1" si="1"/>
        <v>134.82000000000002</v>
      </c>
      <c r="L12" s="87" t="str">
        <f t="shared" ca="1" si="2"/>
        <v/>
      </c>
      <c r="M12" s="85" t="str">
        <f t="shared" ca="1" si="3"/>
        <v/>
      </c>
      <c r="N12" s="84">
        <f ca="1">LN('Histogram Data'!K12+0.01)-LN(price)</f>
        <v>-0.82589023315578913</v>
      </c>
      <c r="O12" s="84">
        <f ca="1">_xlfn.NORM.DIST(N12,0+0.03^3,AVERAGE('Valuation Model'!$K$22:$L$22),FALSE)/scaling</f>
        <v>1.530020057631669E-3</v>
      </c>
    </row>
    <row r="13" spans="1:15" s="79" customFormat="1" ht="12">
      <c r="A13" s="82"/>
      <c r="J13" s="86">
        <f t="shared" si="4"/>
        <v>0.16</v>
      </c>
      <c r="K13" s="84">
        <f t="shared" ca="1" si="1"/>
        <v>154.08000000000001</v>
      </c>
      <c r="L13" s="87" t="str">
        <f t="shared" ca="1" si="2"/>
        <v/>
      </c>
      <c r="M13" s="85" t="str">
        <f t="shared" ca="1" si="3"/>
        <v/>
      </c>
      <c r="N13" s="84">
        <f ca="1">LN('Histogram Data'!K13+0.01)-LN(price)</f>
        <v>-0.69236811150801092</v>
      </c>
      <c r="O13" s="84">
        <f ca="1">_xlfn.NORM.DIST(N13,0+0.03^3,AVERAGE('Valuation Model'!$K$22:$L$22),FALSE)/scaling</f>
        <v>7.4549100571287465E-3</v>
      </c>
    </row>
    <row r="14" spans="1:15" s="79" customFormat="1" ht="12">
      <c r="A14" s="82"/>
      <c r="J14" s="86">
        <f t="shared" si="4"/>
        <v>0.18</v>
      </c>
      <c r="K14" s="84">
        <f t="shared" ca="1" si="1"/>
        <v>173.34</v>
      </c>
      <c r="L14" s="87" t="str">
        <f t="shared" ca="1" si="2"/>
        <v/>
      </c>
      <c r="M14" s="85" t="str">
        <f t="shared" ca="1" si="3"/>
        <v/>
      </c>
      <c r="N14" s="84">
        <f ca="1">LN('Histogram Data'!K14+0.01)-LN(price)</f>
        <v>-0.57459228667074047</v>
      </c>
      <c r="O14" s="84">
        <f ca="1">_xlfn.NORM.DIST(N14,0+0.03^3,AVERAGE('Valuation Model'!$K$22:$L$22),FALSE)/scaling</f>
        <v>2.3915310336034931E-2</v>
      </c>
    </row>
    <row r="15" spans="1:15" s="79" customFormat="1" ht="12">
      <c r="A15" s="82"/>
      <c r="J15" s="86">
        <f t="shared" si="4"/>
        <v>0.19999999999999998</v>
      </c>
      <c r="K15" s="84">
        <f t="shared" ca="1" si="1"/>
        <v>192.6</v>
      </c>
      <c r="L15" s="87" t="str">
        <f t="shared" ca="1" si="2"/>
        <v/>
      </c>
      <c r="M15" s="85" t="str">
        <f t="shared" ca="1" si="3"/>
        <v/>
      </c>
      <c r="N15" s="84">
        <f ca="1">LN('Histogram Data'!K15+0.01)-LN(price)</f>
        <v>-0.46923753970564164</v>
      </c>
      <c r="O15" s="84">
        <f ca="1">_xlfn.NORM.DIST(N15,0+0.03^3,AVERAGE('Valuation Model'!$K$22:$L$22),FALSE)/scaling</f>
        <v>5.6463932946294537E-2</v>
      </c>
    </row>
    <row r="16" spans="1:15" s="79" customFormat="1" ht="12">
      <c r="A16" s="82"/>
      <c r="C16" s="83"/>
      <c r="D16" s="84"/>
      <c r="E16" s="85"/>
      <c r="J16" s="86">
        <f t="shared" si="4"/>
        <v>0.21999999999999997</v>
      </c>
      <c r="K16" s="84">
        <f t="shared" ca="1" si="1"/>
        <v>211.85999999999999</v>
      </c>
      <c r="L16" s="87" t="str">
        <f t="shared" ca="1" si="2"/>
        <v/>
      </c>
      <c r="M16" s="85" t="str">
        <f t="shared" ca="1" si="3"/>
        <v/>
      </c>
      <c r="N16" s="84">
        <f ca="1">LN('Histogram Data'!K16+0.01)-LN(price)</f>
        <v>-0.37393207976557363</v>
      </c>
      <c r="O16" s="84">
        <f ca="1">_xlfn.NORM.DIST(N16,0+0.03^3,AVERAGE('Valuation Model'!$K$22:$L$22),FALSE)/scaling</f>
        <v>0.10577943298197286</v>
      </c>
    </row>
    <row r="17" spans="4:15" s="79" customFormat="1" ht="12">
      <c r="J17" s="86">
        <f t="shared" si="4"/>
        <v>0.23999999999999996</v>
      </c>
      <c r="K17" s="84">
        <f t="shared" ca="1" si="1"/>
        <v>231.11999999999998</v>
      </c>
      <c r="L17" s="87" t="str">
        <f t="shared" ca="1" si="2"/>
        <v/>
      </c>
      <c r="M17" s="85" t="str">
        <f t="shared" ca="1" si="3"/>
        <v/>
      </c>
      <c r="N17" s="84">
        <f ca="1">LN('Histogram Data'!K17+0.01)-LN(price)</f>
        <v>-0.28692463601317542</v>
      </c>
      <c r="O17" s="84">
        <f ca="1">_xlfn.NORM.DIST(N17,0+0.03^3,AVERAGE('Valuation Model'!$K$22:$L$22),FALSE)/scaling</f>
        <v>0.16576052480964631</v>
      </c>
    </row>
    <row r="18" spans="4:15" s="79" customFormat="1" ht="12">
      <c r="D18" s="86"/>
      <c r="J18" s="86">
        <f t="shared" si="4"/>
        <v>0.25999999999999995</v>
      </c>
      <c r="K18" s="84">
        <f t="shared" ca="1" si="1"/>
        <v>250.37999999999997</v>
      </c>
      <c r="L18" s="87" t="str">
        <f t="shared" ca="1" si="2"/>
        <v/>
      </c>
      <c r="M18" s="85" t="str">
        <f t="shared" ca="1" si="3"/>
        <v/>
      </c>
      <c r="N18" s="84">
        <f ca="1">LN('Histogram Data'!K18+0.01)-LN(price)</f>
        <v>-0.20688525647553302</v>
      </c>
      <c r="O18" s="84">
        <f ca="1">_xlfn.NORM.DIST(N18,0+0.03^3,AVERAGE('Valuation Model'!$K$22:$L$22),FALSE)/scaling</f>
        <v>0.22572502957498908</v>
      </c>
    </row>
    <row r="19" spans="4:15" s="79" customFormat="1" ht="12">
      <c r="D19" s="90"/>
      <c r="J19" s="86">
        <f t="shared" si="4"/>
        <v>0.27999999999999997</v>
      </c>
      <c r="K19" s="84">
        <f t="shared" ca="1" si="1"/>
        <v>269.64</v>
      </c>
      <c r="L19" s="87">
        <f t="shared" ca="1" si="2"/>
        <v>6.25E-2</v>
      </c>
      <c r="M19" s="85" t="str">
        <f t="shared" ca="1" si="3"/>
        <v/>
      </c>
      <c r="N19" s="84">
        <f ca="1">LN('Histogram Data'!K19+0.01)-LN(price)</f>
        <v>-0.13278013701853641</v>
      </c>
      <c r="O19" s="84">
        <f ca="1">_xlfn.NORM.DIST(N19,0+0.03^3,AVERAGE('Valuation Model'!$K$22:$L$22),FALSE)/scaling</f>
        <v>0.27477956339177712</v>
      </c>
    </row>
    <row r="20" spans="4:15" s="79" customFormat="1" ht="12">
      <c r="J20" s="86">
        <f t="shared" si="4"/>
        <v>0.3</v>
      </c>
      <c r="K20" s="84">
        <f t="shared" ca="1" si="1"/>
        <v>288.89999999999998</v>
      </c>
      <c r="L20" s="87" t="str">
        <f t="shared" ca="1" si="2"/>
        <v/>
      </c>
      <c r="M20" s="85" t="str">
        <f t="shared" ca="1" si="3"/>
        <v/>
      </c>
      <c r="N20" s="84">
        <f ca="1">LN('Histogram Data'!K20+0.01)-LN(price)</f>
        <v>-6.37897378753296E-2</v>
      </c>
      <c r="O20" s="84">
        <f ca="1">_xlfn.NORM.DIST(N20,0+0.03^3,AVERAGE('Valuation Model'!$K$22:$L$22),FALSE)/scaling</f>
        <v>0.30549459830816994</v>
      </c>
    </row>
    <row r="21" spans="4:15" s="79" customFormat="1" ht="12">
      <c r="J21" s="86">
        <f t="shared" si="4"/>
        <v>0.32</v>
      </c>
      <c r="K21" s="84">
        <f t="shared" ca="1" si="1"/>
        <v>308.16000000000003</v>
      </c>
      <c r="L21" s="87" t="str">
        <f t="shared" ca="1" si="2"/>
        <v/>
      </c>
      <c r="M21" s="85" t="str">
        <f t="shared" ca="1" si="3"/>
        <v/>
      </c>
      <c r="N21" s="84">
        <f ca="1">LN('Histogram Data'!K21+0.01)-LN(price)</f>
        <v>7.466199564509779E-4</v>
      </c>
      <c r="O21" s="84">
        <f ca="1">_xlfn.NORM.DIST(N21,0+0.03^3,AVERAGE('Valuation Model'!$K$22:$L$22),FALSE)/scaling</f>
        <v>0.31536811590563085</v>
      </c>
    </row>
    <row r="22" spans="4:15" s="79" customFormat="1" ht="12">
      <c r="J22" s="86">
        <f t="shared" si="4"/>
        <v>0.34</v>
      </c>
      <c r="K22" s="84">
        <f t="shared" ca="1" si="1"/>
        <v>327.42</v>
      </c>
      <c r="L22" s="87" t="str">
        <f t="shared" ca="1" si="2"/>
        <v/>
      </c>
      <c r="M22" s="85" t="str">
        <f t="shared" ca="1" si="3"/>
        <v/>
      </c>
      <c r="N22" s="84">
        <f ca="1">LN('Histogram Data'!K22+0.01)-LN(price)</f>
        <v>6.1369332969771762E-2</v>
      </c>
      <c r="O22" s="84">
        <f ca="1">_xlfn.NORM.DIST(N22,0+0.03^3,AVERAGE('Valuation Model'!$K$22:$L$22),FALSE)/scaling</f>
        <v>0.30623452895009812</v>
      </c>
    </row>
    <row r="23" spans="4:15" s="79" customFormat="1" ht="12">
      <c r="J23" s="86">
        <f t="shared" si="4"/>
        <v>0.36000000000000004</v>
      </c>
      <c r="K23" s="84">
        <f t="shared" ca="1" si="1"/>
        <v>346.68000000000006</v>
      </c>
      <c r="L23" s="87" t="str">
        <f t="shared" ca="1" si="2"/>
        <v/>
      </c>
      <c r="M23" s="85" t="str">
        <f t="shared" ca="1" si="3"/>
        <v/>
      </c>
      <c r="N23" s="84">
        <f ca="1">LN('Histogram Data'!K23+0.01)-LN(price)</f>
        <v>0.1185260500927825</v>
      </c>
      <c r="O23" s="84">
        <f ca="1">_xlfn.NORM.DIST(N23,0+0.03^3,AVERAGE('Valuation Model'!$K$22:$L$22),FALSE)/scaling</f>
        <v>0.2826068556449729</v>
      </c>
    </row>
    <row r="24" spans="4:15" s="79" customFormat="1" ht="12">
      <c r="J24" s="86">
        <f t="shared" si="4"/>
        <v>0.38000000000000006</v>
      </c>
      <c r="K24" s="84">
        <f t="shared" ca="1" si="1"/>
        <v>365.94000000000005</v>
      </c>
      <c r="L24" s="87" t="str">
        <f t="shared" ca="1" si="2"/>
        <v/>
      </c>
      <c r="M24" s="85" t="str">
        <f t="shared" ca="1" si="3"/>
        <v/>
      </c>
      <c r="N24" s="84">
        <f ca="1">LN('Histogram Data'!K24+0.01)-LN(price)</f>
        <v>0.17259175324546394</v>
      </c>
      <c r="O24" s="84">
        <f ca="1">_xlfn.NORM.DIST(N24,0+0.03^3,AVERAGE('Valuation Model'!$K$22:$L$22),FALSE)/scaling</f>
        <v>0.24991780120666726</v>
      </c>
    </row>
    <row r="25" spans="4:15" s="79" customFormat="1" ht="12">
      <c r="J25" s="86">
        <f t="shared" si="4"/>
        <v>0.40000000000000008</v>
      </c>
      <c r="K25" s="84">
        <f t="shared" ca="1" si="1"/>
        <v>385.2000000000001</v>
      </c>
      <c r="L25" s="87" t="str">
        <f t="shared" ca="1" si="2"/>
        <v/>
      </c>
      <c r="M25" s="85" t="str">
        <f t="shared" ca="1" si="3"/>
        <v/>
      </c>
      <c r="N25" s="84">
        <f ca="1">LN('Histogram Data'!K25+0.01)-LN(price)</f>
        <v>0.22388368132520853</v>
      </c>
      <c r="O25" s="84">
        <f ca="1">_xlfn.NORM.DIST(N25,0+0.03^3,AVERAGE('Valuation Model'!$K$22:$L$22),FALSE)/scaling</f>
        <v>0.2132150168315082</v>
      </c>
    </row>
    <row r="26" spans="4:15" s="79" customFormat="1" ht="12">
      <c r="J26" s="86">
        <f t="shared" si="4"/>
        <v>0.4200000000000001</v>
      </c>
      <c r="K26" s="84">
        <f t="shared" ca="1" si="1"/>
        <v>404.46000000000009</v>
      </c>
      <c r="L26" s="87" t="str">
        <f t="shared" ca="1" si="2"/>
        <v/>
      </c>
      <c r="M26" s="85" t="str">
        <f t="shared" ca="1" si="3"/>
        <v/>
      </c>
      <c r="N26" s="84">
        <f ca="1">LN('Histogram Data'!K26+0.01)-LN(price)</f>
        <v>0.27267260930977866</v>
      </c>
      <c r="O26" s="84">
        <f ca="1">_xlfn.NORM.DIST(N26,0+0.03^3,AVERAGE('Valuation Model'!$K$22:$L$22),FALSE)/scaling</f>
        <v>0.17645734641024188</v>
      </c>
    </row>
    <row r="27" spans="4:15" s="79" customFormat="1" ht="12">
      <c r="J27" s="86">
        <f t="shared" si="4"/>
        <v>0.44000000000000011</v>
      </c>
      <c r="K27" s="84">
        <f t="shared" ca="1" si="1"/>
        <v>423.72000000000008</v>
      </c>
      <c r="L27" s="87" t="str">
        <f t="shared" ca="1" si="2"/>
        <v/>
      </c>
      <c r="M27" s="85" t="str">
        <f t="shared" ca="1" si="3"/>
        <v/>
      </c>
      <c r="N27" s="84">
        <f ca="1">LN('Histogram Data'!K27+0.01)-LN(price)</f>
        <v>0.31919150113892591</v>
      </c>
      <c r="O27" s="84">
        <f ca="1">_xlfn.NORM.DIST(N27,0+0.03^3,AVERAGE('Valuation Model'!$K$22:$L$22),FALSE)/scaling</f>
        <v>0.1423129579722861</v>
      </c>
    </row>
    <row r="28" spans="4:15" s="79" customFormat="1" ht="12">
      <c r="J28" s="86">
        <f t="shared" si="4"/>
        <v>0.46000000000000013</v>
      </c>
      <c r="K28" s="84">
        <f t="shared" ca="1" si="1"/>
        <v>442.98000000000013</v>
      </c>
      <c r="L28" s="87" t="str">
        <f t="shared" ca="1" si="2"/>
        <v/>
      </c>
      <c r="M28" s="85" t="str">
        <f t="shared" ca="1" si="3"/>
        <v/>
      </c>
      <c r="N28" s="84">
        <f ca="1">LN('Histogram Data'!K28+0.01)-LN(price)</f>
        <v>0.36364223762515024</v>
      </c>
      <c r="O28" s="84">
        <f ca="1">_xlfn.NORM.DIST(N28,0+0.03^3,AVERAGE('Valuation Model'!$K$22:$L$22),FALSE)/scaling</f>
        <v>0.11227509212274063</v>
      </c>
    </row>
    <row r="29" spans="4:15" s="79" customFormat="1" ht="12">
      <c r="J29" s="86">
        <f t="shared" si="4"/>
        <v>0.48000000000000015</v>
      </c>
      <c r="K29" s="84">
        <f t="shared" ca="1" si="1"/>
        <v>462.24000000000012</v>
      </c>
      <c r="L29" s="87">
        <f t="shared" ca="1" si="2"/>
        <v>6.25E-2</v>
      </c>
      <c r="M29" s="85" t="str">
        <f t="shared" ca="1" si="3"/>
        <v/>
      </c>
      <c r="N29" s="84">
        <f ca="1">LN('Histogram Data'!K29+0.01)-LN(price)</f>
        <v>0.40620091146546233</v>
      </c>
      <c r="O29" s="84">
        <f ca="1">_xlfn.NORM.DIST(N29,0+0.03^3,AVERAGE('Valuation Model'!$K$22:$L$22),FALSE)/scaling</f>
        <v>8.6924602969749437E-2</v>
      </c>
    </row>
    <row r="30" spans="4:15" s="79" customFormat="1" ht="12">
      <c r="J30" s="86">
        <f t="shared" si="4"/>
        <v>0.50000000000000011</v>
      </c>
      <c r="K30" s="84">
        <f t="shared" ca="1" si="1"/>
        <v>481.50000000000011</v>
      </c>
      <c r="L30" s="87" t="str">
        <f ca="1">L33</f>
        <v/>
      </c>
      <c r="M30" s="85" t="str">
        <f t="shared" ca="1" si="3"/>
        <v/>
      </c>
      <c r="N30" s="84">
        <f ca="1">LN('Histogram Data'!K30+0.01)-LN(price)</f>
        <v>0.44702204065273055</v>
      </c>
      <c r="O30" s="84">
        <f ca="1">_xlfn.NORM.DIST(N30,0+0.03^3,AVERAGE('Valuation Model'!$K$22:$L$22),FALSE)/scaling</f>
        <v>6.6220556099088626E-2</v>
      </c>
    </row>
    <row r="31" spans="4:15" s="79" customFormat="1" ht="12">
      <c r="J31" s="86">
        <f t="shared" si="4"/>
        <v>0.52000000000000013</v>
      </c>
      <c r="K31" s="84">
        <f t="shared" ca="1" si="1"/>
        <v>500.7600000000001</v>
      </c>
      <c r="L31" s="87" t="str">
        <f t="shared" ca="1" si="2"/>
        <v/>
      </c>
      <c r="M31" s="85" t="str">
        <f t="shared" ca="1" si="3"/>
        <v/>
      </c>
      <c r="N31" s="84">
        <f ca="1">LN('Histogram Data'!K31+0.01)-LN(price)</f>
        <v>0.4862419550364363</v>
      </c>
      <c r="O31" s="84">
        <f ca="1">_xlfn.NORM.DIST(N31,0+0.03^3,AVERAGE('Valuation Model'!$K$22:$L$22),FALSE)/scaling</f>
        <v>4.9753976176705135E-2</v>
      </c>
    </row>
    <row r="32" spans="4:15" s="79" customFormat="1" ht="12">
      <c r="J32" s="86">
        <f t="shared" si="4"/>
        <v>0.54000000000000015</v>
      </c>
      <c r="K32" s="84">
        <f t="shared" ca="1" si="1"/>
        <v>520.0200000000001</v>
      </c>
      <c r="L32" s="87" t="str">
        <f t="shared" ca="1" si="2"/>
        <v/>
      </c>
      <c r="M32" s="85" t="str">
        <f t="shared" ca="1" si="3"/>
        <v/>
      </c>
      <c r="N32" s="84">
        <f ca="1">LN('Histogram Data'!K32+0.01)-LN(price)</f>
        <v>0.52398154341725611</v>
      </c>
      <c r="O32" s="84">
        <f ca="1">_xlfn.NORM.DIST(N32,0+0.03^3,AVERAGE('Valuation Model'!$K$22:$L$22),FALSE)/scaling</f>
        <v>3.6939939858623858E-2</v>
      </c>
    </row>
    <row r="33" spans="10:15" s="79" customFormat="1" ht="12">
      <c r="J33" s="86">
        <f t="shared" si="4"/>
        <v>0.56000000000000016</v>
      </c>
      <c r="K33" s="84">
        <f t="shared" ca="1" si="1"/>
        <v>539.2800000000002</v>
      </c>
      <c r="L33" s="87" t="str">
        <f t="shared" ca="1" si="2"/>
        <v/>
      </c>
      <c r="M33" s="85" t="str">
        <f t="shared" ca="1" si="3"/>
        <v/>
      </c>
      <c r="N33" s="84">
        <f ca="1">LN('Histogram Data'!K33+0.01)-LN(price)</f>
        <v>0.56034850081432985</v>
      </c>
      <c r="O33" s="84">
        <f ca="1">_xlfn.NORM.DIST(N33,0+0.03^3,AVERAGE('Valuation Model'!$K$22:$L$22),FALSE)/scaling</f>
        <v>2.7147244850092223E-2</v>
      </c>
    </row>
    <row r="34" spans="10:15" s="79" customFormat="1" ht="12">
      <c r="J34" s="86">
        <f t="shared" si="4"/>
        <v>0.58000000000000018</v>
      </c>
      <c r="K34" s="84">
        <f t="shared" ca="1" si="1"/>
        <v>558.54000000000019</v>
      </c>
      <c r="L34" s="87" t="str">
        <f t="shared" ca="1" si="2"/>
        <v/>
      </c>
      <c r="M34" s="85" t="str">
        <f t="shared" ca="1" si="3"/>
        <v/>
      </c>
      <c r="N34" s="84">
        <f ca="1">LN('Histogram Data'!K34+0.01)-LN(price)</f>
        <v>0.59543918121508543</v>
      </c>
      <c r="O34" s="84">
        <f ca="1">_xlfn.NORM.DIST(N34,0+0.03^3,AVERAGE('Valuation Model'!$K$22:$L$22),FALSE)/scaling</f>
        <v>1.9776224124186909E-2</v>
      </c>
    </row>
    <row r="35" spans="10:15" s="79" customFormat="1" ht="12">
      <c r="J35" s="86">
        <f t="shared" si="4"/>
        <v>0.6000000000000002</v>
      </c>
      <c r="K35" s="84">
        <f t="shared" ca="1" si="1"/>
        <v>577.80000000000018</v>
      </c>
      <c r="L35" s="87">
        <f t="shared" ca="1" si="2"/>
        <v>6.25E-2</v>
      </c>
      <c r="M35" s="85" t="str">
        <f t="shared" ca="1" si="3"/>
        <v/>
      </c>
      <c r="N35" s="84">
        <f ca="1">LN('Histogram Data'!K35+0.01)-LN(price)</f>
        <v>0.62934013610725081</v>
      </c>
      <c r="O35" s="84">
        <f ca="1">_xlfn.NORM.DIST(N35,0+0.03^3,AVERAGE('Valuation Model'!$K$22:$L$22),FALSE)/scaling</f>
        <v>1.4298520067683696E-2</v>
      </c>
    </row>
    <row r="36" spans="10:15" s="79" customFormat="1" ht="12">
      <c r="J36" s="86">
        <f t="shared" si="4"/>
        <v>0.62000000000000022</v>
      </c>
      <c r="K36" s="84">
        <f t="shared" ca="1" si="1"/>
        <v>597.06000000000017</v>
      </c>
      <c r="L36" s="87" t="str">
        <f t="shared" ca="1" si="2"/>
        <v/>
      </c>
      <c r="M36" s="85" t="str">
        <f t="shared" ca="1" si="3"/>
        <v/>
      </c>
      <c r="N36" s="84">
        <f ca="1">LN('Histogram Data'!K36+0.01)-LN(price)</f>
        <v>0.66212940064856518</v>
      </c>
      <c r="O36" s="84">
        <f ca="1">_xlfn.NORM.DIST(N36,0+0.03^3,AVERAGE('Valuation Model'!$K$22:$L$22),FALSE)/scaling</f>
        <v>1.0271629069404903E-2</v>
      </c>
    </row>
    <row r="37" spans="10:15" s="79" customFormat="1" ht="12">
      <c r="J37" s="86">
        <f t="shared" si="4"/>
        <v>0.64000000000000024</v>
      </c>
      <c r="K37" s="84">
        <f t="shared" ca="1" si="1"/>
        <v>616.32000000000028</v>
      </c>
      <c r="L37" s="87" t="str">
        <f t="shared" ca="1" si="2"/>
        <v/>
      </c>
      <c r="M37" s="85" t="str">
        <f t="shared" ca="1" si="3"/>
        <v/>
      </c>
      <c r="N37" s="84">
        <f ca="1">LN('Histogram Data'!K37+0.01)-LN(price)</f>
        <v>0.69387757557379182</v>
      </c>
      <c r="O37" s="84">
        <f ca="1">_xlfn.NORM.DIST(N37,0+0.03^3,AVERAGE('Valuation Model'!$K$22:$L$22),FALSE)/scaling</f>
        <v>7.338337799865674E-3</v>
      </c>
    </row>
    <row r="38" spans="10:15" s="79" customFormat="1" ht="12">
      <c r="J38" s="86">
        <f t="shared" si="4"/>
        <v>0.66000000000000025</v>
      </c>
      <c r="K38" s="84">
        <f t="shared" ca="1" si="1"/>
        <v>635.58000000000027</v>
      </c>
      <c r="L38" s="87" t="str">
        <f t="shared" ca="1" si="2"/>
        <v/>
      </c>
      <c r="M38" s="85" t="str">
        <f t="shared" ca="1" si="3"/>
        <v/>
      </c>
      <c r="N38" s="84">
        <f ca="1">LN('Histogram Data'!K38+0.01)-LN(price)</f>
        <v>0.72464874257150846</v>
      </c>
      <c r="O38" s="84">
        <f ca="1">_xlfn.NORM.DIST(N38,0+0.03^3,AVERAGE('Valuation Model'!$K$22:$L$22),FALSE)/scaling</f>
        <v>5.2182386734464323E-3</v>
      </c>
    </row>
    <row r="39" spans="10:15" s="79" customFormat="1" ht="12">
      <c r="J39" s="86">
        <f t="shared" si="4"/>
        <v>0.68000000000000027</v>
      </c>
      <c r="K39" s="84">
        <f t="shared" ca="1" si="1"/>
        <v>654.84000000000026</v>
      </c>
      <c r="L39" s="87" t="str">
        <f t="shared" ca="1" si="2"/>
        <v/>
      </c>
      <c r="M39" s="85" t="str">
        <f t="shared" ca="1" si="3"/>
        <v/>
      </c>
      <c r="N39" s="84">
        <f ca="1">LN('Histogram Data'!K39+0.01)-LN(price)</f>
        <v>0.75450124297363974</v>
      </c>
      <c r="O39" s="84">
        <f ca="1">_xlfn.NORM.DIST(N39,0+0.03^3,AVERAGE('Valuation Model'!$K$22:$L$22),FALSE)/scaling</f>
        <v>3.695994737079193E-3</v>
      </c>
    </row>
    <row r="40" spans="10:15" s="79" customFormat="1" ht="12">
      <c r="J40" s="86">
        <f t="shared" si="4"/>
        <v>0.70000000000000029</v>
      </c>
      <c r="K40" s="84">
        <f t="shared" ca="1" si="1"/>
        <v>674.10000000000025</v>
      </c>
      <c r="L40" s="87" t="str">
        <f t="shared" ca="1" si="2"/>
        <v/>
      </c>
      <c r="M40" s="85" t="str">
        <f t="shared" ca="1" si="3"/>
        <v/>
      </c>
      <c r="N40" s="84">
        <f ca="1">LN('Histogram Data'!K40+0.01)-LN(price)</f>
        <v>0.78348834354186359</v>
      </c>
      <c r="O40" s="84">
        <f ca="1">_xlfn.NORM.DIST(N40,0+0.03^3,AVERAGE('Valuation Model'!$K$22:$L$22),FALSE)/scaling</f>
        <v>2.6091256292021989E-3</v>
      </c>
    </row>
    <row r="41" spans="10:15" s="79" customFormat="1" ht="12">
      <c r="J41" s="86">
        <f t="shared" si="4"/>
        <v>0.72000000000000031</v>
      </c>
      <c r="K41" s="84">
        <f t="shared" ca="1" si="1"/>
        <v>693.36000000000024</v>
      </c>
      <c r="L41" s="87" t="str">
        <f t="shared" ca="1" si="2"/>
        <v/>
      </c>
      <c r="M41" s="85" t="str">
        <f t="shared" ca="1" si="3"/>
        <v/>
      </c>
      <c r="N41" s="84">
        <f ca="1">LN('Histogram Data'!K41+0.01)-LN(price)</f>
        <v>0.81165880844252403</v>
      </c>
      <c r="O41" s="84">
        <f ca="1">_xlfn.NORM.DIST(N41,0+0.03^3,AVERAGE('Valuation Model'!$K$22:$L$22),FALSE)/scaling</f>
        <v>1.836779218859786E-3</v>
      </c>
    </row>
    <row r="42" spans="10:15" s="79" customFormat="1" ht="12">
      <c r="J42" s="86">
        <f t="shared" si="4"/>
        <v>0.74000000000000032</v>
      </c>
      <c r="K42" s="84">
        <f t="shared" ca="1" si="1"/>
        <v>712.62000000000035</v>
      </c>
      <c r="L42" s="87" t="str">
        <f t="shared" ca="1" si="2"/>
        <v/>
      </c>
      <c r="M42" s="85" t="str">
        <f t="shared" ca="1" si="3"/>
        <v/>
      </c>
      <c r="N42" s="84">
        <f ca="1">LN('Histogram Data'!K42+0.01)-LN(price)</f>
        <v>0.83905739283828762</v>
      </c>
      <c r="O42" s="84">
        <f ca="1">_xlfn.NORM.DIST(N42,0+0.03^3,AVERAGE('Valuation Model'!$K$22:$L$22),FALSE)/scaling</f>
        <v>1.2901218493332888E-3</v>
      </c>
    </row>
    <row r="43" spans="10:15" s="79" customFormat="1" ht="12">
      <c r="J43" s="86">
        <f t="shared" si="4"/>
        <v>0.76000000000000034</v>
      </c>
      <c r="K43" s="84">
        <f t="shared" ca="1" si="1"/>
        <v>731.88000000000034</v>
      </c>
      <c r="L43" s="87" t="str">
        <f t="shared" ca="1" si="2"/>
        <v/>
      </c>
      <c r="M43" s="85" t="str">
        <f t="shared" ca="1" si="3"/>
        <v/>
      </c>
      <c r="N43" s="84">
        <f ca="1">LN('Histogram Data'!K43+0.01)-LN(price)</f>
        <v>0.86572527064334359</v>
      </c>
      <c r="O43" s="84">
        <f ca="1">_xlfn.NORM.DIST(N43,0+0.03^3,AVERAGE('Valuation Model'!$K$22:$L$22),FALSE)/scaling</f>
        <v>9.0449244592698209E-4</v>
      </c>
    </row>
    <row r="44" spans="10:15" s="79" customFormat="1" ht="12">
      <c r="J44" s="86">
        <f t="shared" si="4"/>
        <v>0.78000000000000036</v>
      </c>
      <c r="K44" s="84">
        <f t="shared" ca="1" si="1"/>
        <v>751.14000000000033</v>
      </c>
      <c r="L44" s="87" t="str">
        <f t="shared" ca="1" si="2"/>
        <v/>
      </c>
      <c r="M44" s="85" t="str">
        <f t="shared" ca="1" si="3"/>
        <v/>
      </c>
      <c r="N44" s="84">
        <f ca="1">LN('Histogram Data'!K44+0.01)-LN(price)</f>
        <v>0.89170040670666051</v>
      </c>
      <c r="O44" s="84">
        <f ca="1">_xlfn.NORM.DIST(N44,0+0.03^3,AVERAGE('Valuation Model'!$K$22:$L$22),FALSE)/scaling</f>
        <v>6.33208241189161E-4</v>
      </c>
    </row>
    <row r="45" spans="10:15" s="79" customFormat="1" ht="12">
      <c r="J45" s="86">
        <f t="shared" si="4"/>
        <v>0.80000000000000038</v>
      </c>
      <c r="K45" s="84">
        <f t="shared" ca="1" si="1"/>
        <v>770.40000000000032</v>
      </c>
      <c r="L45" s="87" t="str">
        <f t="shared" ca="1" si="2"/>
        <v/>
      </c>
      <c r="M45" s="85" t="str">
        <f t="shared" ca="1" si="3"/>
        <v/>
      </c>
      <c r="N45" s="84">
        <f ca="1">LN('Histogram Data'!K45+0.01)-LN(price)</f>
        <v>0.91701788186789024</v>
      </c>
      <c r="O45" s="84">
        <f ca="1">_xlfn.NORM.DIST(N45,0+0.03^3,AVERAGE('Valuation Model'!$K$22:$L$22),FALSE)/scaling</f>
        <v>4.4279588831792459E-4</v>
      </c>
    </row>
    <row r="46" spans="10:15" s="79" customFormat="1" ht="12">
      <c r="J46" s="86">
        <f t="shared" si="4"/>
        <v>0.8200000000000004</v>
      </c>
      <c r="K46" s="84">
        <f t="shared" ca="1" si="1"/>
        <v>789.66000000000042</v>
      </c>
      <c r="L46" s="87" t="str">
        <f t="shared" ca="1" si="2"/>
        <v/>
      </c>
      <c r="M46" s="85" t="str">
        <f t="shared" ca="1" si="3"/>
        <v/>
      </c>
      <c r="N46" s="84">
        <f ca="1">LN('Histogram Data'!K46+0.01)-LN(price)</f>
        <v>0.94171017787037048</v>
      </c>
      <c r="O46" s="84">
        <f ca="1">_xlfn.NORM.DIST(N46,0+0.03^3,AVERAGE('Valuation Model'!$K$22:$L$22),FALSE)/scaling</f>
        <v>3.093907956543705E-4</v>
      </c>
    </row>
    <row r="47" spans="10:15" s="79" customFormat="1" ht="12">
      <c r="J47" s="86">
        <f t="shared" si="4"/>
        <v>0.84000000000000041</v>
      </c>
      <c r="K47" s="84">
        <f t="shared" ca="1" si="1"/>
        <v>808.92000000000041</v>
      </c>
      <c r="L47" s="87" t="str">
        <f t="shared" ca="1" si="2"/>
        <v/>
      </c>
      <c r="M47" s="85" t="str">
        <f t="shared" ca="1" si="3"/>
        <v/>
      </c>
      <c r="N47" s="84">
        <f ca="1">LN('Histogram Data'!K47+0.01)-LN(price)</f>
        <v>0.96580742793705987</v>
      </c>
      <c r="O47" s="84">
        <f ca="1">_xlfn.NORM.DIST(N47,0+0.03^3,AVERAGE('Valuation Model'!$K$22:$L$22),FALSE)/scaling</f>
        <v>2.1606019025770116E-4</v>
      </c>
    </row>
    <row r="48" spans="10:15" s="79" customFormat="1" ht="12">
      <c r="J48" s="86">
        <f t="shared" si="4"/>
        <v>0.86000000000000043</v>
      </c>
      <c r="K48" s="84">
        <f t="shared" ca="1" si="1"/>
        <v>828.1800000000004</v>
      </c>
      <c r="L48" s="87" t="str">
        <f t="shared" ca="1" si="2"/>
        <v/>
      </c>
      <c r="M48" s="85" t="str">
        <f t="shared" ca="1" si="3"/>
        <v/>
      </c>
      <c r="N48" s="84">
        <f ca="1">LN('Histogram Data'!K48+0.01)-LN(price)</f>
        <v>0.98933763785862983</v>
      </c>
      <c r="O48" s="84">
        <f ca="1">_xlfn.NORM.DIST(N48,0+0.03^3,AVERAGE('Valuation Model'!$K$22:$L$22),FALSE)/scaling</f>
        <v>1.5083758023584043E-4</v>
      </c>
    </row>
    <row r="49" spans="10:15" s="79" customFormat="1" ht="12">
      <c r="J49" s="86">
        <f t="shared" si="4"/>
        <v>0.88000000000000045</v>
      </c>
      <c r="K49" s="84">
        <f t="shared" ca="1" si="1"/>
        <v>847.4400000000004</v>
      </c>
      <c r="L49" s="87" t="str">
        <f t="shared" ca="1" si="2"/>
        <v/>
      </c>
      <c r="M49" s="85" t="str">
        <f t="shared" ca="1" si="3"/>
        <v/>
      </c>
      <c r="N49" s="84">
        <f ca="1">LN('Histogram Data'!K49+0.01)-LN(price)</f>
        <v>1.0123268816622915</v>
      </c>
      <c r="O49" s="84">
        <f ca="1">_xlfn.NORM.DIST(N49,0+0.03^3,AVERAGE('Valuation Model'!$K$22:$L$22),FALSE)/scaling</f>
        <v>1.052941632686805E-4</v>
      </c>
    </row>
    <row r="50" spans="10:15" s="79" customFormat="1" ht="12">
      <c r="J50" s="86">
        <f t="shared" si="4"/>
        <v>0.90000000000000047</v>
      </c>
      <c r="K50" s="84">
        <f t="shared" ca="1" si="1"/>
        <v>866.7000000000005</v>
      </c>
      <c r="L50" s="87" t="str">
        <f t="shared" ca="1" si="2"/>
        <v/>
      </c>
      <c r="M50" s="85" t="str">
        <f t="shared" ca="1" si="3"/>
        <v/>
      </c>
      <c r="N50" s="84">
        <f ca="1">LN('Histogram Data'!K50+0.01)-LN(price)</f>
        <v>1.0347994752897334</v>
      </c>
      <c r="O50" s="84">
        <f ca="1">_xlfn.NORM.DIST(N50,0+0.03^3,AVERAGE('Valuation Model'!$K$22:$L$22),FALSE)/scaling</f>
        <v>7.350914990534682E-5</v>
      </c>
    </row>
    <row r="51" spans="10:15" s="79" customFormat="1" ht="12">
      <c r="J51" s="86">
        <f t="shared" si="4"/>
        <v>0.92000000000000048</v>
      </c>
      <c r="K51" s="84">
        <f t="shared" ca="1" si="1"/>
        <v>885.96000000000049</v>
      </c>
      <c r="L51" s="87" t="str">
        <f t="shared" ca="1" si="2"/>
        <v/>
      </c>
      <c r="M51" s="85" t="str">
        <f t="shared" ca="1" si="3"/>
        <v/>
      </c>
      <c r="N51" s="84">
        <f ca="1">LN('Histogram Data'!K51+0.01)-LN(price)</f>
        <v>1.0567781311848981</v>
      </c>
      <c r="O51" s="84">
        <f ca="1">_xlfn.NORM.DIST(N51,0+0.03^3,AVERAGE('Valuation Model'!$K$22:$L$22),FALSE)/scaling</f>
        <v>5.1332728243244458E-5</v>
      </c>
    </row>
    <row r="52" spans="10:15" s="79" customFormat="1" ht="12">
      <c r="J52" s="86">
        <f t="shared" si="4"/>
        <v>0.9400000000000005</v>
      </c>
      <c r="K52" s="84">
        <f t="shared" ca="1" si="1"/>
        <v>905.22000000000048</v>
      </c>
      <c r="L52" s="87" t="str">
        <f t="shared" ca="1" si="2"/>
        <v/>
      </c>
      <c r="M52" s="85" t="str">
        <f t="shared" ca="1" si="3"/>
        <v/>
      </c>
      <c r="N52" s="84">
        <f ca="1">LN('Histogram Data'!K52+0.01)-LN(price)</f>
        <v>1.0782840962555369</v>
      </c>
      <c r="O52" s="84">
        <f ca="1">_xlfn.NORM.DIST(N52,0+0.03^3,AVERAGE('Valuation Model'!$K$22:$L$22),FALSE)/scaling</f>
        <v>3.5861518201643245E-5</v>
      </c>
    </row>
    <row r="53" spans="10:15" s="79" customFormat="1" ht="12">
      <c r="J53" s="86">
        <f t="shared" si="4"/>
        <v>0.96000000000000052</v>
      </c>
      <c r="K53" s="84">
        <f t="shared" ca="1" si="1"/>
        <v>924.48000000000047</v>
      </c>
      <c r="L53" s="87" t="str">
        <f t="shared" ca="1" si="2"/>
        <v/>
      </c>
      <c r="M53" s="85" t="str">
        <f t="shared" ca="1" si="3"/>
        <v/>
      </c>
      <c r="N53" s="84">
        <f ca="1">LN('Histogram Data'!K53+0.01)-LN(price)</f>
        <v>1.0993372753092538</v>
      </c>
      <c r="O53" s="84">
        <f ca="1">_xlfn.NORM.DIST(N53,0+0.03^3,AVERAGE('Valuation Model'!$K$22:$L$22),FALSE)/scaling</f>
        <v>2.506702711135359E-5</v>
      </c>
    </row>
    <row r="54" spans="10:15" s="79" customFormat="1" ht="12">
      <c r="J54" s="86">
        <f t="shared" si="4"/>
        <v>0.98000000000000054</v>
      </c>
      <c r="K54" s="84">
        <f t="shared" ca="1" si="1"/>
        <v>943.74000000000046</v>
      </c>
      <c r="L54" s="87">
        <f t="shared" ca="1" si="2"/>
        <v>6.25E-2</v>
      </c>
      <c r="M54" s="85" t="str">
        <f t="shared" ca="1" si="3"/>
        <v/>
      </c>
      <c r="N54" s="84">
        <f ca="1">LN('Histogram Data'!K54+0.01)-LN(price)</f>
        <v>1.119956341761462</v>
      </c>
      <c r="O54" s="84">
        <f ca="1">_xlfn.NORM.DIST(N54,0+0.03^3,AVERAGE('Valuation Model'!$K$22:$L$22),FALSE)/scaling</f>
        <v>1.7533514086226649E-5</v>
      </c>
    </row>
    <row r="55" spans="10:15">
      <c r="J55" s="86">
        <f t="shared" si="4"/>
        <v>1.0000000000000004</v>
      </c>
      <c r="K55" s="84">
        <f t="shared" ca="1" si="1"/>
        <v>963.00000000000045</v>
      </c>
      <c r="L55" s="87" t="str">
        <f t="shared" ca="1" si="2"/>
        <v/>
      </c>
      <c r="M55" s="85" t="str">
        <f t="shared" ca="1" si="3"/>
        <v/>
      </c>
      <c r="N55" s="84">
        <f ca="1">LN('Histogram Data'!K55+0.01)-LN(price)</f>
        <v>1.1401588371584293</v>
      </c>
      <c r="O55" s="84">
        <f ca="1">_xlfn.NORM.DIST(N55,0+0.03^3,AVERAGE('Valuation Model'!$K$22:$L$22),FALSE)/scaling</f>
        <v>1.2273645606842979E-5</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3"/>
  <sheetViews>
    <sheetView topLeftCell="A46" workbookViewId="0">
      <selection activeCell="B73" sqref="B73"/>
    </sheetView>
  </sheetViews>
  <sheetFormatPr defaultRowHeight="15"/>
  <cols>
    <col min="1" max="1" width="10.7109375" bestFit="1" customWidth="1"/>
    <col min="3" max="3" width="10.7109375" bestFit="1" customWidth="1"/>
  </cols>
  <sheetData>
    <row r="1" spans="1:3">
      <c r="A1" t="s">
        <v>161</v>
      </c>
      <c r="B1" t="s">
        <v>162</v>
      </c>
    </row>
    <row r="2" spans="1:3">
      <c r="A2" s="133">
        <v>36616</v>
      </c>
      <c r="B2">
        <v>10036.1</v>
      </c>
      <c r="C2" s="133"/>
    </row>
    <row r="3" spans="1:3">
      <c r="A3" s="133">
        <v>36707</v>
      </c>
      <c r="B3">
        <v>10283.700000000001</v>
      </c>
      <c r="C3" s="133"/>
    </row>
    <row r="4" spans="1:3">
      <c r="A4" s="133">
        <v>36799</v>
      </c>
      <c r="B4">
        <v>10363.799999999999</v>
      </c>
      <c r="C4" s="133"/>
    </row>
    <row r="5" spans="1:3">
      <c r="A5" s="133">
        <v>36891</v>
      </c>
      <c r="B5">
        <v>10475.299999999999</v>
      </c>
      <c r="C5" s="133"/>
    </row>
    <row r="6" spans="1:3">
      <c r="A6" s="133">
        <v>36981</v>
      </c>
      <c r="B6">
        <v>10512.5</v>
      </c>
      <c r="C6" s="133"/>
    </row>
    <row r="7" spans="1:3">
      <c r="A7" s="133">
        <v>37072</v>
      </c>
      <c r="B7">
        <v>10641.6</v>
      </c>
      <c r="C7" s="133"/>
    </row>
    <row r="8" spans="1:3">
      <c r="A8" s="133">
        <v>37164</v>
      </c>
      <c r="B8">
        <v>10644.3</v>
      </c>
      <c r="C8" s="133"/>
    </row>
    <row r="9" spans="1:3">
      <c r="A9" s="133">
        <v>37256</v>
      </c>
      <c r="B9">
        <v>10702.7</v>
      </c>
      <c r="C9" s="133"/>
    </row>
    <row r="10" spans="1:3">
      <c r="A10" s="133">
        <v>37346</v>
      </c>
      <c r="B10">
        <v>10837.3</v>
      </c>
      <c r="C10" s="133"/>
    </row>
    <row r="11" spans="1:3">
      <c r="A11" s="133">
        <v>37437</v>
      </c>
      <c r="B11">
        <v>10938</v>
      </c>
      <c r="C11" s="133"/>
    </row>
    <row r="12" spans="1:3">
      <c r="A12" s="133">
        <v>37529</v>
      </c>
      <c r="B12">
        <v>11039.8</v>
      </c>
      <c r="C12" s="133"/>
    </row>
    <row r="13" spans="1:3">
      <c r="A13" s="133">
        <v>37621</v>
      </c>
      <c r="B13">
        <v>11105.7</v>
      </c>
      <c r="C13" s="133"/>
    </row>
    <row r="14" spans="1:3">
      <c r="A14" s="133">
        <v>37711</v>
      </c>
      <c r="B14">
        <v>11230.8</v>
      </c>
      <c r="C14" s="133"/>
    </row>
    <row r="15" spans="1:3">
      <c r="A15" s="133">
        <v>37802</v>
      </c>
      <c r="B15">
        <v>11371.4</v>
      </c>
      <c r="C15" s="133"/>
    </row>
    <row r="16" spans="1:3">
      <c r="A16" s="133">
        <v>37894</v>
      </c>
      <c r="B16">
        <v>11628.4</v>
      </c>
      <c r="C16" s="133"/>
    </row>
    <row r="17" spans="1:3">
      <c r="A17" s="133">
        <v>37986</v>
      </c>
      <c r="B17">
        <v>11818.5</v>
      </c>
      <c r="C17" s="133"/>
    </row>
    <row r="18" spans="1:3">
      <c r="A18" s="133">
        <v>38077</v>
      </c>
      <c r="B18">
        <v>11991.4</v>
      </c>
      <c r="C18" s="133"/>
    </row>
    <row r="19" spans="1:3">
      <c r="A19" s="133">
        <v>38168</v>
      </c>
      <c r="B19">
        <v>12183.5</v>
      </c>
      <c r="C19" s="133"/>
    </row>
    <row r="20" spans="1:3">
      <c r="A20" s="133">
        <v>38260</v>
      </c>
      <c r="B20">
        <v>12369.4</v>
      </c>
      <c r="C20" s="133"/>
    </row>
    <row r="21" spans="1:3">
      <c r="A21" s="133">
        <v>38352</v>
      </c>
      <c r="B21">
        <v>12563.8</v>
      </c>
      <c r="C21" s="133"/>
    </row>
    <row r="22" spans="1:3">
      <c r="A22" s="133">
        <v>38442</v>
      </c>
      <c r="B22">
        <v>12816.2</v>
      </c>
      <c r="C22" s="133"/>
    </row>
    <row r="23" spans="1:3">
      <c r="A23" s="133">
        <v>38533</v>
      </c>
      <c r="B23">
        <v>12975.7</v>
      </c>
      <c r="C23" s="133"/>
    </row>
    <row r="24" spans="1:3">
      <c r="A24" s="133">
        <v>38625</v>
      </c>
      <c r="B24">
        <v>13206.5</v>
      </c>
      <c r="C24" s="133"/>
    </row>
    <row r="25" spans="1:3">
      <c r="A25" s="133">
        <v>38717</v>
      </c>
      <c r="B25">
        <v>13383.3</v>
      </c>
      <c r="C25" s="133"/>
    </row>
    <row r="26" spans="1:3">
      <c r="A26" s="133">
        <v>38807</v>
      </c>
      <c r="B26">
        <v>13649.8</v>
      </c>
      <c r="C26" s="133"/>
    </row>
    <row r="27" spans="1:3">
      <c r="A27" s="133">
        <v>38898</v>
      </c>
      <c r="B27">
        <v>13802.9</v>
      </c>
      <c r="C27" s="133"/>
    </row>
    <row r="28" spans="1:3">
      <c r="A28" s="133">
        <v>38990</v>
      </c>
      <c r="B28">
        <v>13910.5</v>
      </c>
      <c r="C28" s="133"/>
    </row>
    <row r="29" spans="1:3">
      <c r="A29" s="133">
        <v>39082</v>
      </c>
      <c r="B29">
        <v>14068.4</v>
      </c>
    </row>
    <row r="30" spans="1:3">
      <c r="A30" s="133">
        <v>39172</v>
      </c>
      <c r="B30">
        <v>14235</v>
      </c>
    </row>
    <row r="31" spans="1:3">
      <c r="A31" s="133">
        <v>39263</v>
      </c>
      <c r="B31">
        <v>14424.5</v>
      </c>
    </row>
    <row r="32" spans="1:3">
      <c r="A32" s="133">
        <v>39355</v>
      </c>
      <c r="B32">
        <v>14571.9</v>
      </c>
    </row>
    <row r="33" spans="1:2">
      <c r="A33" s="133">
        <v>39447</v>
      </c>
      <c r="B33">
        <v>14690</v>
      </c>
    </row>
    <row r="34" spans="1:2">
      <c r="A34" s="133">
        <v>39538</v>
      </c>
      <c r="B34">
        <v>14672.9</v>
      </c>
    </row>
    <row r="35" spans="1:2">
      <c r="A35" s="133">
        <v>39629</v>
      </c>
      <c r="B35">
        <v>14813</v>
      </c>
    </row>
    <row r="36" spans="1:2">
      <c r="A36" s="133">
        <v>39721</v>
      </c>
      <c r="B36">
        <v>14843</v>
      </c>
    </row>
    <row r="37" spans="1:2">
      <c r="A37" s="133">
        <v>39813</v>
      </c>
      <c r="B37">
        <v>14549.9</v>
      </c>
    </row>
    <row r="38" spans="1:2">
      <c r="A38" s="133">
        <v>39903</v>
      </c>
      <c r="B38">
        <v>14383.9</v>
      </c>
    </row>
    <row r="39" spans="1:2">
      <c r="A39" s="133">
        <v>39994</v>
      </c>
      <c r="B39">
        <v>14340.4</v>
      </c>
    </row>
    <row r="40" spans="1:2">
      <c r="A40" s="133">
        <v>40086</v>
      </c>
      <c r="B40">
        <v>14384.1</v>
      </c>
    </row>
    <row r="41" spans="1:2">
      <c r="A41" s="133">
        <v>40178</v>
      </c>
      <c r="B41">
        <v>14566.5</v>
      </c>
    </row>
    <row r="42" spans="1:2">
      <c r="A42" s="133">
        <v>40268</v>
      </c>
      <c r="B42">
        <v>14681.1</v>
      </c>
    </row>
    <row r="43" spans="1:2">
      <c r="A43" s="133">
        <v>40359</v>
      </c>
      <c r="B43">
        <v>14888.6</v>
      </c>
    </row>
    <row r="44" spans="1:2">
      <c r="A44" s="133">
        <v>40451</v>
      </c>
      <c r="B44">
        <v>15057.7</v>
      </c>
    </row>
    <row r="45" spans="1:2">
      <c r="A45" s="133">
        <v>40543</v>
      </c>
      <c r="B45">
        <v>15230.2</v>
      </c>
    </row>
    <row r="46" spans="1:2">
      <c r="A46" s="133">
        <v>40633</v>
      </c>
      <c r="B46">
        <v>15238.4</v>
      </c>
    </row>
    <row r="47" spans="1:2">
      <c r="A47" s="133">
        <v>40724</v>
      </c>
      <c r="B47">
        <v>15460.9</v>
      </c>
    </row>
    <row r="48" spans="1:2">
      <c r="A48" s="133">
        <v>40816</v>
      </c>
      <c r="B48">
        <v>15587.1</v>
      </c>
    </row>
    <row r="49" spans="1:5">
      <c r="A49" s="133">
        <v>40908</v>
      </c>
      <c r="B49">
        <v>15785.3</v>
      </c>
    </row>
    <row r="50" spans="1:5">
      <c r="A50" s="133">
        <v>40999</v>
      </c>
      <c r="B50">
        <v>15956.5</v>
      </c>
    </row>
    <row r="51" spans="1:5">
      <c r="A51" s="133">
        <v>41090</v>
      </c>
      <c r="B51">
        <v>16094.7</v>
      </c>
    </row>
    <row r="52" spans="1:5">
      <c r="A52" s="133">
        <v>41182</v>
      </c>
      <c r="B52">
        <v>16268.9</v>
      </c>
    </row>
    <row r="53" spans="1:5">
      <c r="A53" s="133">
        <v>41274</v>
      </c>
      <c r="B53">
        <v>16332.5</v>
      </c>
    </row>
    <row r="54" spans="1:5">
      <c r="A54" s="133">
        <v>41364</v>
      </c>
      <c r="B54">
        <v>16502.400000000001</v>
      </c>
    </row>
    <row r="55" spans="1:5">
      <c r="A55" s="133">
        <v>41455</v>
      </c>
      <c r="B55">
        <v>16619.2</v>
      </c>
    </row>
    <row r="56" spans="1:5">
      <c r="A56" s="133">
        <v>41547</v>
      </c>
      <c r="B56">
        <v>16872.3</v>
      </c>
    </row>
    <row r="57" spans="1:5">
      <c r="A57" s="133">
        <v>41639</v>
      </c>
      <c r="B57">
        <v>17078.3</v>
      </c>
    </row>
    <row r="58" spans="1:5">
      <c r="A58" s="133">
        <v>41729</v>
      </c>
      <c r="B58">
        <v>17044</v>
      </c>
    </row>
    <row r="59" spans="1:5">
      <c r="A59" s="133">
        <v>41820</v>
      </c>
      <c r="B59">
        <v>17328.2</v>
      </c>
    </row>
    <row r="60" spans="1:5">
      <c r="A60" s="133">
        <v>41912</v>
      </c>
      <c r="B60">
        <v>17599.8</v>
      </c>
    </row>
    <row r="61" spans="1:5">
      <c r="A61" s="133">
        <v>42004</v>
      </c>
      <c r="B61">
        <v>17703.7</v>
      </c>
    </row>
    <row r="62" spans="1:5">
      <c r="A62" s="133">
        <v>42094</v>
      </c>
      <c r="B62">
        <v>17665</v>
      </c>
      <c r="E62" s="133"/>
    </row>
    <row r="63" spans="1:5">
      <c r="A63" s="133">
        <v>42185</v>
      </c>
      <c r="B63">
        <v>17913.7</v>
      </c>
      <c r="E63" s="133"/>
    </row>
    <row r="64" spans="1:5">
      <c r="A64" s="133">
        <v>42277</v>
      </c>
      <c r="B64">
        <v>18060.2</v>
      </c>
    </row>
    <row r="65" spans="1:2">
      <c r="A65" s="133">
        <v>42369</v>
      </c>
      <c r="B65">
        <v>18164.8</v>
      </c>
    </row>
    <row r="66" spans="1:2">
      <c r="A66" s="133">
        <v>42460</v>
      </c>
      <c r="B66">
        <v>18229.5</v>
      </c>
    </row>
    <row r="67" spans="1:2">
      <c r="A67" s="133">
        <v>42551</v>
      </c>
      <c r="B67">
        <v>18450.099999999999</v>
      </c>
    </row>
    <row r="68" spans="1:2">
      <c r="A68" s="133">
        <v>42643</v>
      </c>
      <c r="B68">
        <v>18651.2</v>
      </c>
    </row>
    <row r="69" spans="1:2">
      <c r="A69" s="133">
        <v>42735</v>
      </c>
      <c r="B69">
        <v>18869.400000000001</v>
      </c>
    </row>
    <row r="70" spans="1:2">
      <c r="A70" s="133">
        <v>42825</v>
      </c>
      <c r="B70">
        <v>19057.705000000002</v>
      </c>
    </row>
    <row r="71" spans="1:2">
      <c r="A71" s="133">
        <v>42916</v>
      </c>
      <c r="B71">
        <v>19250.008999999998</v>
      </c>
    </row>
    <row r="72" spans="1:2">
      <c r="A72" s="133">
        <v>43008</v>
      </c>
      <c r="B72">
        <v>19500.601999999999</v>
      </c>
    </row>
    <row r="73" spans="1:2">
      <c r="A73" s="133">
        <v>43100</v>
      </c>
      <c r="B73">
        <v>19754.101999999999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7</vt:i4>
      </vt:variant>
      <vt:variant>
        <vt:lpstr>Named Ranges</vt:lpstr>
      </vt:variant>
      <vt:variant>
        <vt:i4>44</vt:i4>
      </vt:variant>
    </vt:vector>
  </HeadingPairs>
  <TitlesOfParts>
    <vt:vector size="61" baseType="lpstr">
      <vt:lpstr>Valuation Model</vt:lpstr>
      <vt:lpstr>Company Analysis</vt:lpstr>
      <vt:lpstr>OCP Calculations</vt:lpstr>
      <vt:lpstr>Segment &amp; Sub Data</vt:lpstr>
      <vt:lpstr>Revenue Model</vt:lpstr>
      <vt:lpstr>Streaming Content</vt:lpstr>
      <vt:lpstr>Graphing Data</vt:lpstr>
      <vt:lpstr>Histogram Data</vt:lpstr>
      <vt:lpstr>GDP Data</vt:lpstr>
      <vt:lpstr>Disclaimer</vt:lpstr>
      <vt:lpstr>Revenue Chart</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2018-04-26T03:26:16Z</dcterms:modified>
</cp:coreProperties>
</file>