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3.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xml" ContentType="application/vnd.openxmlformats-officedocument.themeOverride+xml"/>
  <Override PartName="/xl/drawings/drawing9.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2.xml" ContentType="application/vnd.openxmlformats-officedocument.themeOverride+xml"/>
  <Override PartName="/xl/drawings/drawing10.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3.xml" ContentType="application/vnd.openxmlformats-officedocument.themeOverride+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IBM - IBM Corporation/"/>
    </mc:Choice>
  </mc:AlternateContent>
  <xr:revisionPtr revIDLastSave="17" documentId="8_{5A393DAF-4171-4927-B2B5-E009198FCAD0}" xr6:coauthVersionLast="28" xr6:coauthVersionMax="28" xr10:uidLastSave="{2AC7E4AE-2CCB-4981-831A-D522A2E8A5DE}"/>
  <bookViews>
    <workbookView xWindow="480" yWindow="0" windowWidth="18690" windowHeight="15" tabRatio="825" xr2:uid="{00000000-000D-0000-FFFF-FFFF00000000}"/>
  </bookViews>
  <sheets>
    <sheet name="Valuation Model" sheetId="1" r:id="rId1"/>
    <sheet name="Company Analysis" sheetId="19" r:id="rId2"/>
    <sheet name="OCP Calculations" sheetId="29" r:id="rId3"/>
    <sheet name="Revenue Model" sheetId="30" r:id="rId4"/>
    <sheet name="Forecast Updates" sheetId="31" r:id="rId5"/>
    <sheet name="New Segments" sheetId="32" r:id="rId6"/>
    <sheet name="Old Segments" sheetId="33" r:id="rId7"/>
    <sheet name="Graphing Data" sheetId="21" r:id="rId8"/>
    <sheet name="Revenue Chart" sheetId="22" r:id="rId9"/>
    <sheet name="Profit Chart" sheetId="23" r:id="rId10"/>
    <sheet name="ECF to OCP Chart" sheetId="25" r:id="rId11"/>
    <sheet name="ECF Breakdown Chart" sheetId="26" r:id="rId12"/>
    <sheet name="FCFO Chart" sheetId="27" r:id="rId13"/>
    <sheet name="Investment Efficacy Chart" sheetId="28" r:id="rId14"/>
    <sheet name="Valuation Histogram" sheetId="16" r:id="rId15"/>
    <sheet name="Histogram Data" sheetId="17" r:id="rId16"/>
    <sheet name="GDP Data" sheetId="20" r:id="rId17"/>
    <sheet name="Disclaimer" sheetId="18" r:id="rId18"/>
    <sheet name="PSW_Sheet" sheetId="11" state="veryHidden" r:id="rId19"/>
    <sheet name="_SSC" sheetId="12" state="veryHidden" r:id="rId20"/>
    <sheet name="_Options" sheetId="13" state="veryHidden"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localSheetId="6" hidden="1">#REF!</definedName>
    <definedName name="_Fill" hidden="1">#REF!</definedName>
    <definedName name="_xlnm._FilterDatabase" localSheetId="15"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 localSheetId="6">[8]Assumptions!$V$2</definedName>
    <definedName name="_y1">[1]Assumptions!$V$2</definedName>
    <definedName name="AbnormalMultiple" localSheetId="6">'[8]Valuation Overview'!$J$15</definedName>
    <definedName name="AbnormalMultiple">'[1]Valuation Overview'!$J$15</definedName>
    <definedName name="AnalysisDate" localSheetId="6">'[8]Valuation Overview'!$D$8</definedName>
    <definedName name="AnalysisDate">'[1]Valuation Overview'!$D$8</definedName>
    <definedName name="ar_AutoRefresh">[2]arConfig_StkPrice!$B$5</definedName>
    <definedName name="ar_enabled">[2]arConfig_StkPrice!$B$3</definedName>
    <definedName name="BestCase" localSheetId="6">[9]Model!$K$20</definedName>
    <definedName name="BestCase">'Valuation Model'!$I$20</definedName>
    <definedName name="BoundLower" localSheetId="6">'[8]Valuation Overview'!$N$28</definedName>
    <definedName name="BoundLower">'[1]Valuation Overview'!$N$28</definedName>
    <definedName name="BoundUpper" localSheetId="6">'[8]Valuation Overview'!$N$27</definedName>
    <definedName name="BoundUpper">'[1]Valuation Overview'!$N$27</definedName>
    <definedName name="bsEffectPerShare">[3]Model!$C$17</definedName>
    <definedName name="DCFExplicit" localSheetId="6">[8]Assumptions!$V$102:$Z$102</definedName>
    <definedName name="DCFExplicit">[1]Assumptions!$V$102:$Z$102</definedName>
    <definedName name="DCFLastAbnormal" localSheetId="6">[8]Assumptions!$Z$182</definedName>
    <definedName name="DCFLastAbnormal">[1]Assumptions!$Z$185</definedName>
    <definedName name="DCFLastExplicit" localSheetId="6">[8]Assumptions!$Z$102</definedName>
    <definedName name="DCFLastExplicit">[1]Assumptions!$Z$102</definedName>
    <definedName name="DiscountRate" localSheetId="6">'[8]Valuation Overview'!$D$12</definedName>
    <definedName name="DiscountRate">'[1]Valuation Overview'!$D$12</definedName>
    <definedName name="DivYield" localSheetId="6">'[8]Valuation Overview'!$D$14</definedName>
    <definedName name="DivYield">'[1]Valuation Overview'!$D$14</definedName>
    <definedName name="exp_best">[4]Control!$L$6</definedName>
    <definedName name="exp_likely">[4]Control!$J$6</definedName>
    <definedName name="exp_worst">[4]Control!$K$6</definedName>
    <definedName name="ExplicitYears" localSheetId="6">'[8]Valuation Overview'!$D$6</definedName>
    <definedName name="ExplicitYears">'[1]Valuation Overview'!$D$6</definedName>
    <definedName name="FairValue" localSheetId="6">'[8]Valuation Overview'!$O$10</definedName>
    <definedName name="FairValue">'[1]Valuation Overview'!$O$10</definedName>
    <definedName name="GrowthRateAbnormal" localSheetId="6">'[8]Valuation Overview'!$J$13</definedName>
    <definedName name="GrowthRateAbnormal">'[1]Valuation Overview'!$J$13</definedName>
    <definedName name="GrowthYears" localSheetId="6">'[8]Valuation Overview'!$J$12</definedName>
    <definedName name="GrowthYears">'[1]Valuation Overview'!$J$12</definedName>
    <definedName name="Inflation" localSheetId="6">'[8]Valuation Overview'!$D$15</definedName>
    <definedName name="Inflation">'[1]Valuation Overview'!$D$15</definedName>
    <definedName name="iVol" localSheetId="6">'[8]Valuation Overview'!$D$24</definedName>
    <definedName name="iVol">'[1]Valuation Overview'!$D$24</definedName>
    <definedName name="iVol2" localSheetId="6">'[8]Valuation Overview'!$D$25</definedName>
    <definedName name="iVol2">'[1]Valuation Overview'!$D$25</definedName>
    <definedName name="LikelyCase" localSheetId="6">[9]Model!$K$22</definedName>
    <definedName name="LikelyCase">[3]Model!$K$22</definedName>
    <definedName name="med_best">[4]Control!$L$7</definedName>
    <definedName name="med_likely">[4]Control!$J$7</definedName>
    <definedName name="med_worst">[4]Control!$K$7</definedName>
    <definedName name="NetDrift" localSheetId="6">'[8]Valuation Overview'!$D$19</definedName>
    <definedName name="NetDrift">'[1]Valuation Overview'!$D$19</definedName>
    <definedName name="ocp_best">[4]Control!$L$5</definedName>
    <definedName name="ocp_likely">[4]Control!$J$5</definedName>
    <definedName name="ocp_worst">[4]Control!$K$5</definedName>
    <definedName name="OptionChain" localSheetId="6">'[8]Security Pricing Data'!$F$3:$I$17</definedName>
    <definedName name="OptionChain">'[1]Security Pricing Data'!$F$3:$I$17</definedName>
    <definedName name="OutstandingShares" localSheetId="6">'[8]Valuation Overview'!$D$17</definedName>
    <definedName name="OutstandingShares">'[1]Valuation Overview'!$D$17</definedName>
    <definedName name="PerpetualMultiple" localSheetId="6">'[8]Valuation Overview'!$J$22</definedName>
    <definedName name="PerpetualMultiple">'[1]Valuation Overview'!$J$22</definedName>
    <definedName name="price" localSheetId="6">[9]Model!$G$6</definedName>
    <definedName name="price">'Valuation Model'!$G$2</definedName>
    <definedName name="ProfitScenario" localSheetId="6">[8]Assumptions!$BP$6</definedName>
    <definedName name="ProfitScenario">[1]Assumptions!$BP$6</definedName>
    <definedName name="ProjectionY1" localSheetId="6">'[8]Valuation Overview'!$D$7</definedName>
    <definedName name="ProjectionY1">'[1]Valuation Overview'!$D$7</definedName>
    <definedName name="PSRatioData" localSheetId="6">[9]Data!$Q$2:$Q$2516</definedName>
    <definedName name="PSRatioData">[5]Data!$Q$2:$Q$2516</definedName>
    <definedName name="PSRHigh" localSheetId="6">[9]Model!$P$21</definedName>
    <definedName name="PSRHigh">'Valuation Model'!$P$21</definedName>
    <definedName name="PSRLow" localSheetId="6">[9]Model!$P$22</definedName>
    <definedName name="PSRLow">'Valuation Model'!$P$22</definedName>
    <definedName name="rev_best">[4]Control!$L$4</definedName>
    <definedName name="rev_likely">[4]Control!$J$4</definedName>
    <definedName name="rev_worst">[4]Control!$K$4</definedName>
    <definedName name="RevScenario" localSheetId="6">[8]Assumptions!$BP$4</definedName>
    <definedName name="RevScenario">[1]Assumptions!$BP$4</definedName>
    <definedName name="RiskFree" localSheetId="6">'[8]Valuation Overview'!$D$13</definedName>
    <definedName name="RiskFree">'[1]Valuation Overview'!$D$13</definedName>
    <definedName name="scaling" localSheetId="6">'[9]Histogram Data'!$E$1</definedName>
    <definedName name="scaling">'Histogram Data'!$E$1</definedName>
    <definedName name="Scenario1" localSheetId="6">'[8]Valuation Overview'!$C$454</definedName>
    <definedName name="Scenario1">'Valuation Model'!$G$67</definedName>
    <definedName name="Scenario2" localSheetId="6">'[8]Valuation Overview'!$C$455</definedName>
    <definedName name="Scenario2">'Valuation Model'!$G$78</definedName>
    <definedName name="Scenario3" localSheetId="6">'[8]Valuation Overview'!$C$456</definedName>
    <definedName name="Scenario3">'Valuation Model'!$G$89</definedName>
    <definedName name="Scenario4" localSheetId="6">'[8]Valuation Overview'!$C$457</definedName>
    <definedName name="Scenario4">'Valuation Model'!$G$100</definedName>
    <definedName name="Scenario5" localSheetId="6">'[8]Valuation Overview'!$C$458</definedName>
    <definedName name="Scenario5">'Valuation Model'!$G$111</definedName>
    <definedName name="Scenario6" localSheetId="6">'[8]Valuation Overview'!$C$459</definedName>
    <definedName name="Scenario6">'Valuation Model'!$G$122</definedName>
    <definedName name="Scenario7" localSheetId="6">'[8]Valuation Overview'!$C$460</definedName>
    <definedName name="Scenario7">'Valuation Model'!$G$133</definedName>
    <definedName name="Scenario8" localSheetId="6">'[8]Valuation Overview'!$C$461</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 localSheetId="6">[9]Data!$K$2:$K$2516</definedName>
    <definedName name="StockPriceData">[5]Data!$K$2:$K$2516</definedName>
    <definedName name="TerminalDayCount" localSheetId="6">[8]Assumptions!$Z$181</definedName>
    <definedName name="TerminalDayCount">[1]Assumptions!$Z$184</definedName>
    <definedName name="TerminalMethod" localSheetId="6">'[8]Valuation Overview'!$D$11</definedName>
    <definedName name="TerminalMethod">'[1]Valuation Overview'!$D$11</definedName>
    <definedName name="ticker" localSheetId="6">[9]Model!$B$2</definedName>
    <definedName name="ticker">'Valuation Model'!$B$2</definedName>
    <definedName name="ValuationMethod" localSheetId="6">'[8]Valuation Overview'!$D$11</definedName>
    <definedName name="ValuationMethod">'[1]Valuation Overview'!$D$11</definedName>
    <definedName name="value1" localSheetId="6">[6]Model!$J$9</definedName>
    <definedName name="value1">[6]Model!$J$9</definedName>
    <definedName name="value2" localSheetId="6">[6]Model!$J$10</definedName>
    <definedName name="value2">[6]Model!$J$10</definedName>
    <definedName name="value3" localSheetId="6">[6]Model!$J$11</definedName>
    <definedName name="value3">[6]Model!$J$11</definedName>
    <definedName name="value4" localSheetId="6">[6]Model!$J$12</definedName>
    <definedName name="value4">[6]Model!$J$12</definedName>
    <definedName name="value5" localSheetId="6">[6]Model!$J$13</definedName>
    <definedName name="value5">[6]Model!$J$13</definedName>
    <definedName name="value6" localSheetId="6">[6]Model!$J$14</definedName>
    <definedName name="value6">[6]Model!$J$14</definedName>
    <definedName name="value7" localSheetId="6">[6]Model!$J$15</definedName>
    <definedName name="value7">[6]Model!$J$15</definedName>
    <definedName name="value8" localSheetId="6">[6]Model!$J$16</definedName>
    <definedName name="value8">[6]Model!$J$16</definedName>
    <definedName name="WorstCase" localSheetId="6">[9]Model!$K$21</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 localSheetId="6">"total_long_term_debt"</definedName>
    <definedName name="YC_LTD">"long_term_debt"</definedName>
    <definedName name="YC_LTD_ANN" localSheetId="6">"total_long_term_debt_annual"</definedName>
    <definedName name="YC_LTD_ANN">"long_term_debt_annual"</definedName>
    <definedName name="YC_LTD_CURR">"current_portion_debt"</definedName>
    <definedName name="YC_LTD_CURR_ANN">"current_portion_debt_annual"</definedName>
    <definedName name="YC_LTD_TOT" localSheetId="6">"long_term_debt"</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1027" concurrentCalc="0"/>
</workbook>
</file>

<file path=xl/calcChain.xml><?xml version="1.0" encoding="utf-8"?>
<calcChain xmlns="http://schemas.openxmlformats.org/spreadsheetml/2006/main">
  <c r="D9" i="1" l="1"/>
  <c r="E9" i="1"/>
  <c r="F9" i="1"/>
  <c r="G9" i="1"/>
  <c r="C9" i="1"/>
  <c r="D8" i="1"/>
  <c r="E8" i="1"/>
  <c r="F8" i="1"/>
  <c r="G8" i="1"/>
  <c r="C8" i="1"/>
  <c r="P17" i="33"/>
  <c r="H17" i="33"/>
  <c r="P91" i="33"/>
  <c r="P9" i="33"/>
  <c r="H9" i="33"/>
  <c r="P50" i="33"/>
  <c r="P139" i="33"/>
  <c r="O17" i="33"/>
  <c r="G17" i="33"/>
  <c r="O91" i="33"/>
  <c r="O9" i="33"/>
  <c r="G9" i="33"/>
  <c r="O50" i="33"/>
  <c r="O139" i="33"/>
  <c r="N17" i="33"/>
  <c r="F17" i="33"/>
  <c r="N91" i="33"/>
  <c r="N9" i="33"/>
  <c r="F9" i="33"/>
  <c r="N50" i="33"/>
  <c r="N139" i="33"/>
  <c r="P90" i="33"/>
  <c r="P49" i="33"/>
  <c r="P138" i="33"/>
  <c r="O90" i="33"/>
  <c r="O49" i="33"/>
  <c r="O138" i="33"/>
  <c r="N90" i="33"/>
  <c r="N49" i="33"/>
  <c r="N138" i="33"/>
  <c r="P89" i="33"/>
  <c r="P48" i="33"/>
  <c r="P137" i="33"/>
  <c r="O89" i="33"/>
  <c r="O48" i="33"/>
  <c r="O137" i="33"/>
  <c r="N89" i="33"/>
  <c r="N48" i="33"/>
  <c r="N137" i="33"/>
  <c r="P88" i="33"/>
  <c r="P47" i="33"/>
  <c r="P136" i="33"/>
  <c r="O88" i="33"/>
  <c r="O47" i="33"/>
  <c r="O136" i="33"/>
  <c r="N88" i="33"/>
  <c r="N47" i="33"/>
  <c r="N136" i="33"/>
  <c r="P87" i="33"/>
  <c r="P46" i="33"/>
  <c r="P135" i="33"/>
  <c r="O87" i="33"/>
  <c r="O46" i="33"/>
  <c r="O135" i="33"/>
  <c r="N87" i="33"/>
  <c r="N46" i="33"/>
  <c r="N135" i="33"/>
  <c r="P86" i="33"/>
  <c r="P45" i="33"/>
  <c r="P134" i="33"/>
  <c r="O86" i="33"/>
  <c r="O45" i="33"/>
  <c r="O134" i="33"/>
  <c r="N86" i="33"/>
  <c r="N45" i="33"/>
  <c r="N134" i="33"/>
  <c r="K17" i="33"/>
  <c r="P83" i="33"/>
  <c r="K9" i="33"/>
  <c r="P42" i="33"/>
  <c r="P131" i="33"/>
  <c r="J17" i="33"/>
  <c r="O83" i="33"/>
  <c r="J9" i="33"/>
  <c r="O42" i="33"/>
  <c r="O131" i="33"/>
  <c r="I17" i="33"/>
  <c r="N83" i="33"/>
  <c r="I9" i="33"/>
  <c r="N42" i="33"/>
  <c r="N131" i="33"/>
  <c r="M17" i="33"/>
  <c r="M83" i="33"/>
  <c r="M9" i="33"/>
  <c r="M42" i="33"/>
  <c r="M131" i="33"/>
  <c r="L17" i="33"/>
  <c r="L83" i="33"/>
  <c r="L9" i="33"/>
  <c r="L42" i="33"/>
  <c r="L131" i="33"/>
  <c r="K83" i="33"/>
  <c r="K42" i="33"/>
  <c r="K131" i="33"/>
  <c r="P82" i="33"/>
  <c r="P41" i="33"/>
  <c r="P130" i="33"/>
  <c r="O82" i="33"/>
  <c r="O41" i="33"/>
  <c r="O130" i="33"/>
  <c r="N82" i="33"/>
  <c r="N41" i="33"/>
  <c r="N130" i="33"/>
  <c r="M82" i="33"/>
  <c r="M41" i="33"/>
  <c r="M130" i="33"/>
  <c r="L82" i="33"/>
  <c r="L41" i="33"/>
  <c r="L130" i="33"/>
  <c r="K82" i="33"/>
  <c r="K41" i="33"/>
  <c r="K130" i="33"/>
  <c r="P81" i="33"/>
  <c r="P40" i="33"/>
  <c r="P129" i="33"/>
  <c r="O81" i="33"/>
  <c r="O40" i="33"/>
  <c r="O129" i="33"/>
  <c r="N81" i="33"/>
  <c r="N40" i="33"/>
  <c r="N129" i="33"/>
  <c r="M81" i="33"/>
  <c r="M40" i="33"/>
  <c r="M129" i="33"/>
  <c r="L81" i="33"/>
  <c r="L40" i="33"/>
  <c r="L129" i="33"/>
  <c r="K81" i="33"/>
  <c r="K40" i="33"/>
  <c r="K129" i="33"/>
  <c r="P80" i="33"/>
  <c r="P39" i="33"/>
  <c r="P128" i="33"/>
  <c r="O80" i="33"/>
  <c r="O39" i="33"/>
  <c r="O128" i="33"/>
  <c r="N80" i="33"/>
  <c r="N39" i="33"/>
  <c r="N128" i="33"/>
  <c r="M80" i="33"/>
  <c r="M39" i="33"/>
  <c r="M128" i="33"/>
  <c r="L80" i="33"/>
  <c r="L39" i="33"/>
  <c r="L128" i="33"/>
  <c r="K80" i="33"/>
  <c r="K39" i="33"/>
  <c r="K128" i="33"/>
  <c r="P79" i="33"/>
  <c r="P38" i="33"/>
  <c r="P127" i="33"/>
  <c r="O79" i="33"/>
  <c r="O38" i="33"/>
  <c r="O127" i="33"/>
  <c r="N79" i="33"/>
  <c r="N38" i="33"/>
  <c r="N127" i="33"/>
  <c r="M79" i="33"/>
  <c r="M38" i="33"/>
  <c r="M127" i="33"/>
  <c r="L79" i="33"/>
  <c r="L38" i="33"/>
  <c r="L127" i="33"/>
  <c r="K79" i="33"/>
  <c r="K38" i="33"/>
  <c r="K127" i="33"/>
  <c r="P78" i="33"/>
  <c r="P37" i="33"/>
  <c r="P126" i="33"/>
  <c r="O78" i="33"/>
  <c r="O37" i="33"/>
  <c r="O126" i="33"/>
  <c r="N78" i="33"/>
  <c r="N37" i="33"/>
  <c r="N126" i="33"/>
  <c r="M78" i="33"/>
  <c r="M37" i="33"/>
  <c r="M126" i="33"/>
  <c r="L78" i="33"/>
  <c r="L37" i="33"/>
  <c r="L126" i="33"/>
  <c r="K78" i="33"/>
  <c r="K37" i="33"/>
  <c r="K126" i="33"/>
  <c r="P75" i="33"/>
  <c r="P34" i="33"/>
  <c r="P123" i="33"/>
  <c r="O75" i="33"/>
  <c r="O34" i="33"/>
  <c r="O123" i="33"/>
  <c r="N75" i="33"/>
  <c r="N34" i="33"/>
  <c r="N123" i="33"/>
  <c r="M75" i="33"/>
  <c r="M34" i="33"/>
  <c r="M123" i="33"/>
  <c r="L75" i="33"/>
  <c r="L34" i="33"/>
  <c r="L123" i="33"/>
  <c r="K75" i="33"/>
  <c r="K34" i="33"/>
  <c r="K123" i="33"/>
  <c r="J75" i="33"/>
  <c r="J34" i="33"/>
  <c r="J123" i="33"/>
  <c r="I75" i="33"/>
  <c r="I34" i="33"/>
  <c r="I123" i="33"/>
  <c r="P74" i="33"/>
  <c r="P33" i="33"/>
  <c r="P122" i="33"/>
  <c r="O74" i="33"/>
  <c r="O33" i="33"/>
  <c r="O122" i="33"/>
  <c r="N74" i="33"/>
  <c r="N33" i="33"/>
  <c r="N122" i="33"/>
  <c r="M74" i="33"/>
  <c r="M33" i="33"/>
  <c r="M122" i="33"/>
  <c r="L74" i="33"/>
  <c r="L33" i="33"/>
  <c r="L122" i="33"/>
  <c r="K74" i="33"/>
  <c r="K33" i="33"/>
  <c r="K122" i="33"/>
  <c r="J74" i="33"/>
  <c r="J33" i="33"/>
  <c r="J122" i="33"/>
  <c r="I74" i="33"/>
  <c r="I33" i="33"/>
  <c r="I122" i="33"/>
  <c r="P73" i="33"/>
  <c r="P32" i="33"/>
  <c r="P121" i="33"/>
  <c r="O73" i="33"/>
  <c r="O32" i="33"/>
  <c r="O121" i="33"/>
  <c r="N73" i="33"/>
  <c r="N32" i="33"/>
  <c r="N121" i="33"/>
  <c r="M73" i="33"/>
  <c r="M32" i="33"/>
  <c r="M121" i="33"/>
  <c r="L73" i="33"/>
  <c r="L32" i="33"/>
  <c r="L121" i="33"/>
  <c r="K73" i="33"/>
  <c r="K32" i="33"/>
  <c r="K121" i="33"/>
  <c r="J73" i="33"/>
  <c r="J32" i="33"/>
  <c r="J121" i="33"/>
  <c r="I73" i="33"/>
  <c r="I32" i="33"/>
  <c r="I121" i="33"/>
  <c r="P72" i="33"/>
  <c r="P31" i="33"/>
  <c r="P120" i="33"/>
  <c r="O72" i="33"/>
  <c r="O31" i="33"/>
  <c r="O120" i="33"/>
  <c r="N72" i="33"/>
  <c r="N31" i="33"/>
  <c r="N120" i="33"/>
  <c r="M72" i="33"/>
  <c r="M31" i="33"/>
  <c r="M120" i="33"/>
  <c r="L72" i="33"/>
  <c r="L31" i="33"/>
  <c r="L120" i="33"/>
  <c r="K72" i="33"/>
  <c r="K31" i="33"/>
  <c r="K120" i="33"/>
  <c r="J72" i="33"/>
  <c r="J31" i="33"/>
  <c r="J120" i="33"/>
  <c r="I72" i="33"/>
  <c r="I31" i="33"/>
  <c r="I120" i="33"/>
  <c r="P71" i="33"/>
  <c r="P30" i="33"/>
  <c r="P119" i="33"/>
  <c r="O71" i="33"/>
  <c r="O30" i="33"/>
  <c r="O119" i="33"/>
  <c r="N71" i="33"/>
  <c r="N30" i="33"/>
  <c r="N119" i="33"/>
  <c r="M71" i="33"/>
  <c r="M30" i="33"/>
  <c r="M119" i="33"/>
  <c r="L71" i="33"/>
  <c r="L30" i="33"/>
  <c r="L119" i="33"/>
  <c r="K71" i="33"/>
  <c r="K30" i="33"/>
  <c r="K119" i="33"/>
  <c r="J71" i="33"/>
  <c r="J30" i="33"/>
  <c r="J119" i="33"/>
  <c r="I71" i="33"/>
  <c r="I30" i="33"/>
  <c r="I119" i="33"/>
  <c r="P70" i="33"/>
  <c r="P29" i="33"/>
  <c r="P118" i="33"/>
  <c r="O70" i="33"/>
  <c r="O29" i="33"/>
  <c r="O118" i="33"/>
  <c r="N70" i="33"/>
  <c r="N29" i="33"/>
  <c r="N118" i="33"/>
  <c r="M70" i="33"/>
  <c r="M29" i="33"/>
  <c r="M118" i="33"/>
  <c r="L70" i="33"/>
  <c r="L29" i="33"/>
  <c r="L118" i="33"/>
  <c r="K70" i="33"/>
  <c r="K29" i="33"/>
  <c r="K118" i="33"/>
  <c r="J70" i="33"/>
  <c r="J29" i="33"/>
  <c r="J118" i="33"/>
  <c r="I70" i="33"/>
  <c r="I29" i="33"/>
  <c r="I118" i="33"/>
  <c r="P67" i="33"/>
  <c r="P26" i="33"/>
  <c r="P115" i="33"/>
  <c r="O67" i="33"/>
  <c r="O26" i="33"/>
  <c r="O115" i="33"/>
  <c r="N67" i="33"/>
  <c r="N26" i="33"/>
  <c r="N115" i="33"/>
  <c r="M67" i="33"/>
  <c r="M26" i="33"/>
  <c r="M115" i="33"/>
  <c r="L67" i="33"/>
  <c r="L26" i="33"/>
  <c r="L115" i="33"/>
  <c r="K67" i="33"/>
  <c r="K26" i="33"/>
  <c r="K115" i="33"/>
  <c r="J67" i="33"/>
  <c r="J26" i="33"/>
  <c r="J115" i="33"/>
  <c r="I67" i="33"/>
  <c r="I26" i="33"/>
  <c r="I115" i="33"/>
  <c r="H67" i="33"/>
  <c r="H26" i="33"/>
  <c r="H115" i="33"/>
  <c r="G67" i="33"/>
  <c r="G26" i="33"/>
  <c r="G115" i="33"/>
  <c r="P66" i="33"/>
  <c r="P25" i="33"/>
  <c r="P114" i="33"/>
  <c r="O66" i="33"/>
  <c r="O25" i="33"/>
  <c r="O114" i="33"/>
  <c r="N66" i="33"/>
  <c r="N25" i="33"/>
  <c r="N114" i="33"/>
  <c r="M66" i="33"/>
  <c r="M25" i="33"/>
  <c r="M114" i="33"/>
  <c r="L66" i="33"/>
  <c r="L25" i="33"/>
  <c r="L114" i="33"/>
  <c r="K66" i="33"/>
  <c r="K25" i="33"/>
  <c r="K114" i="33"/>
  <c r="J66" i="33"/>
  <c r="J25" i="33"/>
  <c r="J114" i="33"/>
  <c r="I66" i="33"/>
  <c r="I25" i="33"/>
  <c r="I114" i="33"/>
  <c r="H66" i="33"/>
  <c r="H25" i="33"/>
  <c r="H114" i="33"/>
  <c r="G66" i="33"/>
  <c r="G25" i="33"/>
  <c r="G114" i="33"/>
  <c r="P65" i="33"/>
  <c r="P24" i="33"/>
  <c r="P113" i="33"/>
  <c r="O65" i="33"/>
  <c r="O24" i="33"/>
  <c r="O113" i="33"/>
  <c r="N65" i="33"/>
  <c r="N24" i="33"/>
  <c r="N113" i="33"/>
  <c r="M65" i="33"/>
  <c r="M24" i="33"/>
  <c r="M113" i="33"/>
  <c r="L65" i="33"/>
  <c r="L24" i="33"/>
  <c r="L113" i="33"/>
  <c r="K65" i="33"/>
  <c r="K24" i="33"/>
  <c r="K113" i="33"/>
  <c r="J65" i="33"/>
  <c r="J24" i="33"/>
  <c r="J113" i="33"/>
  <c r="I65" i="33"/>
  <c r="I24" i="33"/>
  <c r="I113" i="33"/>
  <c r="H65" i="33"/>
  <c r="H24" i="33"/>
  <c r="H113" i="33"/>
  <c r="G65" i="33"/>
  <c r="G24" i="33"/>
  <c r="G113" i="33"/>
  <c r="P64" i="33"/>
  <c r="P23" i="33"/>
  <c r="P112" i="33"/>
  <c r="O64" i="33"/>
  <c r="O23" i="33"/>
  <c r="O112" i="33"/>
  <c r="N64" i="33"/>
  <c r="N23" i="33"/>
  <c r="N112" i="33"/>
  <c r="M64" i="33"/>
  <c r="M23" i="33"/>
  <c r="M112" i="33"/>
  <c r="L64" i="33"/>
  <c r="L23" i="33"/>
  <c r="L112" i="33"/>
  <c r="K64" i="33"/>
  <c r="K23" i="33"/>
  <c r="K112" i="33"/>
  <c r="J64" i="33"/>
  <c r="J23" i="33"/>
  <c r="J112" i="33"/>
  <c r="I64" i="33"/>
  <c r="I23" i="33"/>
  <c r="I112" i="33"/>
  <c r="H64" i="33"/>
  <c r="H23" i="33"/>
  <c r="H112" i="33"/>
  <c r="G64" i="33"/>
  <c r="G23" i="33"/>
  <c r="G112" i="33"/>
  <c r="P63" i="33"/>
  <c r="P22" i="33"/>
  <c r="P111" i="33"/>
  <c r="O63" i="33"/>
  <c r="O22" i="33"/>
  <c r="O111" i="33"/>
  <c r="N63" i="33"/>
  <c r="N22" i="33"/>
  <c r="N111" i="33"/>
  <c r="M63" i="33"/>
  <c r="M22" i="33"/>
  <c r="M111" i="33"/>
  <c r="L63" i="33"/>
  <c r="L22" i="33"/>
  <c r="L111" i="33"/>
  <c r="K63" i="33"/>
  <c r="K22" i="33"/>
  <c r="K111" i="33"/>
  <c r="J63" i="33"/>
  <c r="J22" i="33"/>
  <c r="J111" i="33"/>
  <c r="I63" i="33"/>
  <c r="I22" i="33"/>
  <c r="I111" i="33"/>
  <c r="H63" i="33"/>
  <c r="H22" i="33"/>
  <c r="H111" i="33"/>
  <c r="G63" i="33"/>
  <c r="G22" i="33"/>
  <c r="G111" i="33"/>
  <c r="P62" i="33"/>
  <c r="P21" i="33"/>
  <c r="P110" i="33"/>
  <c r="O62" i="33"/>
  <c r="O21" i="33"/>
  <c r="O110" i="33"/>
  <c r="N62" i="33"/>
  <c r="N21" i="33"/>
  <c r="N110" i="33"/>
  <c r="M62" i="33"/>
  <c r="M21" i="33"/>
  <c r="M110" i="33"/>
  <c r="L62" i="33"/>
  <c r="L21" i="33"/>
  <c r="L110" i="33"/>
  <c r="K62" i="33"/>
  <c r="K21" i="33"/>
  <c r="K110" i="33"/>
  <c r="J62" i="33"/>
  <c r="J21" i="33"/>
  <c r="J110" i="33"/>
  <c r="I62" i="33"/>
  <c r="I21" i="33"/>
  <c r="I110" i="33"/>
  <c r="H62" i="33"/>
  <c r="H21" i="33"/>
  <c r="H110" i="33"/>
  <c r="G62" i="33"/>
  <c r="G21" i="33"/>
  <c r="G110" i="33"/>
  <c r="P106" i="33"/>
  <c r="O106" i="33"/>
  <c r="N106" i="33"/>
  <c r="M106" i="33"/>
  <c r="L106" i="33"/>
  <c r="K106" i="33"/>
  <c r="J106" i="33"/>
  <c r="I106" i="33"/>
  <c r="H106" i="33"/>
  <c r="G106" i="33"/>
  <c r="F106" i="33"/>
  <c r="P105" i="33"/>
  <c r="O105" i="33"/>
  <c r="N105" i="33"/>
  <c r="M105" i="33"/>
  <c r="L105" i="33"/>
  <c r="K105" i="33"/>
  <c r="J105" i="33"/>
  <c r="I105" i="33"/>
  <c r="H105" i="33"/>
  <c r="G105" i="33"/>
  <c r="F105" i="33"/>
  <c r="P104" i="33"/>
  <c r="O104" i="33"/>
  <c r="N104" i="33"/>
  <c r="M104" i="33"/>
  <c r="L104" i="33"/>
  <c r="K104" i="33"/>
  <c r="J104" i="33"/>
  <c r="I104" i="33"/>
  <c r="H104" i="33"/>
  <c r="G104" i="33"/>
  <c r="F104" i="33"/>
  <c r="P103" i="33"/>
  <c r="O103" i="33"/>
  <c r="N103" i="33"/>
  <c r="M103" i="33"/>
  <c r="L103" i="33"/>
  <c r="K103" i="33"/>
  <c r="J103" i="33"/>
  <c r="I103" i="33"/>
  <c r="H103" i="33"/>
  <c r="G103" i="33"/>
  <c r="F103" i="33"/>
  <c r="P102" i="33"/>
  <c r="O102" i="33"/>
  <c r="N102" i="33"/>
  <c r="M102" i="33"/>
  <c r="L102" i="33"/>
  <c r="K102" i="33"/>
  <c r="J102" i="33"/>
  <c r="I102" i="33"/>
  <c r="H102" i="33"/>
  <c r="G102" i="33"/>
  <c r="F102" i="33"/>
  <c r="P99" i="33"/>
  <c r="O99" i="33"/>
  <c r="N99" i="33"/>
  <c r="M99" i="33"/>
  <c r="L99" i="33"/>
  <c r="K99" i="33"/>
  <c r="J99" i="33"/>
  <c r="I99" i="33"/>
  <c r="H99" i="33"/>
  <c r="G99" i="33"/>
  <c r="F99" i="33"/>
  <c r="P98" i="33"/>
  <c r="O98" i="33"/>
  <c r="N98" i="33"/>
  <c r="M98" i="33"/>
  <c r="L98" i="33"/>
  <c r="K98" i="33"/>
  <c r="J98" i="33"/>
  <c r="I98" i="33"/>
  <c r="H98" i="33"/>
  <c r="G98" i="33"/>
  <c r="F98" i="33"/>
  <c r="P97" i="33"/>
  <c r="O97" i="33"/>
  <c r="N97" i="33"/>
  <c r="M97" i="33"/>
  <c r="L97" i="33"/>
  <c r="K97" i="33"/>
  <c r="J97" i="33"/>
  <c r="I97" i="33"/>
  <c r="H97" i="33"/>
  <c r="G97" i="33"/>
  <c r="F97" i="33"/>
  <c r="P96" i="33"/>
  <c r="O96" i="33"/>
  <c r="N96" i="33"/>
  <c r="M96" i="33"/>
  <c r="L96" i="33"/>
  <c r="K96" i="33"/>
  <c r="J96" i="33"/>
  <c r="I96" i="33"/>
  <c r="H96" i="33"/>
  <c r="G96" i="33"/>
  <c r="F96" i="33"/>
  <c r="P95" i="33"/>
  <c r="O95" i="33"/>
  <c r="N95" i="33"/>
  <c r="M95" i="33"/>
  <c r="L95" i="33"/>
  <c r="K95" i="33"/>
  <c r="J95" i="33"/>
  <c r="I95" i="33"/>
  <c r="H95" i="33"/>
  <c r="G95" i="33"/>
  <c r="F95" i="33"/>
  <c r="P59" i="33"/>
  <c r="O59" i="33"/>
  <c r="N59" i="33"/>
  <c r="M59" i="33"/>
  <c r="L59" i="33"/>
  <c r="K59" i="33"/>
  <c r="J59" i="33"/>
  <c r="I59" i="33"/>
  <c r="H59" i="33"/>
  <c r="G59" i="33"/>
  <c r="F59" i="33"/>
  <c r="P58" i="33"/>
  <c r="O58" i="33"/>
  <c r="N58" i="33"/>
  <c r="M58" i="33"/>
  <c r="L58" i="33"/>
  <c r="K58" i="33"/>
  <c r="J58" i="33"/>
  <c r="I58" i="33"/>
  <c r="H58" i="33"/>
  <c r="G58" i="33"/>
  <c r="F58" i="33"/>
  <c r="P57" i="33"/>
  <c r="O57" i="33"/>
  <c r="N57" i="33"/>
  <c r="M57" i="33"/>
  <c r="L57" i="33"/>
  <c r="K57" i="33"/>
  <c r="J57" i="33"/>
  <c r="I57" i="33"/>
  <c r="H57" i="33"/>
  <c r="G57" i="33"/>
  <c r="F57" i="33"/>
  <c r="P56" i="33"/>
  <c r="O56" i="33"/>
  <c r="N56" i="33"/>
  <c r="M56" i="33"/>
  <c r="L56" i="33"/>
  <c r="K56" i="33"/>
  <c r="J56" i="33"/>
  <c r="I56" i="33"/>
  <c r="H56" i="33"/>
  <c r="G56" i="33"/>
  <c r="F56" i="33"/>
  <c r="P55" i="33"/>
  <c r="O55" i="33"/>
  <c r="N55" i="33"/>
  <c r="M55" i="33"/>
  <c r="L55" i="33"/>
  <c r="K55" i="33"/>
  <c r="J55" i="33"/>
  <c r="I55" i="33"/>
  <c r="H55" i="33"/>
  <c r="G55" i="33"/>
  <c r="F55" i="33"/>
  <c r="P54" i="33"/>
  <c r="O54" i="33"/>
  <c r="N54" i="33"/>
  <c r="M54" i="33"/>
  <c r="L54" i="33"/>
  <c r="K54" i="33"/>
  <c r="J54" i="33"/>
  <c r="I54" i="33"/>
  <c r="H54" i="33"/>
  <c r="G54" i="33"/>
  <c r="F54" i="33"/>
  <c r="D50" i="32"/>
  <c r="C50" i="32"/>
  <c r="B50" i="32"/>
  <c r="D49" i="32"/>
  <c r="C49" i="32"/>
  <c r="B49" i="32"/>
  <c r="D48" i="32"/>
  <c r="C48" i="32"/>
  <c r="B48" i="32"/>
  <c r="D47" i="32"/>
  <c r="C47" i="32"/>
  <c r="B47" i="32"/>
  <c r="D46" i="32"/>
  <c r="C46" i="32"/>
  <c r="B46" i="32"/>
  <c r="D43" i="32"/>
  <c r="C43" i="32"/>
  <c r="B43" i="32"/>
  <c r="D42" i="32"/>
  <c r="C42" i="32"/>
  <c r="B42" i="32"/>
  <c r="D41" i="32"/>
  <c r="C41" i="32"/>
  <c r="B41" i="32"/>
  <c r="D40" i="32"/>
  <c r="C40" i="32"/>
  <c r="B40" i="32"/>
  <c r="D39" i="32"/>
  <c r="C39" i="32"/>
  <c r="B39" i="32"/>
  <c r="D29" i="32"/>
  <c r="C29" i="32"/>
  <c r="B29" i="32"/>
  <c r="D28" i="32"/>
  <c r="C28" i="32"/>
  <c r="B28" i="32"/>
  <c r="D27" i="32"/>
  <c r="C27" i="32"/>
  <c r="B27" i="32"/>
  <c r="D26" i="32"/>
  <c r="C26" i="32"/>
  <c r="B26" i="32"/>
  <c r="D25" i="32"/>
  <c r="C25" i="32"/>
  <c r="B25" i="32"/>
  <c r="D22" i="32"/>
  <c r="D21" i="32"/>
  <c r="D20" i="32"/>
  <c r="D19" i="32"/>
  <c r="D18" i="32"/>
  <c r="E15" i="32"/>
  <c r="D15" i="32"/>
  <c r="C15" i="32"/>
  <c r="E14" i="32"/>
  <c r="D14" i="32"/>
  <c r="C14" i="32"/>
  <c r="E13" i="32"/>
  <c r="D13" i="32"/>
  <c r="C13" i="32"/>
  <c r="E12" i="32"/>
  <c r="D12" i="32"/>
  <c r="C12" i="32"/>
  <c r="E11" i="32"/>
  <c r="D11" i="32"/>
  <c r="C11" i="32"/>
  <c r="F2" i="32"/>
  <c r="G2" i="32"/>
  <c r="H2" i="32"/>
  <c r="I2" i="32"/>
  <c r="J2" i="32"/>
  <c r="F3" i="32"/>
  <c r="G3" i="32"/>
  <c r="H3" i="32"/>
  <c r="I3" i="32"/>
  <c r="J3" i="32"/>
  <c r="F4" i="32"/>
  <c r="G4" i="32"/>
  <c r="H4" i="32"/>
  <c r="I4" i="32"/>
  <c r="J4" i="32"/>
  <c r="F5" i="32"/>
  <c r="G5" i="32"/>
  <c r="H5" i="32"/>
  <c r="I5" i="32"/>
  <c r="J5" i="32"/>
  <c r="F6" i="32"/>
  <c r="G6" i="32"/>
  <c r="H6" i="32"/>
  <c r="I6" i="32"/>
  <c r="J6" i="32"/>
  <c r="J8" i="32"/>
  <c r="I8" i="32"/>
  <c r="J9" i="32"/>
  <c r="H8" i="32"/>
  <c r="I9" i="32"/>
  <c r="G8" i="32"/>
  <c r="H9" i="32"/>
  <c r="F8" i="32"/>
  <c r="G9" i="32"/>
  <c r="D8" i="32"/>
  <c r="F9" i="32"/>
  <c r="E8" i="32"/>
  <c r="E9" i="32"/>
  <c r="C8" i="32"/>
  <c r="D9" i="32"/>
  <c r="B8" i="32"/>
  <c r="C9" i="32"/>
  <c r="N27" i="31"/>
  <c r="M24" i="31"/>
  <c r="M25" i="31"/>
  <c r="M26" i="31"/>
  <c r="M27" i="31"/>
  <c r="N26" i="31"/>
  <c r="L22" i="31"/>
  <c r="L23" i="31"/>
  <c r="N18" i="31"/>
  <c r="M15" i="31"/>
  <c r="M16" i="31"/>
  <c r="L13" i="31"/>
  <c r="L14" i="31"/>
  <c r="N7" i="31"/>
  <c r="N8" i="31"/>
  <c r="M3" i="31"/>
  <c r="M4" i="31"/>
  <c r="M5" i="31"/>
  <c r="M6" i="31"/>
  <c r="M7" i="31"/>
  <c r="M8" i="31"/>
  <c r="L3" i="31"/>
  <c r="L4" i="31"/>
  <c r="L5" i="31"/>
  <c r="L6" i="31"/>
  <c r="L7" i="31"/>
  <c r="L8" i="31"/>
  <c r="F11" i="30"/>
  <c r="G11" i="30"/>
  <c r="H11" i="30"/>
  <c r="I11" i="30"/>
  <c r="J11" i="30"/>
  <c r="E12" i="30"/>
  <c r="F12" i="30"/>
  <c r="G12" i="30"/>
  <c r="H12" i="30"/>
  <c r="I12" i="30"/>
  <c r="J12" i="30"/>
  <c r="J10" i="30"/>
  <c r="I10" i="30"/>
  <c r="J15" i="30"/>
  <c r="H10" i="30"/>
  <c r="I15" i="30"/>
  <c r="G10" i="30"/>
  <c r="H15" i="30"/>
  <c r="F10" i="30"/>
  <c r="G15" i="30"/>
  <c r="F15" i="30"/>
  <c r="D12" i="30"/>
  <c r="E14" i="30"/>
  <c r="C12" i="30"/>
  <c r="D14" i="30"/>
  <c r="B11" i="30"/>
  <c r="B12" i="30"/>
  <c r="C14" i="30"/>
  <c r="D11" i="30"/>
  <c r="E13" i="30"/>
  <c r="D13" i="30"/>
  <c r="C13" i="30"/>
  <c r="F3" i="30"/>
  <c r="G3" i="30"/>
  <c r="H3" i="30"/>
  <c r="I3" i="30"/>
  <c r="J3" i="30"/>
  <c r="E4" i="30"/>
  <c r="F4" i="30"/>
  <c r="G4" i="30"/>
  <c r="H4" i="30"/>
  <c r="I4" i="30"/>
  <c r="J4" i="30"/>
  <c r="J2" i="30"/>
  <c r="I2" i="30"/>
  <c r="J7" i="30"/>
  <c r="H2" i="30"/>
  <c r="I7" i="30"/>
  <c r="G2" i="30"/>
  <c r="H7" i="30"/>
  <c r="F2" i="30"/>
  <c r="G7" i="30"/>
  <c r="F7" i="30"/>
  <c r="D4" i="30"/>
  <c r="E6" i="30"/>
  <c r="C4" i="30"/>
  <c r="D6" i="30"/>
  <c r="B3" i="30"/>
  <c r="B4" i="30"/>
  <c r="C6" i="30"/>
  <c r="D3" i="30"/>
  <c r="E5" i="30"/>
  <c r="D5" i="30"/>
  <c r="C5" i="30"/>
  <c r="L10" i="29"/>
  <c r="L13" i="29"/>
  <c r="L16" i="29"/>
  <c r="K10" i="29"/>
  <c r="K13" i="29"/>
  <c r="K16" i="29"/>
  <c r="J10" i="29"/>
  <c r="J13" i="29"/>
  <c r="J16" i="29"/>
  <c r="I10" i="29"/>
  <c r="I13" i="29"/>
  <c r="I16" i="29"/>
  <c r="H10" i="29"/>
  <c r="H13" i="29"/>
  <c r="H16" i="29"/>
  <c r="G10" i="29"/>
  <c r="G13" i="29"/>
  <c r="G16" i="29"/>
  <c r="F10" i="29"/>
  <c r="F13" i="29"/>
  <c r="F16" i="29"/>
  <c r="E10" i="29"/>
  <c r="E13" i="29"/>
  <c r="E16" i="29"/>
  <c r="D10" i="29"/>
  <c r="D13" i="29"/>
  <c r="D16" i="29"/>
  <c r="C10" i="29"/>
  <c r="C13" i="29"/>
  <c r="C16" i="29"/>
  <c r="B10" i="29"/>
  <c r="B13" i="29"/>
  <c r="B16" i="29"/>
  <c r="L9" i="29"/>
  <c r="L12" i="29"/>
  <c r="L15" i="29"/>
  <c r="K9" i="29"/>
  <c r="K12" i="29"/>
  <c r="K15" i="29"/>
  <c r="J9" i="29"/>
  <c r="J12" i="29"/>
  <c r="J15" i="29"/>
  <c r="I9" i="29"/>
  <c r="I12" i="29"/>
  <c r="I15" i="29"/>
  <c r="H9" i="29"/>
  <c r="H12" i="29"/>
  <c r="H15" i="29"/>
  <c r="G9" i="29"/>
  <c r="G12" i="29"/>
  <c r="G15" i="29"/>
  <c r="F9" i="29"/>
  <c r="F12" i="29"/>
  <c r="F15" i="29"/>
  <c r="E9" i="29"/>
  <c r="E12" i="29"/>
  <c r="E15" i="29"/>
  <c r="D9" i="29"/>
  <c r="D12" i="29"/>
  <c r="D15" i="29"/>
  <c r="C9" i="29"/>
  <c r="C12" i="29"/>
  <c r="C15" i="29"/>
  <c r="B9" i="29"/>
  <c r="B12" i="29"/>
  <c r="B15" i="29"/>
  <c r="B2" i="19"/>
  <c r="B38" i="19"/>
  <c r="B39" i="19"/>
  <c r="C2" i="19"/>
  <c r="C38" i="19"/>
  <c r="C39" i="19"/>
  <c r="D2" i="19"/>
  <c r="D38" i="19"/>
  <c r="D39" i="19"/>
  <c r="E2" i="19"/>
  <c r="E38" i="19"/>
  <c r="E39" i="19"/>
  <c r="F2" i="19"/>
  <c r="F38" i="19"/>
  <c r="F39" i="19"/>
  <c r="G2" i="19"/>
  <c r="G38" i="19"/>
  <c r="G39" i="19"/>
  <c r="H2" i="19"/>
  <c r="H38" i="19"/>
  <c r="H39" i="19"/>
  <c r="I2" i="19"/>
  <c r="I38" i="19"/>
  <c r="I39" i="19"/>
  <c r="J2" i="19"/>
  <c r="J38" i="19"/>
  <c r="J39" i="19"/>
  <c r="K2" i="19"/>
  <c r="K38" i="19"/>
  <c r="K39" i="19"/>
  <c r="C26" i="21"/>
  <c r="D26" i="21"/>
  <c r="E26" i="21"/>
  <c r="F26" i="21"/>
  <c r="G26" i="21"/>
  <c r="H26" i="21"/>
  <c r="I26" i="21"/>
  <c r="J26" i="21"/>
  <c r="K26" i="21"/>
  <c r="B26" i="21"/>
  <c r="G3" i="1"/>
  <c r="M34" i="21"/>
  <c r="N34" i="21"/>
  <c r="O34" i="21"/>
  <c r="P34" i="21"/>
  <c r="M35" i="21"/>
  <c r="N35" i="21"/>
  <c r="O35" i="21"/>
  <c r="P35" i="21"/>
  <c r="L35" i="21"/>
  <c r="L34" i="21"/>
  <c r="A41" i="2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c r="M15" i="21"/>
  <c r="N15" i="21"/>
  <c r="O15" i="21"/>
  <c r="P15" i="21"/>
  <c r="M14" i="21"/>
  <c r="N14" i="21"/>
  <c r="O14" i="21"/>
  <c r="P14" i="21"/>
  <c r="L14" i="21"/>
  <c r="L7" i="21"/>
  <c r="M7" i="21"/>
  <c r="N7" i="21"/>
  <c r="O7" i="21"/>
  <c r="P7" i="21"/>
  <c r="M6" i="21"/>
  <c r="N6" i="21"/>
  <c r="O6" i="21"/>
  <c r="P6" i="21"/>
  <c r="L6" i="21"/>
  <c r="C2" i="21"/>
  <c r="D2" i="21"/>
  <c r="E2" i="21"/>
  <c r="F2" i="21"/>
  <c r="G2" i="21"/>
  <c r="H2" i="21"/>
  <c r="I2" i="21"/>
  <c r="J2" i="21"/>
  <c r="K2" i="21"/>
  <c r="B2" i="21"/>
  <c r="H5" i="21"/>
  <c r="D5" i="21"/>
  <c r="I5" i="21"/>
  <c r="E5" i="21"/>
  <c r="G5" i="21"/>
  <c r="C5" i="21"/>
  <c r="L4" i="21"/>
  <c r="L12" i="21"/>
  <c r="L32" i="21"/>
  <c r="K5" i="21"/>
  <c r="J5" i="21"/>
  <c r="F5" i="21"/>
  <c r="L3" i="21"/>
  <c r="M3" i="21"/>
  <c r="C1" i="21"/>
  <c r="D1" i="21"/>
  <c r="E1" i="21"/>
  <c r="F1" i="21"/>
  <c r="G1" i="21"/>
  <c r="H1" i="21"/>
  <c r="I1" i="21"/>
  <c r="J1" i="21"/>
  <c r="K1" i="21"/>
  <c r="B1" i="21"/>
  <c r="M4" i="21"/>
  <c r="N4" i="21"/>
  <c r="L11" i="21"/>
  <c r="L31" i="21"/>
  <c r="K7" i="21"/>
  <c r="K6" i="21"/>
  <c r="N3" i="21"/>
  <c r="M11" i="21"/>
  <c r="M31" i="21"/>
  <c r="K29" i="21"/>
  <c r="K37" i="21"/>
  <c r="K9" i="21"/>
  <c r="K17" i="21"/>
  <c r="K21" i="21"/>
  <c r="L1" i="21"/>
  <c r="J37" i="21"/>
  <c r="J29" i="21"/>
  <c r="J9" i="21"/>
  <c r="J17" i="21"/>
  <c r="J21" i="21"/>
  <c r="F29" i="21"/>
  <c r="F37" i="21"/>
  <c r="F9" i="21"/>
  <c r="F17" i="21"/>
  <c r="F21" i="21"/>
  <c r="I37" i="21"/>
  <c r="I29" i="21"/>
  <c r="I9" i="21"/>
  <c r="I17" i="21"/>
  <c r="I21" i="21"/>
  <c r="E37" i="21"/>
  <c r="E29" i="21"/>
  <c r="E9" i="21"/>
  <c r="E17" i="21"/>
  <c r="E21" i="21"/>
  <c r="B37" i="21"/>
  <c r="B29" i="21"/>
  <c r="B9" i="21"/>
  <c r="B17" i="21"/>
  <c r="B21" i="21"/>
  <c r="H29" i="21"/>
  <c r="H37" i="21"/>
  <c r="H9" i="21"/>
  <c r="H17" i="21"/>
  <c r="H21" i="21"/>
  <c r="D37" i="21"/>
  <c r="D29" i="21"/>
  <c r="D9" i="21"/>
  <c r="D17" i="21"/>
  <c r="D21" i="21"/>
  <c r="G29" i="21"/>
  <c r="G37" i="21"/>
  <c r="G9" i="21"/>
  <c r="G17" i="21"/>
  <c r="G21" i="21"/>
  <c r="C29" i="21"/>
  <c r="C37" i="21"/>
  <c r="C9" i="21"/>
  <c r="C17" i="21"/>
  <c r="C21" i="21"/>
  <c r="K27" i="19"/>
  <c r="K27" i="21"/>
  <c r="J27" i="19"/>
  <c r="J27" i="21"/>
  <c r="I27" i="19"/>
  <c r="I27" i="21"/>
  <c r="H27" i="19"/>
  <c r="H27" i="21"/>
  <c r="G27" i="19"/>
  <c r="G27" i="21"/>
  <c r="F27" i="19"/>
  <c r="F27" i="21"/>
  <c r="E27" i="19"/>
  <c r="E27" i="21"/>
  <c r="D27" i="19"/>
  <c r="D27" i="21"/>
  <c r="C27" i="19"/>
  <c r="C27" i="21"/>
  <c r="B27" i="19"/>
  <c r="B27" i="21"/>
  <c r="K19" i="19"/>
  <c r="J19" i="19"/>
  <c r="I19" i="19"/>
  <c r="H19" i="19"/>
  <c r="G19" i="19"/>
  <c r="F19" i="19"/>
  <c r="E19" i="19"/>
  <c r="D19" i="19"/>
  <c r="C19" i="19"/>
  <c r="B19" i="19"/>
  <c r="H17" i="19"/>
  <c r="D17" i="19"/>
  <c r="K11" i="19"/>
  <c r="K10" i="21"/>
  <c r="K38" i="21"/>
  <c r="J11" i="19"/>
  <c r="I11" i="19"/>
  <c r="H11" i="19"/>
  <c r="H10" i="21"/>
  <c r="H38" i="21"/>
  <c r="G11" i="19"/>
  <c r="G10" i="21"/>
  <c r="G38" i="21"/>
  <c r="F11" i="19"/>
  <c r="E11" i="19"/>
  <c r="D11" i="19"/>
  <c r="D10" i="21"/>
  <c r="D38" i="21"/>
  <c r="C11" i="19"/>
  <c r="C10" i="21"/>
  <c r="C38" i="2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I31" i="19"/>
  <c r="H31" i="19"/>
  <c r="G17" i="19"/>
  <c r="E31" i="19"/>
  <c r="D31" i="19"/>
  <c r="C17" i="19"/>
  <c r="B28" i="19"/>
  <c r="B19" i="21"/>
  <c r="F28" i="19"/>
  <c r="J28" i="19"/>
  <c r="J19" i="21"/>
  <c r="C28" i="19"/>
  <c r="C19" i="21"/>
  <c r="K28" i="19"/>
  <c r="K19" i="21"/>
  <c r="G28" i="19"/>
  <c r="G19" i="21"/>
  <c r="D22" i="21"/>
  <c r="D28" i="19"/>
  <c r="H22" i="21"/>
  <c r="H28" i="19"/>
  <c r="H19" i="21"/>
  <c r="E22" i="21"/>
  <c r="E28" i="19"/>
  <c r="E32" i="19"/>
  <c r="E30" i="21"/>
  <c r="E33" i="21"/>
  <c r="I22" i="21"/>
  <c r="I28" i="19"/>
  <c r="M12" i="21"/>
  <c r="M32" i="21"/>
  <c r="O4" i="21"/>
  <c r="N12" i="21"/>
  <c r="N32" i="21"/>
  <c r="O3" i="21"/>
  <c r="N11" i="21"/>
  <c r="N31" i="21"/>
  <c r="L29" i="21"/>
  <c r="L9" i="21"/>
  <c r="M1" i="21"/>
  <c r="C40" i="19"/>
  <c r="B22" i="21"/>
  <c r="F19" i="21"/>
  <c r="F22" i="21"/>
  <c r="J22" i="21"/>
  <c r="C13" i="21"/>
  <c r="C18" i="21"/>
  <c r="G13" i="21"/>
  <c r="G18" i="21"/>
  <c r="K13" i="21"/>
  <c r="K15" i="21"/>
  <c r="K18" i="21"/>
  <c r="C22" i="21"/>
  <c r="G22" i="21"/>
  <c r="K22" i="21"/>
  <c r="D13" i="21"/>
  <c r="D18" i="21"/>
  <c r="H13" i="21"/>
  <c r="H18" i="21"/>
  <c r="G12" i="19"/>
  <c r="I15" i="19"/>
  <c r="I45" i="19"/>
  <c r="E10" i="21"/>
  <c r="E38" i="21"/>
  <c r="I13" i="19"/>
  <c r="I41" i="19"/>
  <c r="I10" i="21"/>
  <c r="I38" i="21"/>
  <c r="K12" i="19"/>
  <c r="B12" i="19"/>
  <c r="B10" i="21"/>
  <c r="B38" i="21"/>
  <c r="B39" i="21"/>
  <c r="F12" i="19"/>
  <c r="F10" i="21"/>
  <c r="F38" i="21"/>
  <c r="J12" i="19"/>
  <c r="J10" i="21"/>
  <c r="J38" i="21"/>
  <c r="F14" i="19"/>
  <c r="F43" i="19"/>
  <c r="J14" i="19"/>
  <c r="J43" i="19"/>
  <c r="C12" i="19"/>
  <c r="K40" i="19"/>
  <c r="G40" i="19"/>
  <c r="F13" i="19"/>
  <c r="F41" i="19"/>
  <c r="J15" i="19"/>
  <c r="J45" i="19"/>
  <c r="D8" i="19"/>
  <c r="H8" i="19"/>
  <c r="D12" i="19"/>
  <c r="H12" i="19"/>
  <c r="C13" i="19"/>
  <c r="C41" i="19"/>
  <c r="G13" i="19"/>
  <c r="G41" i="19"/>
  <c r="K13" i="19"/>
  <c r="K41" i="19"/>
  <c r="H14" i="19"/>
  <c r="H43" i="19"/>
  <c r="G15" i="19"/>
  <c r="G45" i="19"/>
  <c r="K15" i="19"/>
  <c r="K45" i="19"/>
  <c r="E17" i="19"/>
  <c r="I17" i="19"/>
  <c r="C31" i="19"/>
  <c r="G31" i="19"/>
  <c r="K31" i="19"/>
  <c r="D40" i="19"/>
  <c r="E14" i="19"/>
  <c r="E43" i="19"/>
  <c r="I14" i="19"/>
  <c r="I43" i="19"/>
  <c r="H15" i="19"/>
  <c r="H45" i="19"/>
  <c r="B17" i="19"/>
  <c r="F17" i="19"/>
  <c r="J17" i="19"/>
  <c r="J40" i="19"/>
  <c r="J13" i="19"/>
  <c r="J41" i="19"/>
  <c r="G14" i="19"/>
  <c r="G43" i="19"/>
  <c r="K14" i="19"/>
  <c r="K43" i="19"/>
  <c r="B31" i="19"/>
  <c r="F31" i="19"/>
  <c r="J31" i="19"/>
  <c r="E12" i="19"/>
  <c r="I12" i="19"/>
  <c r="D13" i="19"/>
  <c r="D41" i="19"/>
  <c r="H13" i="19"/>
  <c r="H41" i="19"/>
  <c r="B8" i="19"/>
  <c r="F8" i="19"/>
  <c r="J8" i="19"/>
  <c r="E13" i="19"/>
  <c r="E41" i="19"/>
  <c r="H6" i="17"/>
  <c r="H10" i="17"/>
  <c r="H8" i="17"/>
  <c r="G8" i="17"/>
  <c r="G6" i="17"/>
  <c r="G10" i="17"/>
  <c r="G7" i="17"/>
  <c r="G11" i="17"/>
  <c r="G9" i="17"/>
  <c r="G12" i="17"/>
  <c r="G5" i="17"/>
  <c r="H5" i="17"/>
  <c r="C2" i="1"/>
  <c r="H7" i="17"/>
  <c r="H9" i="17"/>
  <c r="H11" i="17"/>
  <c r="H12" i="17"/>
  <c r="J7" i="17"/>
  <c r="B32" i="19"/>
  <c r="B30" i="21"/>
  <c r="B33" i="21"/>
  <c r="B29" i="19"/>
  <c r="G29" i="19"/>
  <c r="F32" i="19"/>
  <c r="F30" i="21"/>
  <c r="F33" i="21"/>
  <c r="G32" i="19"/>
  <c r="G33" i="19"/>
  <c r="C32" i="19"/>
  <c r="C33" i="19"/>
  <c r="F29" i="19"/>
  <c r="K14" i="21"/>
  <c r="J32" i="19"/>
  <c r="J30" i="21"/>
  <c r="J33" i="21"/>
  <c r="K29" i="19"/>
  <c r="K32" i="19"/>
  <c r="K30" i="21"/>
  <c r="K33" i="21"/>
  <c r="K34" i="21"/>
  <c r="H32" i="19"/>
  <c r="H30" i="21"/>
  <c r="H33" i="21"/>
  <c r="C29" i="19"/>
  <c r="J29" i="19"/>
  <c r="G40" i="21"/>
  <c r="J40" i="21"/>
  <c r="B33" i="19"/>
  <c r="D40" i="21"/>
  <c r="K40" i="21"/>
  <c r="P3" i="21"/>
  <c r="P11" i="21"/>
  <c r="P31" i="21"/>
  <c r="O11" i="21"/>
  <c r="O31" i="21"/>
  <c r="P4" i="21"/>
  <c r="P12" i="21"/>
  <c r="P32" i="21"/>
  <c r="O12" i="21"/>
  <c r="O32" i="21"/>
  <c r="C40" i="21"/>
  <c r="C39" i="21"/>
  <c r="D39" i="21"/>
  <c r="N1" i="21"/>
  <c r="M29" i="21"/>
  <c r="M9" i="21"/>
  <c r="I29" i="19"/>
  <c r="I19" i="21"/>
  <c r="F13" i="21"/>
  <c r="F18" i="21"/>
  <c r="E29" i="19"/>
  <c r="E19" i="21"/>
  <c r="I32" i="19"/>
  <c r="I30" i="21"/>
  <c r="I33" i="21"/>
  <c r="H29" i="19"/>
  <c r="D29" i="19"/>
  <c r="D19" i="21"/>
  <c r="J13" i="21"/>
  <c r="J18" i="21"/>
  <c r="B13" i="21"/>
  <c r="B18" i="21"/>
  <c r="E13" i="21"/>
  <c r="E18" i="21"/>
  <c r="I13" i="21"/>
  <c r="I18" i="21"/>
  <c r="D32" i="19"/>
  <c r="J44" i="19"/>
  <c r="I42" i="19"/>
  <c r="I41" i="21"/>
  <c r="G44" i="19"/>
  <c r="K44" i="19"/>
  <c r="E42" i="19"/>
  <c r="E41" i="21"/>
  <c r="J42" i="19"/>
  <c r="J41" i="21"/>
  <c r="H40" i="19"/>
  <c r="H40" i="21"/>
  <c r="K42" i="19"/>
  <c r="K41" i="21"/>
  <c r="I40" i="19"/>
  <c r="I40" i="21"/>
  <c r="H44" i="19"/>
  <c r="F42" i="19"/>
  <c r="F41" i="21"/>
  <c r="G42" i="19"/>
  <c r="G41" i="21"/>
  <c r="E40" i="19"/>
  <c r="E40" i="21"/>
  <c r="I44" i="19"/>
  <c r="F40" i="19"/>
  <c r="F40" i="21"/>
  <c r="F34" i="19"/>
  <c r="E33" i="19"/>
  <c r="H42" i="19"/>
  <c r="H41" i="21"/>
  <c r="E11" i="17"/>
  <c r="E8" i="17"/>
  <c r="E7" i="17"/>
  <c r="E12" i="17"/>
  <c r="E9" i="17"/>
  <c r="E10" i="17"/>
  <c r="E6" i="17"/>
  <c r="E5" i="17"/>
  <c r="J8" i="17"/>
  <c r="C34" i="19"/>
  <c r="D34" i="19"/>
  <c r="C30" i="21"/>
  <c r="C33" i="21"/>
  <c r="E34" i="19"/>
  <c r="F33" i="19"/>
  <c r="H34" i="19"/>
  <c r="G30" i="21"/>
  <c r="G33" i="21"/>
  <c r="G34" i="19"/>
  <c r="G35" i="19"/>
  <c r="J33" i="19"/>
  <c r="H33" i="19"/>
  <c r="K35" i="19"/>
  <c r="J35" i="19"/>
  <c r="H35" i="19"/>
  <c r="H36" i="19"/>
  <c r="K33" i="19"/>
  <c r="E35" i="19"/>
  <c r="K34" i="19"/>
  <c r="J34" i="19"/>
  <c r="K35" i="21"/>
  <c r="F35" i="19"/>
  <c r="D30" i="21"/>
  <c r="D33" i="21"/>
  <c r="I35" i="19"/>
  <c r="I36" i="19"/>
  <c r="G36" i="19"/>
  <c r="I34" i="19"/>
  <c r="J36" i="19"/>
  <c r="K36" i="19"/>
  <c r="I33" i="19"/>
  <c r="O1" i="21"/>
  <c r="N29" i="21"/>
  <c r="N9" i="21"/>
  <c r="E39" i="21"/>
  <c r="F39" i="21"/>
  <c r="G39" i="21"/>
  <c r="H39" i="21"/>
  <c r="I39" i="21"/>
  <c r="J39" i="21"/>
  <c r="K39" i="21"/>
  <c r="D33" i="19"/>
  <c r="J9" i="17"/>
  <c r="P1" i="21"/>
  <c r="O29" i="21"/>
  <c r="O9" i="21"/>
  <c r="J10" i="17"/>
  <c r="P29" i="21"/>
  <c r="P9" i="21"/>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B51" i="1"/>
  <c r="J44" i="17"/>
  <c r="B45" i="1"/>
  <c r="B46" i="1"/>
  <c r="J45" i="17"/>
  <c r="C25" i="1"/>
  <c r="C42" i="1"/>
  <c r="B114" i="1"/>
  <c r="C114" i="1"/>
  <c r="C115" i="1"/>
  <c r="C116" i="1"/>
  <c r="C117" i="1"/>
  <c r="D25" i="1"/>
  <c r="D42" i="1"/>
  <c r="B92" i="1"/>
  <c r="C92" i="1"/>
  <c r="D92" i="1"/>
  <c r="D93" i="1"/>
  <c r="D94" i="1"/>
  <c r="D95" i="1"/>
  <c r="E25" i="1"/>
  <c r="E42" i="1"/>
  <c r="B125" i="1"/>
  <c r="C125" i="1"/>
  <c r="D125" i="1"/>
  <c r="E125" i="1"/>
  <c r="E126" i="1"/>
  <c r="E127" i="1"/>
  <c r="E128" i="1"/>
  <c r="F25" i="1"/>
  <c r="B47" i="1"/>
  <c r="B48" i="1"/>
  <c r="B58" i="1"/>
  <c r="C58" i="1"/>
  <c r="D58" i="1"/>
  <c r="E58" i="1"/>
  <c r="F58" i="1"/>
  <c r="F59" i="1"/>
  <c r="F61" i="1"/>
  <c r="F64" i="1"/>
  <c r="F65" i="1"/>
  <c r="G65" i="1"/>
  <c r="B25" i="1"/>
  <c r="B42" i="1"/>
  <c r="B103" i="1"/>
  <c r="B104" i="1"/>
  <c r="B105" i="1"/>
  <c r="B106" i="1"/>
  <c r="B136" i="1"/>
  <c r="B81" i="1"/>
  <c r="B70" i="1"/>
  <c r="B37" i="1"/>
  <c r="B38" i="1"/>
  <c r="B36" i="1"/>
  <c r="J46" i="17"/>
  <c r="I11" i="1"/>
  <c r="B26" i="1"/>
  <c r="B27" i="1"/>
  <c r="B28" i="1"/>
  <c r="J47" i="17"/>
  <c r="I9" i="1"/>
  <c r="B12" i="17"/>
  <c r="I8" i="1"/>
  <c r="B10" i="17"/>
  <c r="I7" i="1"/>
  <c r="B11" i="17"/>
  <c r="I6" i="1"/>
  <c r="B8" i="17"/>
  <c r="I2" i="1"/>
  <c r="B5" i="17"/>
  <c r="I4" i="1"/>
  <c r="B6" i="17"/>
  <c r="I5" i="1"/>
  <c r="B9" i="17"/>
  <c r="I3" i="1"/>
  <c r="B7" i="17"/>
  <c r="J48" i="17"/>
  <c r="B137" i="1"/>
  <c r="B138" i="1"/>
  <c r="B126" i="1"/>
  <c r="B127" i="1"/>
  <c r="D114" i="1"/>
  <c r="E114" i="1"/>
  <c r="F114" i="1"/>
  <c r="C103" i="1"/>
  <c r="D103" i="1"/>
  <c r="E103" i="1"/>
  <c r="F103" i="1"/>
  <c r="B93" i="1"/>
  <c r="B94" i="1"/>
  <c r="B59" i="1"/>
  <c r="B61" i="1"/>
  <c r="D18" i="1"/>
  <c r="F85" i="1"/>
  <c r="D17" i="1"/>
  <c r="F140" i="1"/>
  <c r="E21" i="1"/>
  <c r="F118" i="1"/>
  <c r="J49" i="17"/>
  <c r="F107" i="1"/>
  <c r="F74" i="1"/>
  <c r="C136" i="1"/>
  <c r="C137" i="1"/>
  <c r="C138" i="1"/>
  <c r="B115" i="1"/>
  <c r="B116" i="1"/>
  <c r="C93" i="1"/>
  <c r="C94" i="1"/>
  <c r="B82" i="1"/>
  <c r="B83" i="1"/>
  <c r="B60" i="1"/>
  <c r="C81" i="1"/>
  <c r="C82" i="1"/>
  <c r="C83" i="1"/>
  <c r="C26" i="1"/>
  <c r="D26" i="1"/>
  <c r="E26" i="1"/>
  <c r="F26" i="1"/>
  <c r="L16" i="1"/>
  <c r="J50" i="17"/>
  <c r="C126" i="1"/>
  <c r="C127" i="1"/>
  <c r="D136" i="1"/>
  <c r="D137" i="1"/>
  <c r="D138" i="1"/>
  <c r="C104" i="1"/>
  <c r="C105" i="1"/>
  <c r="D81" i="1"/>
  <c r="D82" i="1"/>
  <c r="D83" i="1"/>
  <c r="B71" i="1"/>
  <c r="B72" i="1"/>
  <c r="C70" i="1"/>
  <c r="C59" i="1"/>
  <c r="C61" i="1"/>
  <c r="F42" i="1"/>
  <c r="F125" i="1"/>
  <c r="F126" i="1"/>
  <c r="F127" i="1"/>
  <c r="F128" i="1"/>
  <c r="C27" i="1"/>
  <c r="C28" i="1"/>
  <c r="F27" i="1"/>
  <c r="F28" i="1"/>
  <c r="D27" i="1"/>
  <c r="D28" i="1"/>
  <c r="E27" i="1"/>
  <c r="E28" i="1"/>
  <c r="J51" i="17"/>
  <c r="D126" i="1"/>
  <c r="D127" i="1"/>
  <c r="E136" i="1"/>
  <c r="E137" i="1"/>
  <c r="E138" i="1"/>
  <c r="D115" i="1"/>
  <c r="D104" i="1"/>
  <c r="D105" i="1"/>
  <c r="E92" i="1"/>
  <c r="E93" i="1"/>
  <c r="E94" i="1"/>
  <c r="C60" i="1"/>
  <c r="E81" i="1"/>
  <c r="E82" i="1"/>
  <c r="E83" i="1"/>
  <c r="C71" i="1"/>
  <c r="D70" i="1"/>
  <c r="D59" i="1"/>
  <c r="D61" i="1"/>
  <c r="J52" i="17"/>
  <c r="D116" i="1"/>
  <c r="C72" i="1"/>
  <c r="F136" i="1"/>
  <c r="E115" i="1"/>
  <c r="F115" i="1"/>
  <c r="E104" i="1"/>
  <c r="E105" i="1"/>
  <c r="F92" i="1"/>
  <c r="D60" i="1"/>
  <c r="F81" i="1"/>
  <c r="F82" i="1"/>
  <c r="F83" i="1"/>
  <c r="D71" i="1"/>
  <c r="E70" i="1"/>
  <c r="E59" i="1"/>
  <c r="E61" i="1"/>
  <c r="J53" i="17"/>
  <c r="D72" i="1"/>
  <c r="F116" i="1"/>
  <c r="F119" i="1"/>
  <c r="E116" i="1"/>
  <c r="F137" i="1"/>
  <c r="F138" i="1"/>
  <c r="F93" i="1"/>
  <c r="F94" i="1"/>
  <c r="F104" i="1"/>
  <c r="F105" i="1"/>
  <c r="E60" i="1"/>
  <c r="E71" i="1"/>
  <c r="F70" i="1"/>
  <c r="J54" i="17"/>
  <c r="E72" i="1"/>
  <c r="F141" i="1"/>
  <c r="F97" i="1"/>
  <c r="F60" i="1"/>
  <c r="F71" i="1"/>
  <c r="F72" i="1"/>
  <c r="J55" i="17"/>
  <c r="F130" i="1"/>
  <c r="F108" i="1"/>
  <c r="F75" i="1"/>
  <c r="F86" i="1"/>
  <c r="F29" i="1"/>
  <c r="B49" i="1"/>
  <c r="D29" i="1"/>
  <c r="C29" i="1"/>
  <c r="B29" i="1"/>
  <c r="E29" i="1"/>
  <c r="L17" i="1"/>
  <c r="D128" i="1"/>
  <c r="F131" i="1"/>
  <c r="G131" i="1"/>
  <c r="F142" i="1"/>
  <c r="G142" i="1"/>
  <c r="F76" i="1"/>
  <c r="G76" i="1"/>
  <c r="B95" i="1"/>
  <c r="D84" i="1"/>
  <c r="B139" i="1"/>
  <c r="F109" i="1"/>
  <c r="G109" i="1"/>
  <c r="F87" i="1"/>
  <c r="G87" i="1"/>
  <c r="F98" i="1"/>
  <c r="G98" i="1"/>
  <c r="F120" i="1"/>
  <c r="G120" i="1"/>
  <c r="B50" i="1"/>
  <c r="D21" i="1"/>
  <c r="B53" i="1"/>
  <c r="F129" i="1"/>
  <c r="B52" i="1"/>
  <c r="B54" i="1"/>
  <c r="G129" i="1"/>
  <c r="F96" i="1"/>
  <c r="F63" i="1"/>
  <c r="E73" i="1"/>
  <c r="E62" i="1"/>
  <c r="E139" i="1"/>
  <c r="C73" i="1"/>
  <c r="C139" i="1"/>
  <c r="C128" i="1"/>
  <c r="C43" i="1"/>
  <c r="E43" i="1"/>
  <c r="E106" i="1"/>
  <c r="E95" i="1"/>
  <c r="C62" i="1"/>
  <c r="C95" i="1"/>
  <c r="E117" i="1"/>
  <c r="C106" i="1"/>
  <c r="F62" i="1"/>
  <c r="G63" i="1"/>
  <c r="F43" i="1"/>
  <c r="C21" i="1"/>
  <c r="F95" i="1"/>
  <c r="G96" i="1"/>
  <c r="F139" i="1"/>
  <c r="G140" i="1"/>
  <c r="F117" i="1"/>
  <c r="G118" i="1"/>
  <c r="F73" i="1"/>
  <c r="G74" i="1"/>
  <c r="F106" i="1"/>
  <c r="G107" i="1"/>
  <c r="F84" i="1"/>
  <c r="G85" i="1"/>
  <c r="D117" i="1"/>
  <c r="D62" i="1"/>
  <c r="D139" i="1"/>
  <c r="D106" i="1"/>
  <c r="D73" i="1"/>
  <c r="D43" i="1"/>
  <c r="B128" i="1"/>
  <c r="B73" i="1"/>
  <c r="B62" i="1"/>
  <c r="B117" i="1"/>
  <c r="B84" i="1"/>
  <c r="B43" i="1"/>
  <c r="E84" i="1"/>
  <c r="C84" i="1"/>
  <c r="G106" i="1"/>
  <c r="G110" i="1"/>
  <c r="G111" i="1"/>
  <c r="K6" i="1"/>
  <c r="C8" i="17"/>
  <c r="G128" i="1"/>
  <c r="G132" i="1"/>
  <c r="G133" i="1"/>
  <c r="K8" i="1"/>
  <c r="C10" i="17"/>
  <c r="G73" i="1"/>
  <c r="G77" i="1"/>
  <c r="G78" i="1"/>
  <c r="K3" i="1"/>
  <c r="C7" i="17"/>
  <c r="B21" i="1"/>
  <c r="F21" i="1"/>
  <c r="B22" i="1"/>
  <c r="G139" i="1"/>
  <c r="G143" i="1"/>
  <c r="G144" i="1"/>
  <c r="K9" i="1"/>
  <c r="C12" i="17"/>
  <c r="G84" i="1"/>
  <c r="G88" i="1"/>
  <c r="G89" i="1"/>
  <c r="K4" i="1"/>
  <c r="C6" i="17"/>
  <c r="G117" i="1"/>
  <c r="G121" i="1"/>
  <c r="G122" i="1"/>
  <c r="K7" i="1"/>
  <c r="C11" i="17"/>
  <c r="G62" i="1"/>
  <c r="G66" i="1"/>
  <c r="G67" i="1"/>
  <c r="K2" i="1"/>
  <c r="C5" i="17"/>
  <c r="G95" i="1"/>
  <c r="G99" i="1"/>
  <c r="G100" i="1"/>
  <c r="K5" i="1"/>
  <c r="C9" i="17"/>
  <c r="C22" i="1"/>
  <c r="B2" i="17"/>
  <c r="B1" i="17"/>
  <c r="L18" i="1"/>
  <c r="I12" i="1"/>
  <c r="E22" i="1"/>
  <c r="D22" i="1"/>
  <c r="K49" i="17"/>
  <c r="K43" i="17"/>
  <c r="K35" i="17"/>
  <c r="K52" i="17"/>
  <c r="K36" i="17"/>
  <c r="K27" i="17"/>
  <c r="K50" i="17"/>
  <c r="K34" i="17"/>
  <c r="K17" i="17"/>
  <c r="K13" i="17"/>
  <c r="K11" i="17"/>
  <c r="K7" i="17"/>
  <c r="K53" i="17"/>
  <c r="K51" i="17"/>
  <c r="K39" i="17"/>
  <c r="K25" i="17"/>
  <c r="K40" i="17"/>
  <c r="K24" i="17"/>
  <c r="K54" i="17"/>
  <c r="K38" i="17"/>
  <c r="K20" i="17"/>
  <c r="K21" i="17"/>
  <c r="K15" i="17"/>
  <c r="K8" i="17"/>
  <c r="K9" i="17"/>
  <c r="K41" i="17"/>
  <c r="K48" i="17"/>
  <c r="K23" i="17"/>
  <c r="K30" i="17"/>
  <c r="K12" i="17"/>
  <c r="K10" i="17"/>
  <c r="K33" i="17"/>
  <c r="K46" i="17"/>
  <c r="K22" i="17"/>
  <c r="K5" i="17"/>
  <c r="K47" i="17"/>
  <c r="K28" i="17"/>
  <c r="K42" i="17"/>
  <c r="K16" i="17"/>
  <c r="K14" i="17"/>
  <c r="K55" i="17"/>
  <c r="K37" i="17"/>
  <c r="K44" i="17"/>
  <c r="K31" i="17"/>
  <c r="K26" i="17"/>
  <c r="K19" i="17"/>
  <c r="K6" i="17"/>
  <c r="K45" i="17"/>
  <c r="K32" i="17"/>
  <c r="K18" i="17"/>
  <c r="K29" i="17"/>
  <c r="D5" i="17"/>
  <c r="D8" i="17"/>
  <c r="D7" i="17"/>
  <c r="D6" i="17"/>
  <c r="D11" i="17"/>
  <c r="D10" i="17"/>
  <c r="D9" i="17"/>
  <c r="D12" i="17"/>
  <c r="L31" i="17"/>
  <c r="M31" i="17"/>
  <c r="N31" i="17"/>
  <c r="O31" i="17"/>
  <c r="N14" i="17"/>
  <c r="O14" i="17"/>
  <c r="L14" i="17"/>
  <c r="M14" i="17"/>
  <c r="M47" i="17"/>
  <c r="N47" i="17"/>
  <c r="O47" i="17"/>
  <c r="L47" i="17"/>
  <c r="N33" i="17"/>
  <c r="O33" i="17"/>
  <c r="L33" i="17"/>
  <c r="L30" i="17"/>
  <c r="M33" i="17"/>
  <c r="N23" i="17"/>
  <c r="O23" i="17"/>
  <c r="L23" i="17"/>
  <c r="M23" i="17"/>
  <c r="N8" i="17"/>
  <c r="O8" i="17"/>
  <c r="L8" i="17"/>
  <c r="M8" i="17"/>
  <c r="M38" i="17"/>
  <c r="L38" i="17"/>
  <c r="N38" i="17"/>
  <c r="O38" i="17"/>
  <c r="L25" i="17"/>
  <c r="N25" i="17"/>
  <c r="O25" i="17"/>
  <c r="M25" i="17"/>
  <c r="N7" i="17"/>
  <c r="O7" i="17"/>
  <c r="M7" i="17"/>
  <c r="L7" i="17"/>
  <c r="N34" i="17"/>
  <c r="O34" i="17"/>
  <c r="L34" i="17"/>
  <c r="M34" i="17"/>
  <c r="N52" i="17"/>
  <c r="O52" i="17"/>
  <c r="L52" i="17"/>
  <c r="M52" i="17"/>
  <c r="M29" i="17"/>
  <c r="N29" i="17"/>
  <c r="O29" i="17"/>
  <c r="L29" i="17"/>
  <c r="M6" i="17"/>
  <c r="N6" i="17"/>
  <c r="O6" i="17"/>
  <c r="L6" i="17"/>
  <c r="N44" i="17"/>
  <c r="O44" i="17"/>
  <c r="L44" i="17"/>
  <c r="M44" i="17"/>
  <c r="N16" i="17"/>
  <c r="O16" i="17"/>
  <c r="M16" i="17"/>
  <c r="L16" i="17"/>
  <c r="N5" i="17"/>
  <c r="O5" i="17"/>
  <c r="M5" i="17"/>
  <c r="L5" i="17"/>
  <c r="N10" i="17"/>
  <c r="O10" i="17"/>
  <c r="L10" i="17"/>
  <c r="M10" i="17"/>
  <c r="N48" i="17"/>
  <c r="O48" i="17"/>
  <c r="M48" i="17"/>
  <c r="L48" i="17"/>
  <c r="L15" i="17"/>
  <c r="M15" i="17"/>
  <c r="N15" i="17"/>
  <c r="O15" i="17"/>
  <c r="L54" i="17"/>
  <c r="M54" i="17"/>
  <c r="N54" i="17"/>
  <c r="O54" i="17"/>
  <c r="M39" i="17"/>
  <c r="L39" i="17"/>
  <c r="N39" i="17"/>
  <c r="O39" i="17"/>
  <c r="M11" i="17"/>
  <c r="N11" i="17"/>
  <c r="O11" i="17"/>
  <c r="L11" i="17"/>
  <c r="N50" i="17"/>
  <c r="O50" i="17"/>
  <c r="L50" i="17"/>
  <c r="M50" i="17"/>
  <c r="M35" i="17"/>
  <c r="N35" i="17"/>
  <c r="O35" i="17"/>
  <c r="L35" i="17"/>
  <c r="L19" i="17"/>
  <c r="M19" i="17"/>
  <c r="N19" i="17"/>
  <c r="O19" i="17"/>
  <c r="M37" i="17"/>
  <c r="L37" i="17"/>
  <c r="N37" i="17"/>
  <c r="O37" i="17"/>
  <c r="L42" i="17"/>
  <c r="N42" i="17"/>
  <c r="O42" i="17"/>
  <c r="M42" i="17"/>
  <c r="N22" i="17"/>
  <c r="O22" i="17"/>
  <c r="L22" i="17"/>
  <c r="M22" i="17"/>
  <c r="N12" i="17"/>
  <c r="O12" i="17"/>
  <c r="L12" i="17"/>
  <c r="M12" i="17"/>
  <c r="N41" i="17"/>
  <c r="O41" i="17"/>
  <c r="M41" i="17"/>
  <c r="L41" i="17"/>
  <c r="N21" i="17"/>
  <c r="O21" i="17"/>
  <c r="M21" i="17"/>
  <c r="L21" i="17"/>
  <c r="L24" i="17"/>
  <c r="N24" i="17"/>
  <c r="O24" i="17"/>
  <c r="M24" i="17"/>
  <c r="M51" i="17"/>
  <c r="N51" i="17"/>
  <c r="O51" i="17"/>
  <c r="L51" i="17"/>
  <c r="N13" i="17"/>
  <c r="O13" i="17"/>
  <c r="M13" i="17"/>
  <c r="L13" i="17"/>
  <c r="M27" i="17"/>
  <c r="N27" i="17"/>
  <c r="O27" i="17"/>
  <c r="L27" i="17"/>
  <c r="L43" i="17"/>
  <c r="N43" i="17"/>
  <c r="O43" i="17"/>
  <c r="M43" i="17"/>
  <c r="N45" i="17"/>
  <c r="O45" i="17"/>
  <c r="M45" i="17"/>
  <c r="L45" i="17"/>
  <c r="N18" i="17"/>
  <c r="O18" i="17"/>
  <c r="L18" i="17"/>
  <c r="M18" i="17"/>
  <c r="N32" i="17"/>
  <c r="O32" i="17"/>
  <c r="M32" i="17"/>
  <c r="L32" i="17"/>
  <c r="L26" i="17"/>
  <c r="N26" i="17"/>
  <c r="O26" i="17"/>
  <c r="M26" i="17"/>
  <c r="M55" i="17"/>
  <c r="N55" i="17"/>
  <c r="O55" i="17"/>
  <c r="L55" i="17"/>
  <c r="L28" i="17"/>
  <c r="M28" i="17"/>
  <c r="N28" i="17"/>
  <c r="O28" i="17"/>
  <c r="N46" i="17"/>
  <c r="O46" i="17"/>
  <c r="M46" i="17"/>
  <c r="L46" i="17"/>
  <c r="N30" i="17"/>
  <c r="O30" i="17"/>
  <c r="M30" i="17"/>
  <c r="M9" i="17"/>
  <c r="L9" i="17"/>
  <c r="N9" i="17"/>
  <c r="O9" i="17"/>
  <c r="M20" i="17"/>
  <c r="L20" i="17"/>
  <c r="N20" i="17"/>
  <c r="O20" i="17"/>
  <c r="L40" i="17"/>
  <c r="M40" i="17"/>
  <c r="N40" i="17"/>
  <c r="O40" i="17"/>
  <c r="M53" i="17"/>
  <c r="L53" i="17"/>
  <c r="N53" i="17"/>
  <c r="O53" i="17"/>
  <c r="N17" i="17"/>
  <c r="O17" i="17"/>
  <c r="L17" i="17"/>
  <c r="M17" i="17"/>
  <c r="N36" i="17"/>
  <c r="O36" i="17"/>
  <c r="L36" i="17"/>
  <c r="M36" i="17"/>
  <c r="M49" i="17"/>
  <c r="N49" i="17"/>
  <c r="O49" i="17"/>
  <c r="L4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5" authorId="0" shapeId="0" xr:uid="{00000000-0006-0000-0100-000007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B1" authorId="0" shapeId="0" xr:uid="{6F407E04-9FB0-4771-A1CF-CB38B4895175}">
      <text>
        <r>
          <rPr>
            <b/>
            <sz val="9"/>
            <color indexed="81"/>
            <rFont val="Tahoma"/>
            <family val="2"/>
          </rPr>
          <t>Erik Kobayashi-Solomon:</t>
        </r>
        <r>
          <rPr>
            <sz val="9"/>
            <color indexed="81"/>
            <rFont val="Tahoma"/>
            <family val="2"/>
          </rPr>
          <t xml:space="preserve">
Strategic Imperatives announced</t>
        </r>
      </text>
    </comment>
    <comment ref="B9" authorId="0" shapeId="0" xr:uid="{BF6F0526-BDB4-42C6-8462-7B745609BFFC}">
      <text>
        <r>
          <rPr>
            <b/>
            <sz val="9"/>
            <color indexed="81"/>
            <rFont val="Tahoma"/>
            <family val="2"/>
          </rPr>
          <t>Erik Kobayashi-Solomon:</t>
        </r>
        <r>
          <rPr>
            <sz val="9"/>
            <color indexed="81"/>
            <rFont val="Tahoma"/>
            <family val="2"/>
          </rPr>
          <t xml:space="preserve">
Strategic Imperatives announced</t>
        </r>
      </text>
    </comment>
  </commentList>
</comments>
</file>

<file path=xl/sharedStrings.xml><?xml version="1.0" encoding="utf-8"?>
<sst xmlns="http://schemas.openxmlformats.org/spreadsheetml/2006/main" count="597" uniqueCount="258">
  <si>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</si>
  <si>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</si>
  <si>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</si>
  <si>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</si>
  <si>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</si>
  <si>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</si>
  <si>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</si>
  <si>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</si>
  <si>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</si>
  <si>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</si>
  <si>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</si>
  <si>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</si>
  <si>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</si>
  <si>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</si>
  <si>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</si>
  <si>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</si>
  <si>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</si>
  <si>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</si>
  <si>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</si>
  <si>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</si>
  <si>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</si>
  <si>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</si>
  <si>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</si>
  <si>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</si>
  <si>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</si>
  <si>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</si>
  <si>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</si>
  <si>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</si>
  <si>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</si>
  <si>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</si>
  <si>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</si>
  <si>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</si>
  <si>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</si>
  <si>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</si>
  <si>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</si>
  <si>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</si>
  <si>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</si>
  <si>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</si>
  <si>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</si>
  <si>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</si>
  <si>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</si>
  <si>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</si>
  <si>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</si>
  <si>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</si>
  <si>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</si>
  <si>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</si>
  <si>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</si>
  <si>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</si>
  <si>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</si>
  <si>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</si>
  <si>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</si>
  <si>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</si>
  <si>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</si>
  <si>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</si>
  <si>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</si>
  <si>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</si>
  <si>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</si>
  <si>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</si>
  <si>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</si>
  <si>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</si>
  <si>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</si>
  <si>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</si>
  <si>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</si>
  <si>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</si>
  <si>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</si>
  <si>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</si>
  <si>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</si>
  <si>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</si>
  <si>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</si>
  <si>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</si>
  <si>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</si>
  <si>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</si>
  <si>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</si>
  <si>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</si>
  <si>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</si>
  <si>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</si>
  <si>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</si>
  <si>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</si>
  <si>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</si>
  <si>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</si>
  <si>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</si>
  <si>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</si>
  <si>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</si>
  <si>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</si>
  <si>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</si>
  <si>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</si>
  <si>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</si>
  <si>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</si>
  <si>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</si>
  <si>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</si>
  <si>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</si>
  <si>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</si>
  <si>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</si>
  <si>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</si>
  <si>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</si>
  <si>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</si>
  <si>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</si>
  <si>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</si>
  <si>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</si>
  <si>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</si>
  <si>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</si>
  <si>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</si>
  <si>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</si>
  <si>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</si>
  <si>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</si>
  <si>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</si>
  <si>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</si>
  <si>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</si>
  <si>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</si>
  <si>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</si>
  <si>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</si>
  <si>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</si>
  <si>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</si>
  <si>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</si>
  <si>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</si>
  <si>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</si>
  <si>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</si>
  <si>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</si>
  <si>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</si>
  <si>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</si>
  <si>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</si>
  <si>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</si>
  <si>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</si>
  <si>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</si>
  <si>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</si>
  <si>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</si>
  <si>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</si>
  <si>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</si>
  <si>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</si>
  <si>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</si>
  <si>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</si>
  <si>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</si>
  <si>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</si>
  <si>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</si>
  <si>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</si>
  <si>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</si>
  <si>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</si>
  <si>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</si>
  <si>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</si>
  <si>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</si>
  <si>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</si>
  <si>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</si>
  <si>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</si>
  <si>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</si>
  <si>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</si>
  <si>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</si>
  <si>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</si>
  <si>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</si>
  <si>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</si>
  <si>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</si>
  <si>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</si>
  <si>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</si>
  <si>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</si>
  <si>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</si>
  <si>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</si>
  <si>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</si>
  <si>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</si>
  <si>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</si>
  <si>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</si>
  <si>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</si>
  <si>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</si>
  <si>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</si>
  <si>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</si>
  <si>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</si>
  <si>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</si>
  <si>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</si>
  <si>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</si>
  <si>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</si>
  <si>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</si>
  <si>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</si>
  <si>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</si>
  <si>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</si>
  <si>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</si>
  <si>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</si>
  <si>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</si>
  <si>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</si>
  <si>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</si>
  <si>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</si>
  <si>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</si>
  <si>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</si>
  <si>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</si>
  <si>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</si>
  <si>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</si>
  <si>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</si>
  <si>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</si>
  <si>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</si>
  <si>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</si>
  <si>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</si>
  <si>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</si>
  <si>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</si>
  <si>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</si>
  <si>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International Business Machines</t>
  </si>
  <si>
    <t>IBM</t>
  </si>
  <si>
    <t>CFO</t>
  </si>
  <si>
    <t>Depreciation</t>
  </si>
  <si>
    <t>Amortization</t>
  </si>
  <si>
    <t>CPI</t>
  </si>
  <si>
    <t>Maint (D)</t>
  </si>
  <si>
    <t>Maint (D&amp;A)</t>
  </si>
  <si>
    <t>OCP (D)</t>
  </si>
  <si>
    <t>OCP (D&amp;A)</t>
  </si>
  <si>
    <t>OCP (D) %</t>
  </si>
  <si>
    <t>OCP (D&amp;A) %</t>
  </si>
  <si>
    <t>Best-Case</t>
  </si>
  <si>
    <t>2017 (2016 estimate)</t>
  </si>
  <si>
    <t>Strategic</t>
  </si>
  <si>
    <t>Non-Strategic</t>
  </si>
  <si>
    <t>S-Growth</t>
  </si>
  <si>
    <t>NS-Growth</t>
  </si>
  <si>
    <t>Worst-Case</t>
  </si>
  <si>
    <t>Analyst Rev Estimates (3/7/2018)</t>
  </si>
  <si>
    <t>Low</t>
  </si>
  <si>
    <t>B</t>
  </si>
  <si>
    <t>High</t>
  </si>
  <si>
    <t>Worst-Case (2016)</t>
  </si>
  <si>
    <t>Best-Case (2016)</t>
  </si>
  <si>
    <t>Worst-Case (2017)</t>
  </si>
  <si>
    <t>Best-Case (2017)</t>
  </si>
  <si>
    <t>Worst-Case (2018)</t>
  </si>
  <si>
    <t>Best-Case (2018)</t>
  </si>
  <si>
    <t>OCP</t>
  </si>
  <si>
    <t>Cognitive Solutions</t>
  </si>
  <si>
    <t>Global Business Services</t>
  </si>
  <si>
    <t>Tech Services &amp; Cloud Platforms</t>
  </si>
  <si>
    <t>Systems</t>
  </si>
  <si>
    <t>Global Financing</t>
  </si>
  <si>
    <t>Growth (YoY)</t>
  </si>
  <si>
    <t>Growth (2Y RGR)</t>
  </si>
  <si>
    <t>Revenue Share</t>
  </si>
  <si>
    <t>Segment</t>
  </si>
  <si>
    <t>2016 Revenue Change Attribution</t>
  </si>
  <si>
    <t>Pretax Income</t>
  </si>
  <si>
    <t>Pretax Margin</t>
  </si>
  <si>
    <t>Pretax Share</t>
  </si>
  <si>
    <t>Raw Data</t>
  </si>
  <si>
    <t>Technology Services</t>
  </si>
  <si>
    <t>Business Services</t>
  </si>
  <si>
    <t>Software</t>
  </si>
  <si>
    <t>Systems &amp; Tech</t>
  </si>
  <si>
    <t>Pre-Tax Profit</t>
  </si>
  <si>
    <t>Revenue Growth (YoY)</t>
  </si>
  <si>
    <t>Revenue Growth (3Y CAGR)</t>
  </si>
  <si>
    <t>Revenue Growth (5Y CAGR)</t>
  </si>
  <si>
    <t>Revenue Growth (8Y CAGR)</t>
  </si>
  <si>
    <t>Profits &amp; Profit Growth</t>
  </si>
  <si>
    <t>Profit Margins</t>
  </si>
  <si>
    <t>Change in Profits (YoY)</t>
  </si>
  <si>
    <t>Change in Profits (3Y CAGR)</t>
  </si>
  <si>
    <t>Change in Profits (5Y CAGR)</t>
  </si>
  <si>
    <t>Change in Profits (8Y CAGR)</t>
  </si>
  <si>
    <t>Segment Share</t>
  </si>
  <si>
    <t>Share of Revenues</t>
  </si>
  <si>
    <t>Share of Profits</t>
  </si>
  <si>
    <t>Operating Leverage</t>
  </si>
  <si>
    <t>Operating Leverage (YoY)</t>
  </si>
  <si>
    <t>Operating Leverage (3Y CAGR)</t>
  </si>
  <si>
    <t>Operating Leverage (5Y CAGR)</t>
  </si>
  <si>
    <t>Operating Leverage (8Y CAGR)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</si>
</sst>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 numFmtId="208" formatCode="0&quot;e&quot;"/>
  </numFmts>
  <fonts count="56">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
      <b/>
      <sz val="10"/>
      <color theme="0"/>
      <name val="Arial"/>
      <family val="2"/>
    </font>
    <font>
      <sz val="10"/>
      <color theme="0"/>
      <name val="Arial"/>
      <family val="2"/>
    </font>
    <font>
      <b/>
      <sz val="10"/>
      <color theme="1"/>
      <name val="Arial"/>
      <family val="2"/>
    </font>
  </fonts>
  <fills count="11">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rgb="FFFFFF00"/>
        <bgColor indexed="64"/>
      </patternFill>
    </fill>
    <fill>
      <patternFill patternType="solid">
        <fgColor theme="4"/>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82">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10" fontId="0" fillId="0" borderId="0" xfId="0" applyNumberFormat="1"/>
    <xf numFmtId="167" fontId="0" fillId="0" borderId="0" xfId="3" applyNumberFormat="1" applyFont="1"/>
    <xf numFmtId="0" fontId="0" fillId="9" borderId="0" xfId="0" applyFill="1"/>
    <xf numFmtId="9" fontId="0" fillId="2" borderId="0" xfId="0" applyNumberFormat="1" applyFill="1"/>
    <xf numFmtId="208" fontId="0" fillId="9" borderId="0" xfId="0" applyNumberFormat="1" applyFill="1"/>
    <xf numFmtId="208" fontId="0" fillId="0" borderId="0" xfId="0" applyNumberFormat="1"/>
    <xf numFmtId="165" fontId="0" fillId="9" borderId="0" xfId="1" applyNumberFormat="1" applyFont="1" applyFill="1"/>
    <xf numFmtId="165" fontId="0" fillId="9" borderId="0" xfId="0" applyNumberFormat="1" applyFill="1"/>
    <xf numFmtId="9" fontId="0" fillId="9" borderId="0" xfId="3" applyFont="1" applyFill="1"/>
    <xf numFmtId="9" fontId="0" fillId="0" borderId="0" xfId="3" applyNumberFormat="1" applyFont="1"/>
    <xf numFmtId="0" fontId="7" fillId="0" borderId="0" xfId="5"/>
    <xf numFmtId="0" fontId="53" fillId="10" borderId="0" xfId="5" applyFont="1" applyFill="1"/>
    <xf numFmtId="0" fontId="54" fillId="10" borderId="0" xfId="5" applyFont="1" applyFill="1"/>
    <xf numFmtId="0" fontId="55" fillId="0" borderId="0" xfId="5" applyFont="1"/>
    <xf numFmtId="165" fontId="0" fillId="0" borderId="0" xfId="6" applyNumberFormat="1" applyFont="1"/>
    <xf numFmtId="0" fontId="7" fillId="0" borderId="1" xfId="5" applyBorder="1"/>
    <xf numFmtId="165" fontId="0" fillId="0" borderId="1" xfId="6" applyNumberFormat="1" applyFont="1" applyBorder="1"/>
    <xf numFmtId="9" fontId="0" fillId="0" borderId="0" xfId="7" applyFont="1"/>
    <xf numFmtId="9" fontId="0" fillId="0" borderId="1" xfId="7" applyFont="1" applyBorder="1"/>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5.xml"/><Relationship Id="rId18" Type="http://schemas.openxmlformats.org/officeDocument/2006/relationships/worksheet" Target="worksheets/sheet11.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chartsheet" Target="chartsheets/sheet4.xml"/><Relationship Id="rId17" Type="http://schemas.openxmlformats.org/officeDocument/2006/relationships/worksheet" Target="worksheets/sheet10.xml"/><Relationship Id="rId25" Type="http://schemas.openxmlformats.org/officeDocument/2006/relationships/externalLink" Target="externalLinks/externalLink4.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worksheet" Target="worksheets/sheet13.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3.xml"/><Relationship Id="rId24" Type="http://schemas.openxmlformats.org/officeDocument/2006/relationships/externalLink" Target="externalLinks/externalLink3.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hartsheet" Target="chartsheets/sheet7.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chartsheet" Target="chartsheets/sheet2.xml"/><Relationship Id="rId19" Type="http://schemas.openxmlformats.org/officeDocument/2006/relationships/worksheet" Target="worksheets/sheet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chartsheet" Target="chartsheets/sheet6.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'OCP Calculations'!$A$15</c:f>
              <c:strCache>
                <c:ptCount val="1"/>
                <c:pt idx="0">
                  <c:v>OCP (D) %</c:v>
                </c:pt>
              </c:strCache>
            </c:strRef>
          </c:tx>
          <c:spPr>
            <a:ln w="28575" cap="rnd">
              <a:solidFill>
                <a:schemeClr val="accent1"/>
              </a:solidFill>
              <a:round/>
            </a:ln>
            <a:effectLst/>
          </c:spPr>
          <c:marker>
            <c:symbol val="none"/>
          </c:marker>
          <c:cat>
            <c:numRef>
              <c:f>'OCP Calculations'!$B$1:$L$1</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'OCP Calculations'!$B$15:$L$15</c:f>
              <c:numCache>
                <c:formatCode>0.0%</c:formatCode>
                <c:ptCount val="11"/>
                <c:pt idx="0">
                  <c:v>0.12015153969185918</c:v>
                </c:pt>
                <c:pt idx="1">
                  <c:v>0.14178037247901187</c:v>
                </c:pt>
                <c:pt idx="2">
                  <c:v>0.17611240836274775</c:v>
                </c:pt>
                <c:pt idx="3">
                  <c:v>0.15843113046961049</c:v>
                </c:pt>
                <c:pt idx="4">
                  <c:v>0.1509126229937521</c:v>
                </c:pt>
                <c:pt idx="5">
                  <c:v>0.15440435568909258</c:v>
                </c:pt>
                <c:pt idx="6">
                  <c:v>0.14352451533542754</c:v>
                </c:pt>
                <c:pt idx="7">
                  <c:v>0.14782052525513778</c:v>
                </c:pt>
                <c:pt idx="8">
                  <c:v>0.17553812652157424</c:v>
                </c:pt>
                <c:pt idx="9">
                  <c:v>0.17617143607903002</c:v>
                </c:pt>
                <c:pt idx="10">
                  <c:v>0.17219670453253139</c:v>
                </c:pt>
              </c:numCache>
            </c:numRef>
          </c:val>
          <c:smooth val="0"/>
          <c:extLst>
            <c:ext xmlns:c16="http://schemas.microsoft.com/office/drawing/2014/chart" uri="{C3380CC4-5D6E-409C-BE32-E72D297353CC}">
              <c16:uniqueId val="{00000000-9FEA-4540-80A9-C63DDF634193}"/>
            </c:ext>
          </c:extLst>
        </c:ser>
        <c:ser>
          <c:idx val="1"/>
          <c:order val="1"/>
          <c:tx>
            <c:strRef>
              <c:f>'OCP Calculations'!$A$16</c:f>
              <c:strCache>
                <c:ptCount val="1"/>
                <c:pt idx="0">
                  <c:v>OCP (D&amp;A) %</c:v>
                </c:pt>
              </c:strCache>
            </c:strRef>
          </c:tx>
          <c:spPr>
            <a:ln w="28575" cap="rnd">
              <a:solidFill>
                <a:schemeClr val="accent2"/>
              </a:solidFill>
              <a:round/>
            </a:ln>
            <a:effectLst/>
          </c:spPr>
          <c:marker>
            <c:symbol val="none"/>
          </c:marker>
          <c:cat>
            <c:numRef>
              <c:f>'OCP Calculations'!$B$1:$L$1</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'OCP Calculations'!$B$16:$L$16</c:f>
              <c:numCache>
                <c:formatCode>0.0%</c:formatCode>
                <c:ptCount val="11"/>
                <c:pt idx="0">
                  <c:v>0.10784883485514142</c:v>
                </c:pt>
                <c:pt idx="1">
                  <c:v>0.12920245102769468</c:v>
                </c:pt>
                <c:pt idx="2">
                  <c:v>0.16290248334342822</c:v>
                </c:pt>
                <c:pt idx="3">
                  <c:v>0.14645249824772202</c:v>
                </c:pt>
                <c:pt idx="4">
                  <c:v>0.13905580081559357</c:v>
                </c:pt>
                <c:pt idx="5">
                  <c:v>0.14190923096060554</c:v>
                </c:pt>
                <c:pt idx="6">
                  <c:v>0.12962542316020617</c:v>
                </c:pt>
                <c:pt idx="7">
                  <c:v>0.13327531171532336</c:v>
                </c:pt>
                <c:pt idx="8">
                  <c:v>0.16095784245360345</c:v>
                </c:pt>
                <c:pt idx="9">
                  <c:v>0.15656208160762772</c:v>
                </c:pt>
                <c:pt idx="10">
                  <c:v>0.15250982448603093</c:v>
                </c:pt>
              </c:numCache>
            </c:numRef>
          </c:val>
          <c:smooth val="0"/>
          <c:extLst>
            <c:ext xmlns:c16="http://schemas.microsoft.com/office/drawing/2014/chart" uri="{C3380CC4-5D6E-409C-BE32-E72D297353CC}">
              <c16:uniqueId val="{00000001-9FEA-4540-80A9-C63DDF634193}"/>
            </c:ext>
          </c:extLst>
        </c:ser>
        <c:dLbls>
          <c:showLegendKey val="0"/>
          <c:showVal val="0"/>
          <c:showCatName val="0"/>
          <c:showSerName val="0"/>
          <c:showPercent val="0"/>
          <c:showBubbleSize val="0"/>
        </c:dLbls>
        <c:smooth val="0"/>
        <c:axId val="586714512"/>
        <c:axId val="586716152"/>
      </c:lineChart>
      <c:catAx>
        <c:axId val="586714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716152"/>
        <c:crosses val="autoZero"/>
        <c:auto val="1"/>
        <c:lblAlgn val="ctr"/>
        <c:lblOffset val="100"/>
        <c:noMultiLvlLbl val="0"/>
      </c:catAx>
      <c:valAx>
        <c:axId val="5867161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6714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Data'!$B$22:$K$22</c:f>
              <c:numCache>
                <c:formatCode>_(* #,##0_);_(* \(#,##0\);_(* "-"??_);_(@_)</c:formatCode>
                <c:ptCount val="10"/>
                <c:pt idx="0">
                  <c:v>51.700000000000728</c:v>
                </c:pt>
                <c:pt idx="1">
                  <c:v>-461.82800000000134</c:v>
                </c:pt>
                <c:pt idx="2">
                  <c:v>458.51699999999983</c:v>
                </c:pt>
                <c:pt idx="3">
                  <c:v>396.97400000000016</c:v>
                </c:pt>
                <c:pt idx="4">
                  <c:v>632.33599999999933</c:v>
                </c:pt>
                <c:pt idx="5">
                  <c:v>256.07600000000093</c:v>
                </c:pt>
                <c:pt idx="6">
                  <c:v>588.70999999999913</c:v>
                </c:pt>
                <c:pt idx="7">
                  <c:v>919.66200000000026</c:v>
                </c:pt>
                <c:pt idx="8">
                  <c:v>687.44499999999971</c:v>
                </c:pt>
                <c:pt idx="9">
                  <c:v>132.47500000000036</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Data'!$B$24:$K$24</c:f>
              <c:numCache>
                <c:formatCode>_(* #,##0_);_(* \(#,##0\);_(* "-"??_);_(@_)</c:formatCode>
                <c:ptCount val="10"/>
                <c:pt idx="0">
                  <c:v>6313</c:v>
                </c:pt>
                <c:pt idx="1">
                  <c:v>794</c:v>
                </c:pt>
                <c:pt idx="2">
                  <c:v>5867</c:v>
                </c:pt>
                <c:pt idx="3">
                  <c:v>1797</c:v>
                </c:pt>
                <c:pt idx="4">
                  <c:v>3722</c:v>
                </c:pt>
                <c:pt idx="5">
                  <c:v>3056</c:v>
                </c:pt>
                <c:pt idx="6">
                  <c:v>656</c:v>
                </c:pt>
                <c:pt idx="7">
                  <c:v>3750</c:v>
                </c:pt>
                <c:pt idx="8">
                  <c:v>6133</c:v>
                </c:pt>
                <c:pt idx="9">
                  <c:v>701</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Data'!$B$27:$K$27</c:f>
              <c:numCache>
                <c:formatCode>_(* #,##0_);_(* \(#,##0\);_(* "-"??_);_(@_)</c:formatCode>
                <c:ptCount val="10"/>
                <c:pt idx="0">
                  <c:v>724.12898349874831</c:v>
                </c:pt>
                <c:pt idx="1">
                  <c:v>717.72678086340647</c:v>
                </c:pt>
                <c:pt idx="2">
                  <c:v>1105.2161935599361</c:v>
                </c:pt>
                <c:pt idx="3">
                  <c:v>1756.4523762674735</c:v>
                </c:pt>
                <c:pt idx="4">
                  <c:v>1068.82966649024</c:v>
                </c:pt>
                <c:pt idx="5">
                  <c:v>702.10245674340945</c:v>
                </c:pt>
                <c:pt idx="6">
                  <c:v>699.5285373626391</c:v>
                </c:pt>
                <c:pt idx="7">
                  <c:v>551.4019346</c:v>
                </c:pt>
                <c:pt idx="8">
                  <c:v>193.57321856999999</c:v>
                </c:pt>
                <c:pt idx="9">
                  <c:v>366.07319633999998</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Data'!$B$25:$K$25</c:f>
              <c:numCache>
                <c:formatCode>_(* #,##0_);_(* \(#,##0\);_(* "-"??_);_(@_)</c:formatCode>
                <c:ptCount val="10"/>
                <c:pt idx="0">
                  <c:v>716</c:v>
                </c:pt>
                <c:pt idx="1">
                  <c:v>630</c:v>
                </c:pt>
                <c:pt idx="2">
                  <c:v>569</c:v>
                </c:pt>
                <c:pt idx="3">
                  <c:v>559</c:v>
                </c:pt>
                <c:pt idx="4">
                  <c:v>635</c:v>
                </c:pt>
                <c:pt idx="5">
                  <c:v>517</c:v>
                </c:pt>
                <c:pt idx="6">
                  <c:v>443</c:v>
                </c:pt>
                <c:pt idx="7">
                  <c:v>970</c:v>
                </c:pt>
                <c:pt idx="8">
                  <c:v>1474</c:v>
                </c:pt>
                <c:pt idx="9">
                  <c:v>2572</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Data'!$B$23:$K$23</c:f>
              <c:numCache>
                <c:formatCode>_(* #,##0_);_(* \(#,##0\);_(* "-"??_);_(@_)</c:formatCode>
                <c:ptCount val="10"/>
                <c:pt idx="0">
                  <c:v>-421</c:v>
                </c:pt>
                <c:pt idx="1">
                  <c:v>-330</c:v>
                </c:pt>
                <c:pt idx="2">
                  <c:v>-770</c:v>
                </c:pt>
                <c:pt idx="3">
                  <c:v>-608</c:v>
                </c:pt>
                <c:pt idx="4">
                  <c:v>-410</c:v>
                </c:pt>
                <c:pt idx="5">
                  <c:v>-372</c:v>
                </c:pt>
                <c:pt idx="6">
                  <c:v>-404</c:v>
                </c:pt>
                <c:pt idx="7">
                  <c:v>-370</c:v>
                </c:pt>
                <c:pt idx="8">
                  <c:v>-424</c:v>
                </c:pt>
                <c:pt idx="9">
                  <c:v>-460</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7308.8710165012517</c:v>
                </c:pt>
                <c:pt idx="1">
                  <c:v>15514.273219136594</c:v>
                </c:pt>
                <c:pt idx="2">
                  <c:v>8592.7838064400639</c:v>
                </c:pt>
                <c:pt idx="3">
                  <c:v>12233.547623732527</c:v>
                </c:pt>
                <c:pt idx="4">
                  <c:v>10488.170333509759</c:v>
                </c:pt>
                <c:pt idx="5">
                  <c:v>9958.8975432565894</c:v>
                </c:pt>
                <c:pt idx="6">
                  <c:v>11733.471462637361</c:v>
                </c:pt>
                <c:pt idx="7">
                  <c:v>8527.5980653999995</c:v>
                </c:pt>
                <c:pt idx="8">
                  <c:v>6015.4267814300001</c:v>
                </c:pt>
                <c:pt idx="9">
                  <c:v>10315.926803660001</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8710.8862500000014</c:v>
                </c:pt>
                <c:pt idx="11" formatCode="_(* #,##0_);_(* \(#,##0\);_(* &quot;-&quot;??_);_(@_)">
                  <c:v>8498.8507499999996</c:v>
                </c:pt>
                <c:pt idx="12" formatCode="_(* #,##0_);_(* \(#,##0\);_(* &quot;-&quot;??_);_(@_)">
                  <c:v>8340.9714562500012</c:v>
                </c:pt>
                <c:pt idx="13" formatCode="_(* #,##0_);_(* \(#,##0\);_(* &quot;-&quot;??_);_(@_)">
                  <c:v>8233.4803809374989</c:v>
                </c:pt>
                <c:pt idx="14" formatCode="_(* #,##0_);_(* \(#,##0\);_(* &quot;-&quot;??_);_(@_)">
                  <c:v>8173.0687166718762</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10105.025250000002</c:v>
                </c:pt>
                <c:pt idx="11" formatCode="_(* #,##0_);_(* \(#,##0\);_(* &quot;-&quot;??_);_(@_)">
                  <c:v>10241.206725</c:v>
                </c:pt>
                <c:pt idx="12" formatCode="_(* #,##0_);_(* \(#,##0\);_(* &quot;-&quot;??_);_(@_)">
                  <c:v>10501.372132500004</c:v>
                </c:pt>
                <c:pt idx="13" formatCode="_(* #,##0_);_(* \(#,##0\);_(* &quot;-&quot;??_);_(@_)">
                  <c:v>10889.635328850005</c:v>
                </c:pt>
                <c:pt idx="14" formatCode="_(* #,##0_);_(* \(#,##0\);_(* &quot;-&quot;??_);_(@_)">
                  <c:v>11411.680254717008</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Data'!$B$33:$P$33</c:f>
              <c:numCache>
                <c:formatCode>0%</c:formatCode>
                <c:ptCount val="15"/>
                <c:pt idx="0">
                  <c:v>7.0528524717757904E-2</c:v>
                </c:pt>
                <c:pt idx="1">
                  <c:v>0.16201542658719473</c:v>
                </c:pt>
                <c:pt idx="2">
                  <c:v>8.6039689660959887E-2</c:v>
                </c:pt>
                <c:pt idx="3">
                  <c:v>0.11442204743660937</c:v>
                </c:pt>
                <c:pt idx="4">
                  <c:v>0.10035854376749652</c:v>
                </c:pt>
                <c:pt idx="5">
                  <c:v>0.10124226156390445</c:v>
                </c:pt>
                <c:pt idx="6">
                  <c:v>0.12644780816050091</c:v>
                </c:pt>
                <c:pt idx="7">
                  <c:v>0.10432461146058893</c:v>
                </c:pt>
                <c:pt idx="8">
                  <c:v>7.5269044675609062E-2</c:v>
                </c:pt>
                <c:pt idx="9">
                  <c:v>0.1303519984288404</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Data'!$B$35:$P$35</c:f>
              <c:numCache>
                <c:formatCode>General</c:formatCode>
                <c:ptCount val="15"/>
                <c:pt idx="9" formatCode="0%">
                  <c:v>0.1303519984288404</c:v>
                </c:pt>
                <c:pt idx="10" formatCode="0.0%">
                  <c:v>0.11249999999999999</c:v>
                </c:pt>
                <c:pt idx="11" formatCode="0.0%">
                  <c:v>0.11249999999999999</c:v>
                </c:pt>
                <c:pt idx="12" formatCode="0.0%">
                  <c:v>0.11249999999999999</c:v>
                </c:pt>
                <c:pt idx="13" formatCode="0.0%">
                  <c:v>0.11249999999999999</c:v>
                </c:pt>
                <c:pt idx="14" formatCode="0.0%">
                  <c:v>0.11249999999999999</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Data'!$B$34:$P$34</c:f>
              <c:numCache>
                <c:formatCode>General</c:formatCode>
                <c:ptCount val="15"/>
                <c:pt idx="9" formatCode="0%">
                  <c:v>0.1303519984288404</c:v>
                </c:pt>
                <c:pt idx="10" formatCode="0.0%">
                  <c:v>0.1275</c:v>
                </c:pt>
                <c:pt idx="11" formatCode="0.0%">
                  <c:v>0.1275</c:v>
                </c:pt>
                <c:pt idx="12" formatCode="0.0%">
                  <c:v>0.1275</c:v>
                </c:pt>
                <c:pt idx="13" formatCode="0.0%">
                  <c:v>0.1275</c:v>
                </c:pt>
                <c:pt idx="14" formatCode="0.0%">
                  <c:v>0.1275</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IBM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14692.7</c:v>
                </c:pt>
                <c:pt idx="1">
                  <c:v>16864.171999999999</c:v>
                </c:pt>
                <c:pt idx="2">
                  <c:v>15822.517</c:v>
                </c:pt>
                <c:pt idx="3">
                  <c:v>16134.974</c:v>
                </c:pt>
                <c:pt idx="4">
                  <c:v>16136.335999999999</c:v>
                </c:pt>
                <c:pt idx="5">
                  <c:v>14118.076000000001</c:v>
                </c:pt>
                <c:pt idx="6">
                  <c:v>13716.71</c:v>
                </c:pt>
                <c:pt idx="7">
                  <c:v>14348.662</c:v>
                </c:pt>
                <c:pt idx="8">
                  <c:v>14079.445</c:v>
                </c:pt>
                <c:pt idx="9">
                  <c:v>13627.475</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IBM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14692.7</c:v>
                </c:pt>
                <c:pt idx="1">
                  <c:v>14709.462920707359</c:v>
                </c:pt>
                <c:pt idx="2">
                  <c:v>15379.676804651581</c:v>
                </c:pt>
                <c:pt idx="3">
                  <c:v>15940.224833847657</c:v>
                </c:pt>
                <c:pt idx="4">
                  <c:v>16492.795328490232</c:v>
                </c:pt>
                <c:pt idx="5">
                  <c:v>17245.914982920847</c:v>
                </c:pt>
                <c:pt idx="6">
                  <c:v>17877.452971498089</c:v>
                </c:pt>
                <c:pt idx="7">
                  <c:v>18343.078437652493</c:v>
                </c:pt>
                <c:pt idx="8">
                  <c:v>19054.593734664846</c:v>
                </c:pt>
                <c:pt idx="9">
                  <c:v>19932.614315211787</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IBM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Data'!$B$40:$K$40</c:f>
              <c:numCache>
                <c:formatCode>0%</c:formatCode>
                <c:ptCount val="10"/>
                <c:pt idx="1">
                  <c:v>0.1466516759542249</c:v>
                </c:pt>
                <c:pt idx="2">
                  <c:v>-0.10733078767032156</c:v>
                </c:pt>
                <c:pt idx="3">
                  <c:v>-1.6699705128331077E-2</c:v>
                </c:pt>
                <c:pt idx="4">
                  <c:v>-3.4580750254828985E-2</c:v>
                </c:pt>
                <c:pt idx="5">
                  <c:v>-0.17073903608238927</c:v>
                </c:pt>
                <c:pt idx="6">
                  <c:v>-6.5048797755470344E-2</c:v>
                </c:pt>
                <c:pt idx="7">
                  <c:v>2.0026286264071214E-2</c:v>
                </c:pt>
                <c:pt idx="8">
                  <c:v>-5.7551822766513827E-2</c:v>
                </c:pt>
                <c:pt idx="9">
                  <c:v>-7.8180615012293897E-2</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IBM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Data'!$B$41:$K$41</c:f>
              <c:numCache>
                <c:formatCode>0%</c:formatCode>
                <c:ptCount val="10"/>
                <c:pt idx="3">
                  <c:v>2.5831291875224593E-3</c:v>
                </c:pt>
                <c:pt idx="4">
                  <c:v>-5.3651417846578009E-2</c:v>
                </c:pt>
                <c:pt idx="5">
                  <c:v>-7.4472183760674437E-2</c:v>
                </c:pt>
                <c:pt idx="6">
                  <c:v>-9.1124644268420818E-2</c:v>
                </c:pt>
                <c:pt idx="7">
                  <c:v>-7.6502608595643729E-2</c:v>
                </c:pt>
                <c:pt idx="8">
                  <c:v>-3.4744081308782926E-2</c:v>
                </c:pt>
                <c:pt idx="9">
                  <c:v>-3.9297924586069843E-2</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International Business Machines (IBM)</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4.54</c:v>
                </c:pt>
                <c:pt idx="2">
                  <c:v>9.08</c:v>
                </c:pt>
                <c:pt idx="3">
                  <c:v>13.62</c:v>
                </c:pt>
                <c:pt idx="4">
                  <c:v>18.16</c:v>
                </c:pt>
                <c:pt idx="5">
                  <c:v>22.700000000000003</c:v>
                </c:pt>
                <c:pt idx="6">
                  <c:v>27.240000000000002</c:v>
                </c:pt>
                <c:pt idx="7">
                  <c:v>31.780000000000005</c:v>
                </c:pt>
                <c:pt idx="8">
                  <c:v>36.32</c:v>
                </c:pt>
                <c:pt idx="9">
                  <c:v>40.86</c:v>
                </c:pt>
                <c:pt idx="10">
                  <c:v>45.4</c:v>
                </c:pt>
                <c:pt idx="11">
                  <c:v>49.939999999999991</c:v>
                </c:pt>
                <c:pt idx="12">
                  <c:v>54.47999999999999</c:v>
                </c:pt>
                <c:pt idx="13">
                  <c:v>59.019999999999989</c:v>
                </c:pt>
                <c:pt idx="14">
                  <c:v>63.559999999999995</c:v>
                </c:pt>
                <c:pt idx="15">
                  <c:v>68.099999999999994</c:v>
                </c:pt>
                <c:pt idx="16">
                  <c:v>72.64</c:v>
                </c:pt>
                <c:pt idx="17">
                  <c:v>77.180000000000007</c:v>
                </c:pt>
                <c:pt idx="18">
                  <c:v>81.720000000000013</c:v>
                </c:pt>
                <c:pt idx="19">
                  <c:v>86.260000000000019</c:v>
                </c:pt>
                <c:pt idx="20">
                  <c:v>90.800000000000011</c:v>
                </c:pt>
                <c:pt idx="21">
                  <c:v>95.340000000000018</c:v>
                </c:pt>
                <c:pt idx="22">
                  <c:v>99.880000000000024</c:v>
                </c:pt>
                <c:pt idx="23">
                  <c:v>104.42000000000003</c:v>
                </c:pt>
                <c:pt idx="24">
                  <c:v>108.96000000000004</c:v>
                </c:pt>
                <c:pt idx="25">
                  <c:v>113.50000000000003</c:v>
                </c:pt>
                <c:pt idx="26">
                  <c:v>118.04000000000003</c:v>
                </c:pt>
                <c:pt idx="27">
                  <c:v>122.58000000000003</c:v>
                </c:pt>
                <c:pt idx="28">
                  <c:v>127.12000000000003</c:v>
                </c:pt>
                <c:pt idx="29">
                  <c:v>131.66000000000005</c:v>
                </c:pt>
                <c:pt idx="30">
                  <c:v>136.20000000000005</c:v>
                </c:pt>
                <c:pt idx="31">
                  <c:v>140.74000000000004</c:v>
                </c:pt>
                <c:pt idx="32">
                  <c:v>145.28000000000006</c:v>
                </c:pt>
                <c:pt idx="33">
                  <c:v>149.82000000000005</c:v>
                </c:pt>
                <c:pt idx="34">
                  <c:v>154.36000000000007</c:v>
                </c:pt>
                <c:pt idx="35">
                  <c:v>158.90000000000006</c:v>
                </c:pt>
                <c:pt idx="36">
                  <c:v>163.44000000000008</c:v>
                </c:pt>
                <c:pt idx="37">
                  <c:v>167.98000000000008</c:v>
                </c:pt>
                <c:pt idx="38">
                  <c:v>172.52000000000007</c:v>
                </c:pt>
                <c:pt idx="39">
                  <c:v>177.06000000000009</c:v>
                </c:pt>
                <c:pt idx="40">
                  <c:v>181.60000000000008</c:v>
                </c:pt>
                <c:pt idx="41">
                  <c:v>186.1400000000001</c:v>
                </c:pt>
                <c:pt idx="42">
                  <c:v>190.68000000000009</c:v>
                </c:pt>
                <c:pt idx="43">
                  <c:v>195.22000000000008</c:v>
                </c:pt>
                <c:pt idx="44">
                  <c:v>199.7600000000001</c:v>
                </c:pt>
                <c:pt idx="45">
                  <c:v>204.3000000000001</c:v>
                </c:pt>
                <c:pt idx="46">
                  <c:v>208.84000000000012</c:v>
                </c:pt>
                <c:pt idx="47">
                  <c:v>213.38000000000011</c:v>
                </c:pt>
                <c:pt idx="48">
                  <c:v>217.92000000000013</c:v>
                </c:pt>
                <c:pt idx="49">
                  <c:v>222.46000000000012</c:v>
                </c:pt>
                <c:pt idx="50">
                  <c:v>227.00000000000011</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6.25E-2</c:v>
                </c:pt>
                <c:pt idx="30">
                  <c:v>0</c:v>
                </c:pt>
                <c:pt idx="31">
                  <c:v>0</c:v>
                </c:pt>
                <c:pt idx="32">
                  <c:v>0</c:v>
                </c:pt>
                <c:pt idx="33">
                  <c:v>6.25E-2</c:v>
                </c:pt>
                <c:pt idx="34">
                  <c:v>0</c:v>
                </c:pt>
                <c:pt idx="35">
                  <c:v>6.25E-2</c:v>
                </c:pt>
                <c:pt idx="36">
                  <c:v>0</c:v>
                </c:pt>
                <c:pt idx="37">
                  <c:v>0</c:v>
                </c:pt>
                <c:pt idx="38">
                  <c:v>0</c:v>
                </c:pt>
                <c:pt idx="39">
                  <c:v>0</c:v>
                </c:pt>
                <c:pt idx="40">
                  <c:v>6.25E-2</c:v>
                </c:pt>
                <c:pt idx="41">
                  <c:v>0</c:v>
                </c:pt>
                <c:pt idx="42">
                  <c:v>6.25E-2</c:v>
                </c:pt>
                <c:pt idx="43">
                  <c:v>0</c:v>
                </c:pt>
                <c:pt idx="44">
                  <c:v>0</c:v>
                </c:pt>
                <c:pt idx="45">
                  <c:v>0</c:v>
                </c:pt>
                <c:pt idx="46">
                  <c:v>0</c:v>
                </c:pt>
                <c:pt idx="47">
                  <c:v>0</c:v>
                </c:pt>
                <c:pt idx="48">
                  <c:v>6.25E-2</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4.54</c:v>
                </c:pt>
                <c:pt idx="2">
                  <c:v>9.08</c:v>
                </c:pt>
                <c:pt idx="3">
                  <c:v>13.62</c:v>
                </c:pt>
                <c:pt idx="4">
                  <c:v>18.16</c:v>
                </c:pt>
                <c:pt idx="5">
                  <c:v>22.700000000000003</c:v>
                </c:pt>
                <c:pt idx="6">
                  <c:v>27.240000000000002</c:v>
                </c:pt>
                <c:pt idx="7">
                  <c:v>31.780000000000005</c:v>
                </c:pt>
                <c:pt idx="8">
                  <c:v>36.32</c:v>
                </c:pt>
                <c:pt idx="9">
                  <c:v>40.86</c:v>
                </c:pt>
                <c:pt idx="10">
                  <c:v>45.4</c:v>
                </c:pt>
                <c:pt idx="11">
                  <c:v>49.939999999999991</c:v>
                </c:pt>
                <c:pt idx="12">
                  <c:v>54.47999999999999</c:v>
                </c:pt>
                <c:pt idx="13">
                  <c:v>59.019999999999989</c:v>
                </c:pt>
                <c:pt idx="14">
                  <c:v>63.559999999999995</c:v>
                </c:pt>
                <c:pt idx="15">
                  <c:v>68.099999999999994</c:v>
                </c:pt>
                <c:pt idx="16">
                  <c:v>72.64</c:v>
                </c:pt>
                <c:pt idx="17">
                  <c:v>77.180000000000007</c:v>
                </c:pt>
                <c:pt idx="18">
                  <c:v>81.720000000000013</c:v>
                </c:pt>
                <c:pt idx="19">
                  <c:v>86.260000000000019</c:v>
                </c:pt>
                <c:pt idx="20">
                  <c:v>90.800000000000011</c:v>
                </c:pt>
                <c:pt idx="21">
                  <c:v>95.340000000000018</c:v>
                </c:pt>
                <c:pt idx="22">
                  <c:v>99.880000000000024</c:v>
                </c:pt>
                <c:pt idx="23">
                  <c:v>104.42000000000003</c:v>
                </c:pt>
                <c:pt idx="24">
                  <c:v>108.96000000000004</c:v>
                </c:pt>
                <c:pt idx="25">
                  <c:v>113.50000000000003</c:v>
                </c:pt>
                <c:pt idx="26">
                  <c:v>118.04000000000003</c:v>
                </c:pt>
                <c:pt idx="27">
                  <c:v>122.58000000000003</c:v>
                </c:pt>
                <c:pt idx="28">
                  <c:v>127.12000000000003</c:v>
                </c:pt>
                <c:pt idx="29">
                  <c:v>131.66000000000005</c:v>
                </c:pt>
                <c:pt idx="30">
                  <c:v>136.20000000000005</c:v>
                </c:pt>
                <c:pt idx="31">
                  <c:v>140.74000000000004</c:v>
                </c:pt>
                <c:pt idx="32">
                  <c:v>145.28000000000006</c:v>
                </c:pt>
                <c:pt idx="33">
                  <c:v>149.82000000000005</c:v>
                </c:pt>
                <c:pt idx="34">
                  <c:v>154.36000000000007</c:v>
                </c:pt>
                <c:pt idx="35">
                  <c:v>158.90000000000006</c:v>
                </c:pt>
                <c:pt idx="36">
                  <c:v>163.44000000000008</c:v>
                </c:pt>
                <c:pt idx="37">
                  <c:v>167.98000000000008</c:v>
                </c:pt>
                <c:pt idx="38">
                  <c:v>172.52000000000007</c:v>
                </c:pt>
                <c:pt idx="39">
                  <c:v>177.06000000000009</c:v>
                </c:pt>
                <c:pt idx="40">
                  <c:v>181.60000000000008</c:v>
                </c:pt>
                <c:pt idx="41">
                  <c:v>186.1400000000001</c:v>
                </c:pt>
                <c:pt idx="42">
                  <c:v>190.68000000000009</c:v>
                </c:pt>
                <c:pt idx="43">
                  <c:v>195.22000000000008</c:v>
                </c:pt>
                <c:pt idx="44">
                  <c:v>199.7600000000001</c:v>
                </c:pt>
                <c:pt idx="45">
                  <c:v>204.3000000000001</c:v>
                </c:pt>
                <c:pt idx="46">
                  <c:v>208.84000000000012</c:v>
                </c:pt>
                <c:pt idx="47">
                  <c:v>213.38000000000011</c:v>
                </c:pt>
                <c:pt idx="48">
                  <c:v>217.92000000000013</c:v>
                </c:pt>
                <c:pt idx="49">
                  <c:v>222.46000000000012</c:v>
                </c:pt>
                <c:pt idx="50">
                  <c:v>227.00000000000011</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0</c:v>
                </c:pt>
                <c:pt idx="1">
                  <c:v>5.7160175701644227E-44</c:v>
                </c:pt>
                <c:pt idx="2">
                  <c:v>6.2952355429079528E-29</c:v>
                </c:pt>
                <c:pt idx="3">
                  <c:v>1.2479500267943597E-21</c:v>
                </c:pt>
                <c:pt idx="4">
                  <c:v>3.9765742309688736E-17</c:v>
                </c:pt>
                <c:pt idx="5">
                  <c:v>5.0906113874098298E-14</c:v>
                </c:pt>
                <c:pt idx="6">
                  <c:v>9.8911089899369565E-12</c:v>
                </c:pt>
                <c:pt idx="7">
                  <c:v>5.6808325136821543E-10</c:v>
                </c:pt>
                <c:pt idx="8">
                  <c:v>1.4063768567393813E-8</c:v>
                </c:pt>
                <c:pt idx="9">
                  <c:v>1.8927861082469446E-7</c:v>
                </c:pt>
                <c:pt idx="10">
                  <c:v>1.6118847295721114E-6</c:v>
                </c:pt>
                <c:pt idx="11">
                  <c:v>9.6381665828708985E-6</c:v>
                </c:pt>
                <c:pt idx="12">
                  <c:v>4.3575866163238873E-5</c:v>
                </c:pt>
                <c:pt idx="13">
                  <c:v>1.5728333298190071E-4</c:v>
                </c:pt>
                <c:pt idx="14">
                  <c:v>4.7212118859780528E-4</c:v>
                </c:pt>
                <c:pt idx="15">
                  <c:v>1.2161776506769131E-3</c:v>
                </c:pt>
                <c:pt idx="16">
                  <c:v>2.7554047688350793E-3</c:v>
                </c:pt>
                <c:pt idx="17">
                  <c:v>5.5988867958442542E-3</c:v>
                </c:pt>
                <c:pt idx="18">
                  <c:v>1.0365302590844663E-2</c:v>
                </c:pt>
                <c:pt idx="19">
                  <c:v>1.7709335301097251E-2</c:v>
                </c:pt>
                <c:pt idx="20">
                  <c:v>2.822017478431969E-2</c:v>
                </c:pt>
                <c:pt idx="21">
                  <c:v>4.2313706467491649E-2</c:v>
                </c:pt>
                <c:pt idx="22">
                  <c:v>6.014221823636047E-2</c:v>
                </c:pt>
                <c:pt idx="23">
                  <c:v>8.1540570204616039E-2</c:v>
                </c:pt>
                <c:pt idx="24">
                  <c:v>0.10601836791426614</c:v>
                </c:pt>
                <c:pt idx="25">
                  <c:v>0.13279725301644768</c:v>
                </c:pt>
                <c:pt idx="26">
                  <c:v>0.16088391517594697</c:v>
                </c:pt>
                <c:pt idx="27">
                  <c:v>0.18916446071877963</c:v>
                </c:pt>
                <c:pt idx="28">
                  <c:v>0.21650460381784048</c:v>
                </c:pt>
                <c:pt idx="29">
                  <c:v>0.24184204409280302</c:v>
                </c:pt>
                <c:pt idx="30">
                  <c:v>0.26426116371916658</c:v>
                </c:pt>
                <c:pt idx="31">
                  <c:v>0.28304460205731163</c:v>
                </c:pt>
                <c:pt idx="32">
                  <c:v>0.29770039119590952</c:v>
                </c:pt>
                <c:pt idx="33">
                  <c:v>0.30796657484595152</c:v>
                </c:pt>
                <c:pt idx="34">
                  <c:v>0.31379735040714601</c:v>
                </c:pt>
                <c:pt idx="35">
                  <c:v>0.31533580130373123</c:v>
                </c:pt>
                <c:pt idx="36">
                  <c:v>0.3128784178380446</c:v>
                </c:pt>
                <c:pt idx="37">
                  <c:v>0.30683610271210576</c:v>
                </c:pt>
                <c:pt idx="38">
                  <c:v>0.29769548532837459</c:v>
                </c:pt>
                <c:pt idx="39">
                  <c:v>0.28598334977981049</c:v>
                </c:pt>
                <c:pt idx="40">
                  <c:v>0.27223597958028239</c:v>
                </c:pt>
                <c:pt idx="41">
                  <c:v>0.25697434253017848</c:v>
                </c:pt>
                <c:pt idx="42">
                  <c:v>0.2406853351065168</c:v>
                </c:pt>
                <c:pt idx="43">
                  <c:v>0.22380879184611352</c:v>
                </c:pt>
                <c:pt idx="44">
                  <c:v>0.20672962964782018</c:v>
                </c:pt>
                <c:pt idx="45">
                  <c:v>0.18977431313617674</c:v>
                </c:pt>
                <c:pt idx="46">
                  <c:v>0.17321076234352334</c:v>
                </c:pt>
                <c:pt idx="47">
                  <c:v>0.15725084487442037</c:v>
                </c:pt>
                <c:pt idx="48">
                  <c:v>0.14205467170999037</c:v>
                </c:pt>
                <c:pt idx="49">
                  <c:v>0.12773602439723825</c:v>
                </c:pt>
                <c:pt idx="50">
                  <c:v>0.11436836278413332</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Revenue and Framework Scenarios (3</a:t>
            </a:r>
            <a:r>
              <a:rPr lang="en-US" sz="1200" baseline="0"/>
              <a:t> Years)</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'Forecast Updates'!$A$2</c:f>
              <c:strCache>
                <c:ptCount val="1"/>
                <c:pt idx="0">
                  <c:v>Revenues</c:v>
                </c:pt>
              </c:strCache>
            </c:strRef>
          </c:tx>
          <c:spPr>
            <a:ln w="22225" cap="rnd">
              <a:solidFill>
                <a:schemeClr val="tx1"/>
              </a:solidFill>
              <a:round/>
            </a:ln>
            <a:effectLst/>
          </c:spPr>
          <c:marker>
            <c:symbol val="none"/>
          </c:marker>
          <c:cat>
            <c:numRef>
              <c:f>'Forecast Updates'!$B$1:$S$1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Updates'!$B$2:$R$2</c:f>
              <c:numCache>
                <c:formatCode>_(* #,##0_);_(* \(#,##0\);_(* "-"??_);_(@_)</c:formatCode>
                <c:ptCount val="17"/>
                <c:pt idx="0">
                  <c:v>91134</c:v>
                </c:pt>
                <c:pt idx="1">
                  <c:v>91424</c:v>
                </c:pt>
                <c:pt idx="2">
                  <c:v>98786</c:v>
                </c:pt>
                <c:pt idx="3">
                  <c:v>103630</c:v>
                </c:pt>
                <c:pt idx="4">
                  <c:v>95758</c:v>
                </c:pt>
                <c:pt idx="5">
                  <c:v>99870</c:v>
                </c:pt>
                <c:pt idx="6">
                  <c:v>106916</c:v>
                </c:pt>
                <c:pt idx="7">
                  <c:v>104507</c:v>
                </c:pt>
                <c:pt idx="8">
                  <c:v>98367</c:v>
                </c:pt>
                <c:pt idx="9">
                  <c:v>92793</c:v>
                </c:pt>
                <c:pt idx="10">
                  <c:v>81741</c:v>
                </c:pt>
                <c:pt idx="11">
                  <c:v>79919</c:v>
                </c:pt>
                <c:pt idx="12">
                  <c:v>79139</c:v>
                </c:pt>
              </c:numCache>
            </c:numRef>
          </c:val>
          <c:smooth val="0"/>
          <c:extLst>
            <c:ext xmlns:c16="http://schemas.microsoft.com/office/drawing/2014/chart" uri="{C3380CC4-5D6E-409C-BE32-E72D297353CC}">
              <c16:uniqueId val="{00000000-459E-44B6-AC56-507D61D0AF44}"/>
            </c:ext>
          </c:extLst>
        </c:ser>
        <c:ser>
          <c:idx val="3"/>
          <c:order val="1"/>
          <c:tx>
            <c:strRef>
              <c:f>'Forecast Updates'!$A$3</c:f>
              <c:strCache>
                <c:ptCount val="1"/>
                <c:pt idx="0">
                  <c:v>Worst-Case (2016)</c:v>
                </c:pt>
              </c:strCache>
            </c:strRef>
          </c:tx>
          <c:spPr>
            <a:ln w="22225" cap="rnd">
              <a:solidFill>
                <a:srgbClr val="FFC000"/>
              </a:solidFill>
              <a:prstDash val="sysDot"/>
              <a:round/>
            </a:ln>
            <a:effectLst/>
          </c:spPr>
          <c:marker>
            <c:symbol val="none"/>
          </c:marker>
          <c:cat>
            <c:numRef>
              <c:f>'Forecast Updates'!$B$1:$S$1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Updates'!$B$3:$R$3</c:f>
              <c:numCache>
                <c:formatCode>General</c:formatCode>
                <c:ptCount val="17"/>
                <c:pt idx="10" formatCode="_(* #,##0_);_(* \(#,##0\);_(* &quot;-&quot;??_);_(@_)">
                  <c:v>81741</c:v>
                </c:pt>
                <c:pt idx="11" formatCode="_(* #,##0_);_(* \(#,##0\);_(* &quot;-&quot;??_);_(@_)">
                  <c:v>79919</c:v>
                </c:pt>
                <c:pt idx="12" formatCode="_(* #,##0_);_(* \(#,##0\);_(* &quot;-&quot;??_);_(@_)">
                  <c:v>70689.616800000003</c:v>
                </c:pt>
                <c:pt idx="13" formatCode="_(* #,##0_);_(* \(#,##0\);_(* &quot;-&quot;??_);_(@_)">
                  <c:v>70689.616800000003</c:v>
                </c:pt>
                <c:pt idx="14" formatCode="_(* #,##0_);_(* \(#,##0\);_(* &quot;-&quot;??_);_(@_)">
                  <c:v>72810.305304000009</c:v>
                </c:pt>
                <c:pt idx="15" formatCode="_(* #,##0_);_(* \(#,##0\);_(* &quot;-&quot;??_);_(@_)">
                  <c:v>74994.614463120015</c:v>
                </c:pt>
              </c:numCache>
            </c:numRef>
          </c:val>
          <c:smooth val="0"/>
          <c:extLst>
            <c:ext xmlns:c16="http://schemas.microsoft.com/office/drawing/2014/chart" uri="{C3380CC4-5D6E-409C-BE32-E72D297353CC}">
              <c16:uniqueId val="{00000001-459E-44B6-AC56-507D61D0AF44}"/>
            </c:ext>
          </c:extLst>
        </c:ser>
        <c:ser>
          <c:idx val="4"/>
          <c:order val="2"/>
          <c:tx>
            <c:strRef>
              <c:f>'Forecast Updates'!$A$4</c:f>
              <c:strCache>
                <c:ptCount val="1"/>
                <c:pt idx="0">
                  <c:v>Best-Case (2016)</c:v>
                </c:pt>
              </c:strCache>
            </c:strRef>
          </c:tx>
          <c:spPr>
            <a:ln w="22225" cap="rnd">
              <a:solidFill>
                <a:srgbClr val="0046AD"/>
              </a:solidFill>
              <a:prstDash val="sysDot"/>
              <a:round/>
            </a:ln>
            <a:effectLst/>
          </c:spPr>
          <c:marker>
            <c:symbol val="none"/>
          </c:marker>
          <c:cat>
            <c:numRef>
              <c:f>'Forecast Updates'!$B$1:$S$1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Updates'!$B$4:$R$4</c:f>
              <c:numCache>
                <c:formatCode>General</c:formatCode>
                <c:ptCount val="17"/>
                <c:pt idx="10" formatCode="_(* #,##0_);_(* \(#,##0\);_(* &quot;-&quot;??_);_(@_)">
                  <c:v>81741</c:v>
                </c:pt>
                <c:pt idx="11" formatCode="_(* #,##0_);_(* \(#,##0\);_(* &quot;-&quot;??_);_(@_)">
                  <c:v>79919</c:v>
                </c:pt>
                <c:pt idx="12" formatCode="_(* #,##0_);_(* \(#,##0\);_(* &quot;-&quot;??_);_(@_)">
                  <c:v>76877.410499999998</c:v>
                </c:pt>
                <c:pt idx="13" formatCode="_(* #,##0_);_(* \(#,##0\);_(* &quot;-&quot;??_);_(@_)">
                  <c:v>80721.281025000004</c:v>
                </c:pt>
                <c:pt idx="14" formatCode="_(* #,##0_);_(* \(#,##0\);_(* &quot;-&quot;??_);_(@_)">
                  <c:v>85564.557886500013</c:v>
                </c:pt>
                <c:pt idx="15" formatCode="_(* #,##0_);_(* \(#,##0\);_(* &quot;-&quot;??_);_(@_)">
                  <c:v>90698.431359690017</c:v>
                </c:pt>
              </c:numCache>
            </c:numRef>
          </c:val>
          <c:smooth val="0"/>
          <c:extLst>
            <c:ext xmlns:c16="http://schemas.microsoft.com/office/drawing/2014/chart" uri="{C3380CC4-5D6E-409C-BE32-E72D297353CC}">
              <c16:uniqueId val="{00000002-459E-44B6-AC56-507D61D0AF44}"/>
            </c:ext>
          </c:extLst>
        </c:ser>
        <c:ser>
          <c:idx val="5"/>
          <c:order val="3"/>
          <c:tx>
            <c:strRef>
              <c:f>'Forecast Updates'!$A$5</c:f>
              <c:strCache>
                <c:ptCount val="1"/>
                <c:pt idx="0">
                  <c:v>Worst-Case (2017)</c:v>
                </c:pt>
              </c:strCache>
            </c:strRef>
          </c:tx>
          <c:spPr>
            <a:ln w="22225" cap="rnd">
              <a:solidFill>
                <a:srgbClr val="FFC000"/>
              </a:solidFill>
              <a:prstDash val="dash"/>
              <a:round/>
            </a:ln>
            <a:effectLst/>
          </c:spPr>
          <c:marker>
            <c:symbol val="none"/>
          </c:marker>
          <c:cat>
            <c:numRef>
              <c:f>'Forecast Updates'!$B$1:$S$1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Updates'!$B$5:$R$5</c:f>
              <c:numCache>
                <c:formatCode>General</c:formatCode>
                <c:ptCount val="17"/>
                <c:pt idx="10" formatCode="_(* #,##0_);_(* \(#,##0\);_(* &quot;-&quot;??_);_(@_)">
                  <c:v>81741</c:v>
                </c:pt>
                <c:pt idx="11" formatCode="_(* #,##0_);_(* \(#,##0\);_(* &quot;-&quot;??_);_(@_)">
                  <c:v>79919</c:v>
                </c:pt>
                <c:pt idx="12" formatCode="_(* #,##0_);_(* \(#,##0\);_(* &quot;-&quot;??_);_(@_)">
                  <c:v>76782.179250000001</c:v>
                </c:pt>
                <c:pt idx="13" formatCode="_(* #,##0_);_(* \(#,##0\);_(* &quot;-&quot;??_);_(@_)">
                  <c:v>75246.535665000003</c:v>
                </c:pt>
                <c:pt idx="14" formatCode="_(* #,##0_);_(* \(#,##0\);_(* &quot;-&quot;??_);_(@_)">
                  <c:v>73741.604951700006</c:v>
                </c:pt>
                <c:pt idx="15" formatCode="_(* #,##0_);_(* \(#,##0\);_(* &quot;-&quot;??_);_(@_)">
                  <c:v>72266.772852666007</c:v>
                </c:pt>
                <c:pt idx="16" formatCode="_(* #,##0_);_(* \(#,##0\);_(* &quot;-&quot;??_);_(@_)">
                  <c:v>70821.43739561268</c:v>
                </c:pt>
              </c:numCache>
            </c:numRef>
          </c:val>
          <c:smooth val="0"/>
          <c:extLst>
            <c:ext xmlns:c16="http://schemas.microsoft.com/office/drawing/2014/chart" uri="{C3380CC4-5D6E-409C-BE32-E72D297353CC}">
              <c16:uniqueId val="{00000003-459E-44B6-AC56-507D61D0AF44}"/>
            </c:ext>
          </c:extLst>
        </c:ser>
        <c:ser>
          <c:idx val="6"/>
          <c:order val="4"/>
          <c:tx>
            <c:strRef>
              <c:f>'Forecast Updates'!$A$6</c:f>
              <c:strCache>
                <c:ptCount val="1"/>
                <c:pt idx="0">
                  <c:v>Best-Case (2017)</c:v>
                </c:pt>
              </c:strCache>
            </c:strRef>
          </c:tx>
          <c:spPr>
            <a:ln w="22225" cap="rnd">
              <a:solidFill>
                <a:srgbClr val="0046AD"/>
              </a:solidFill>
              <a:prstDash val="dash"/>
              <a:round/>
            </a:ln>
            <a:effectLst/>
          </c:spPr>
          <c:marker>
            <c:symbol val="none"/>
          </c:marker>
          <c:cat>
            <c:numRef>
              <c:f>'Forecast Updates'!$B$1:$S$1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Updates'!$B$6:$R$6</c:f>
              <c:numCache>
                <c:formatCode>General</c:formatCode>
                <c:ptCount val="17"/>
                <c:pt idx="10" formatCode="_(* #,##0_);_(* \(#,##0\);_(* &quot;-&quot;??_);_(@_)">
                  <c:v>81741</c:v>
                </c:pt>
                <c:pt idx="11" formatCode="_(* #,##0_);_(* \(#,##0\);_(* &quot;-&quot;??_);_(@_)">
                  <c:v>79919</c:v>
                </c:pt>
                <c:pt idx="12" formatCode="_(* #,##0_);_(* \(#,##0\);_(* &quot;-&quot;??_);_(@_)">
                  <c:v>79319.607499999998</c:v>
                </c:pt>
                <c:pt idx="13" formatCode="_(* #,##0_);_(* \(#,##0\);_(* &quot;-&quot;??_);_(@_)">
                  <c:v>78526.411424999998</c:v>
                </c:pt>
                <c:pt idx="14" formatCode="_(* #,##0_);_(* \(#,##0\);_(* &quot;-&quot;??_);_(@_)">
                  <c:v>77645.309415617128</c:v>
                </c:pt>
                <c:pt idx="15" formatCode="_(* #,##0_);_(* \(#,##0\);_(* &quot;-&quot;??_);_(@_)">
                  <c:v>77083.793527599773</c:v>
                </c:pt>
                <c:pt idx="16" formatCode="_(* #,##0_);_(* \(#,##0\);_(* &quot;-&quot;??_);_(@_)">
                  <c:v>76789.599728937668</c:v>
                </c:pt>
              </c:numCache>
            </c:numRef>
          </c:val>
          <c:smooth val="0"/>
          <c:extLst>
            <c:ext xmlns:c16="http://schemas.microsoft.com/office/drawing/2014/chart" uri="{C3380CC4-5D6E-409C-BE32-E72D297353CC}">
              <c16:uniqueId val="{00000004-459E-44B6-AC56-507D61D0AF44}"/>
            </c:ext>
          </c:extLst>
        </c:ser>
        <c:ser>
          <c:idx val="1"/>
          <c:order val="5"/>
          <c:tx>
            <c:strRef>
              <c:f>'Forecast Updates'!$A$7</c:f>
              <c:strCache>
                <c:ptCount val="1"/>
                <c:pt idx="0">
                  <c:v>Worst-Case (2018)</c:v>
                </c:pt>
              </c:strCache>
            </c:strRef>
          </c:tx>
          <c:spPr>
            <a:ln w="22225" cap="rnd">
              <a:solidFill>
                <a:srgbClr val="FFC000"/>
              </a:solidFill>
              <a:round/>
            </a:ln>
            <a:effectLst/>
          </c:spPr>
          <c:marker>
            <c:symbol val="none"/>
          </c:marker>
          <c:cat>
            <c:numRef>
              <c:f>'Forecast Updates'!$B$1:$S$1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Updates'!$B$7:$S$7</c:f>
              <c:numCache>
                <c:formatCode>General</c:formatCode>
                <c:ptCount val="18"/>
                <c:pt idx="10" formatCode="_(* #,##0_);_(* \(#,##0\);_(* &quot;-&quot;??_);_(@_)">
                  <c:v>81741</c:v>
                </c:pt>
                <c:pt idx="11" formatCode="_(* #,##0_);_(* \(#,##0\);_(* &quot;-&quot;??_);_(@_)">
                  <c:v>79919</c:v>
                </c:pt>
                <c:pt idx="12" formatCode="_(* #,##0_);_(* \(#,##0\);_(* &quot;-&quot;??_);_(@_)">
                  <c:v>79139</c:v>
                </c:pt>
                <c:pt idx="13" formatCode="_(* #,##0_);_(* \(#,##0\);_(* &quot;-&quot;??_);_(@_)">
                  <c:v>77430.100000000006</c:v>
                </c:pt>
                <c:pt idx="14" formatCode="_(* #,##0_);_(* \(#,##0\);_(* &quot;-&quot;??_);_(@_)">
                  <c:v>75545.34</c:v>
                </c:pt>
                <c:pt idx="15" formatCode="_(* #,##0_);_(* \(#,##0\);_(* &quot;-&quot;??_);_(@_)">
                  <c:v>74141.968500000003</c:v>
                </c:pt>
                <c:pt idx="16" formatCode="_(* #,##0_);_(* \(#,##0\);_(* &quot;-&quot;??_);_(@_)">
                  <c:v>73186.492274999997</c:v>
                </c:pt>
                <c:pt idx="17" formatCode="_(* #,##0_);_(* \(#,##0\);_(* &quot;-&quot;??_);_(@_)">
                  <c:v>72649.499703750014</c:v>
                </c:pt>
              </c:numCache>
            </c:numRef>
          </c:val>
          <c:smooth val="0"/>
          <c:extLst>
            <c:ext xmlns:c16="http://schemas.microsoft.com/office/drawing/2014/chart" uri="{C3380CC4-5D6E-409C-BE32-E72D297353CC}">
              <c16:uniqueId val="{00000005-459E-44B6-AC56-507D61D0AF44}"/>
            </c:ext>
          </c:extLst>
        </c:ser>
        <c:ser>
          <c:idx val="2"/>
          <c:order val="6"/>
          <c:tx>
            <c:strRef>
              <c:f>'Forecast Updates'!$A$8</c:f>
              <c:strCache>
                <c:ptCount val="1"/>
                <c:pt idx="0">
                  <c:v>Best-Case (2018)</c:v>
                </c:pt>
              </c:strCache>
            </c:strRef>
          </c:tx>
          <c:spPr>
            <a:ln w="22225" cap="rnd">
              <a:solidFill>
                <a:srgbClr val="0046AD"/>
              </a:solidFill>
              <a:round/>
            </a:ln>
            <a:effectLst/>
          </c:spPr>
          <c:marker>
            <c:symbol val="none"/>
          </c:marker>
          <c:cat>
            <c:numRef>
              <c:f>'Forecast Updates'!$B$1:$S$1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Updates'!$B$8:$S$8</c:f>
              <c:numCache>
                <c:formatCode>General</c:formatCode>
                <c:ptCount val="18"/>
                <c:pt idx="10" formatCode="_(* #,##0_);_(* \(#,##0\);_(* &quot;-&quot;??_);_(@_)">
                  <c:v>81741</c:v>
                </c:pt>
                <c:pt idx="11" formatCode="_(* #,##0_);_(* \(#,##0\);_(* &quot;-&quot;??_);_(@_)">
                  <c:v>79919</c:v>
                </c:pt>
                <c:pt idx="12" formatCode="_(* #,##0_);_(* \(#,##0\);_(* &quot;-&quot;??_);_(@_)">
                  <c:v>79139</c:v>
                </c:pt>
                <c:pt idx="13" formatCode="_(* #,##0_);_(* \(#,##0\);_(* &quot;-&quot;??_);_(@_)">
                  <c:v>79255.100000000006</c:v>
                </c:pt>
                <c:pt idx="14" formatCode="_(* #,##0_);_(* \(#,##0\);_(* &quot;-&quot;??_);_(@_)">
                  <c:v>80323.19</c:v>
                </c:pt>
                <c:pt idx="15" formatCode="_(* #,##0_);_(* \(#,##0\);_(* &quot;-&quot;??_);_(@_)">
                  <c:v>82363.703000000023</c:v>
                </c:pt>
                <c:pt idx="16" formatCode="_(* #,##0_);_(* \(#,##0\);_(* &quot;-&quot;??_);_(@_)">
                  <c:v>85408.904540000032</c:v>
                </c:pt>
                <c:pt idx="17" formatCode="_(* #,##0_);_(* \(#,##0\);_(* &quot;-&quot;??_);_(@_)">
                  <c:v>89503.374546800056</c:v>
                </c:pt>
              </c:numCache>
            </c:numRef>
          </c:val>
          <c:smooth val="0"/>
          <c:extLst>
            <c:ext xmlns:c16="http://schemas.microsoft.com/office/drawing/2014/chart" uri="{C3380CC4-5D6E-409C-BE32-E72D297353CC}">
              <c16:uniqueId val="{00000006-459E-44B6-AC56-507D61D0AF44}"/>
            </c:ext>
          </c:extLst>
        </c:ser>
        <c:dLbls>
          <c:showLegendKey val="0"/>
          <c:showVal val="0"/>
          <c:showCatName val="0"/>
          <c:showSerName val="0"/>
          <c:showPercent val="0"/>
          <c:showBubbleSize val="0"/>
        </c:dLbls>
        <c:smooth val="0"/>
        <c:axId val="790566168"/>
        <c:axId val="790565840"/>
      </c:lineChart>
      <c:catAx>
        <c:axId val="790566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790565840"/>
        <c:crosses val="autoZero"/>
        <c:auto val="1"/>
        <c:lblAlgn val="ctr"/>
        <c:lblOffset val="100"/>
        <c:noMultiLvlLbl val="0"/>
      </c:catAx>
      <c:valAx>
        <c:axId val="790565840"/>
        <c:scaling>
          <c:orientation val="minMax"/>
          <c:min val="65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7905661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OCP and Framework Scenarios (3 Years)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'Forecast Updates'!$A$12</c:f>
              <c:strCache>
                <c:ptCount val="1"/>
                <c:pt idx="0">
                  <c:v>OCP</c:v>
                </c:pt>
              </c:strCache>
            </c:strRef>
          </c:tx>
          <c:spPr>
            <a:ln w="22225" cap="rnd">
              <a:solidFill>
                <a:sysClr val="windowText" lastClr="000000"/>
              </a:solidFill>
              <a:round/>
            </a:ln>
            <a:effectLst/>
          </c:spPr>
          <c:marker>
            <c:symbol val="none"/>
          </c:marker>
          <c:cat>
            <c:numRef>
              <c:f>'Forecast Updates'!$B$11:$S$11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Updates'!$B$12:$S$12</c:f>
              <c:numCache>
                <c:formatCode>_(* #,##0_);_(* \(#,##0\);_(* "-"??_);_(@_)</c:formatCode>
                <c:ptCount val="18"/>
                <c:pt idx="0">
                  <c:v>9508.7934999999998</c:v>
                </c:pt>
                <c:pt idx="1">
                  <c:v>9897.3968999999997</c:v>
                </c:pt>
                <c:pt idx="2">
                  <c:v>10675.731599999999</c:v>
                </c:pt>
                <c:pt idx="3">
                  <c:v>13357.018700000001</c:v>
                </c:pt>
                <c:pt idx="4">
                  <c:v>15643.0983</c:v>
                </c:pt>
                <c:pt idx="5">
                  <c:v>14645.742700000001</c:v>
                </c:pt>
                <c:pt idx="6">
                  <c:v>14888.3604</c:v>
                </c:pt>
                <c:pt idx="7">
                  <c:v>14828.5908</c:v>
                </c:pt>
                <c:pt idx="8">
                  <c:v>12736.7505</c:v>
                </c:pt>
                <c:pt idx="9">
                  <c:v>12342.018</c:v>
                </c:pt>
                <c:pt idx="10">
                  <c:v>13156.855</c:v>
                </c:pt>
                <c:pt idx="11">
                  <c:v>12512.285</c:v>
                </c:pt>
                <c:pt idx="12">
                  <c:v>13627.475</c:v>
                </c:pt>
              </c:numCache>
            </c:numRef>
          </c:val>
          <c:smooth val="0"/>
          <c:extLst>
            <c:ext xmlns:c16="http://schemas.microsoft.com/office/drawing/2014/chart" uri="{C3380CC4-5D6E-409C-BE32-E72D297353CC}">
              <c16:uniqueId val="{00000000-D640-4363-A234-5A7EFD636D62}"/>
            </c:ext>
          </c:extLst>
        </c:ser>
        <c:ser>
          <c:idx val="1"/>
          <c:order val="1"/>
          <c:tx>
            <c:strRef>
              <c:f>'Forecast Updates'!$A$13</c:f>
              <c:strCache>
                <c:ptCount val="1"/>
                <c:pt idx="0">
                  <c:v>Worst-Case (2016)</c:v>
                </c:pt>
              </c:strCache>
            </c:strRef>
          </c:tx>
          <c:spPr>
            <a:ln w="19050" cap="rnd">
              <a:solidFill>
                <a:srgbClr val="FFC000"/>
              </a:solidFill>
              <a:prstDash val="sysDot"/>
              <a:round/>
            </a:ln>
            <a:effectLst/>
          </c:spPr>
          <c:marker>
            <c:symbol val="none"/>
          </c:marker>
          <c:cat>
            <c:numRef>
              <c:f>'Forecast Updates'!$B$11:$S$11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Updates'!$B$13:$S$13</c:f>
              <c:numCache>
                <c:formatCode>_(* #,##0_);_(* \(#,##0\);_(* "-"??_);_(@_)</c:formatCode>
                <c:ptCount val="18"/>
                <c:pt idx="10">
                  <c:v>13156.855</c:v>
                </c:pt>
                <c:pt idx="11">
                  <c:v>9776.2236000000012</c:v>
                </c:pt>
                <c:pt idx="12">
                  <c:v>9189.6501840000001</c:v>
                </c:pt>
                <c:pt idx="13">
                  <c:v>9189.6501840000001</c:v>
                </c:pt>
                <c:pt idx="14">
                  <c:v>9465.3396895200021</c:v>
                </c:pt>
                <c:pt idx="15">
                  <c:v>9749.2998802056027</c:v>
                </c:pt>
              </c:numCache>
            </c:numRef>
          </c:val>
          <c:smooth val="0"/>
          <c:extLst>
            <c:ext xmlns:c16="http://schemas.microsoft.com/office/drawing/2014/chart" uri="{C3380CC4-5D6E-409C-BE32-E72D297353CC}">
              <c16:uniqueId val="{00000001-D640-4363-A234-5A7EFD636D62}"/>
            </c:ext>
          </c:extLst>
        </c:ser>
        <c:ser>
          <c:idx val="2"/>
          <c:order val="2"/>
          <c:tx>
            <c:strRef>
              <c:f>'Forecast Updates'!$A$14</c:f>
              <c:strCache>
                <c:ptCount val="1"/>
                <c:pt idx="0">
                  <c:v>Best-Case (2016)</c:v>
                </c:pt>
              </c:strCache>
            </c:strRef>
          </c:tx>
          <c:spPr>
            <a:ln w="15875" cap="rnd">
              <a:solidFill>
                <a:srgbClr val="0046AD"/>
              </a:solidFill>
              <a:prstDash val="sysDot"/>
              <a:round/>
            </a:ln>
            <a:effectLst/>
          </c:spPr>
          <c:marker>
            <c:symbol val="none"/>
          </c:marker>
          <c:cat>
            <c:numRef>
              <c:f>'Forecast Updates'!$B$11:$S$11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Updates'!$B$14:$S$14</c:f>
              <c:numCache>
                <c:formatCode>_(* #,##0_);_(* \(#,##0\);_(* "-"??_);_(@_)</c:formatCode>
                <c:ptCount val="18"/>
                <c:pt idx="10">
                  <c:v>13156.855</c:v>
                </c:pt>
                <c:pt idx="11">
                  <c:v>12424.632</c:v>
                </c:pt>
                <c:pt idx="12">
                  <c:v>12300.385679999999</c:v>
                </c:pt>
                <c:pt idx="13">
                  <c:v>12915.404964000001</c:v>
                </c:pt>
                <c:pt idx="14">
                  <c:v>13690.329261840003</c:v>
                </c:pt>
                <c:pt idx="15">
                  <c:v>14511.749017550403</c:v>
                </c:pt>
              </c:numCache>
            </c:numRef>
          </c:val>
          <c:smooth val="0"/>
          <c:extLst>
            <c:ext xmlns:c16="http://schemas.microsoft.com/office/drawing/2014/chart" uri="{C3380CC4-5D6E-409C-BE32-E72D297353CC}">
              <c16:uniqueId val="{00000002-D640-4363-A234-5A7EFD636D62}"/>
            </c:ext>
          </c:extLst>
        </c:ser>
        <c:ser>
          <c:idx val="3"/>
          <c:order val="3"/>
          <c:tx>
            <c:strRef>
              <c:f>'Forecast Updates'!$A$15</c:f>
              <c:strCache>
                <c:ptCount val="1"/>
                <c:pt idx="0">
                  <c:v>Worst-Case (2017)</c:v>
                </c:pt>
              </c:strCache>
            </c:strRef>
          </c:tx>
          <c:spPr>
            <a:ln w="22225" cap="rnd">
              <a:solidFill>
                <a:srgbClr val="FFC000"/>
              </a:solidFill>
              <a:prstDash val="dash"/>
              <a:round/>
            </a:ln>
            <a:effectLst/>
          </c:spPr>
          <c:marker>
            <c:symbol val="none"/>
          </c:marker>
          <c:cat>
            <c:numRef>
              <c:f>'Forecast Updates'!$B$11:$S$11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Updates'!$B$15:$S$15</c:f>
              <c:numCache>
                <c:formatCode>General</c:formatCode>
                <c:ptCount val="18"/>
                <c:pt idx="11" formatCode="_(* #,##0_);_(* \(#,##0\);_(* &quot;-&quot;??_);_(@_)">
                  <c:v>12512.285</c:v>
                </c:pt>
                <c:pt idx="12" formatCode="_(* #,##0_);_(* \(#,##0\);_(* &quot;-&quot;??_);_(@_)">
                  <c:v>11517.326887499999</c:v>
                </c:pt>
                <c:pt idx="13" formatCode="_(* #,##0_);_(* \(#,##0\);_(* &quot;-&quot;??_);_(@_)">
                  <c:v>11286.98034975</c:v>
                </c:pt>
                <c:pt idx="14" formatCode="_(* #,##0_);_(* \(#,##0\);_(* &quot;-&quot;??_);_(@_)">
                  <c:v>11061.240742755001</c:v>
                </c:pt>
                <c:pt idx="15" formatCode="_(* #,##0_);_(* \(#,##0\);_(* &quot;-&quot;??_);_(@_)">
                  <c:v>10840.0159278999</c:v>
                </c:pt>
                <c:pt idx="16" formatCode="_(* #,##0_);_(* \(#,##0\);_(* &quot;-&quot;??_);_(@_)">
                  <c:v>10623.215609341902</c:v>
                </c:pt>
              </c:numCache>
            </c:numRef>
          </c:val>
          <c:smooth val="0"/>
          <c:extLst>
            <c:ext xmlns:c16="http://schemas.microsoft.com/office/drawing/2014/chart" uri="{C3380CC4-5D6E-409C-BE32-E72D297353CC}">
              <c16:uniqueId val="{00000003-D640-4363-A234-5A7EFD636D62}"/>
            </c:ext>
          </c:extLst>
        </c:ser>
        <c:ser>
          <c:idx val="4"/>
          <c:order val="4"/>
          <c:tx>
            <c:strRef>
              <c:f>'Forecast Updates'!$A$16</c:f>
              <c:strCache>
                <c:ptCount val="1"/>
                <c:pt idx="0">
                  <c:v>Best-Case (2017)</c:v>
                </c:pt>
              </c:strCache>
            </c:strRef>
          </c:tx>
          <c:spPr>
            <a:ln w="22225" cap="rnd">
              <a:solidFill>
                <a:srgbClr val="0046AD"/>
              </a:solidFill>
              <a:prstDash val="dash"/>
              <a:round/>
            </a:ln>
            <a:effectLst/>
          </c:spPr>
          <c:marker>
            <c:symbol val="none"/>
          </c:marker>
          <c:cat>
            <c:numRef>
              <c:f>'Forecast Updates'!$B$11:$S$11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Updates'!$B$16:$S$16</c:f>
              <c:numCache>
                <c:formatCode>General</c:formatCode>
                <c:ptCount val="18"/>
                <c:pt idx="11" formatCode="_(* #,##0_);_(* \(#,##0\);_(* &quot;-&quot;??_);_(@_)">
                  <c:v>12512.285</c:v>
                </c:pt>
                <c:pt idx="12" formatCode="_(* #,##0_);_(* \(#,##0\);_(* &quot;-&quot;??_);_(@_)">
                  <c:v>13484.333275000001</c:v>
                </c:pt>
                <c:pt idx="13" formatCode="_(* #,##0_);_(* \(#,##0\);_(* &quot;-&quot;??_);_(@_)">
                  <c:v>13349.48994225</c:v>
                </c:pt>
                <c:pt idx="14" formatCode="_(* #,##0_);_(* \(#,##0\);_(* &quot;-&quot;??_);_(@_)">
                  <c:v>13199.702600654913</c:v>
                </c:pt>
                <c:pt idx="15" formatCode="_(* #,##0_);_(* \(#,##0\);_(* &quot;-&quot;??_);_(@_)">
                  <c:v>13104.244899691963</c:v>
                </c:pt>
                <c:pt idx="16" formatCode="_(* #,##0_);_(* \(#,##0\);_(* &quot;-&quot;??_);_(@_)">
                  <c:v>13054.231953919405</c:v>
                </c:pt>
              </c:numCache>
            </c:numRef>
          </c:val>
          <c:smooth val="0"/>
          <c:extLst>
            <c:ext xmlns:c16="http://schemas.microsoft.com/office/drawing/2014/chart" uri="{C3380CC4-5D6E-409C-BE32-E72D297353CC}">
              <c16:uniqueId val="{00000004-D640-4363-A234-5A7EFD636D62}"/>
            </c:ext>
          </c:extLst>
        </c:ser>
        <c:ser>
          <c:idx val="5"/>
          <c:order val="5"/>
          <c:tx>
            <c:strRef>
              <c:f>'Forecast Updates'!$A$17</c:f>
              <c:strCache>
                <c:ptCount val="1"/>
                <c:pt idx="0">
                  <c:v>Worst-Case (2018)</c:v>
                </c:pt>
              </c:strCache>
            </c:strRef>
          </c:tx>
          <c:spPr>
            <a:ln w="22225" cap="rnd">
              <a:solidFill>
                <a:srgbClr val="FFC000"/>
              </a:solidFill>
              <a:round/>
            </a:ln>
            <a:effectLst/>
          </c:spPr>
          <c:marker>
            <c:symbol val="none"/>
          </c:marker>
          <c:cat>
            <c:numRef>
              <c:f>'Forecast Updates'!$B$11:$S$11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Updates'!$B$17:$S$17</c:f>
              <c:numCache>
                <c:formatCode>General</c:formatCode>
                <c:ptCount val="18"/>
                <c:pt idx="11" formatCode="_(* #,##0_);_(* \(#,##0\);_(* &quot;-&quot;??_);_(@_)">
                  <c:v>12512.285</c:v>
                </c:pt>
                <c:pt idx="12" formatCode="_(* #,##0_);_(* \(#,##0\);_(* &quot;-&quot;??_);_(@_)">
                  <c:v>13627.475</c:v>
                </c:pt>
                <c:pt idx="13" formatCode="_(* #,##0_);_(* \(#,##0\);_(* &quot;-&quot;??_);_(@_)">
                  <c:v>11614.515000000001</c:v>
                </c:pt>
                <c:pt idx="14" formatCode="_(* #,##0_);_(* \(#,##0\);_(* &quot;-&quot;??_);_(@_)">
                  <c:v>11331.800999999999</c:v>
                </c:pt>
                <c:pt idx="15" formatCode="_(* #,##0_);_(* \(#,##0\);_(* &quot;-&quot;??_);_(@_)">
                  <c:v>11121.295275</c:v>
                </c:pt>
                <c:pt idx="16" formatCode="_(* #,##0_);_(* \(#,##0\);_(* &quot;-&quot;??_);_(@_)">
                  <c:v>10977.973841249999</c:v>
                </c:pt>
                <c:pt idx="17" formatCode="_(* #,##0_);_(* \(#,##0\);_(* &quot;-&quot;??_);_(@_)">
                  <c:v>10897.424955562501</c:v>
                </c:pt>
              </c:numCache>
            </c:numRef>
          </c:val>
          <c:smooth val="0"/>
          <c:extLst>
            <c:ext xmlns:c16="http://schemas.microsoft.com/office/drawing/2014/chart" uri="{C3380CC4-5D6E-409C-BE32-E72D297353CC}">
              <c16:uniqueId val="{00000005-D640-4363-A234-5A7EFD636D62}"/>
            </c:ext>
          </c:extLst>
        </c:ser>
        <c:ser>
          <c:idx val="6"/>
          <c:order val="6"/>
          <c:tx>
            <c:strRef>
              <c:f>'Forecast Updates'!$A$18</c:f>
              <c:strCache>
                <c:ptCount val="1"/>
                <c:pt idx="0">
                  <c:v>Best-Case (2018)</c:v>
                </c:pt>
              </c:strCache>
            </c:strRef>
          </c:tx>
          <c:spPr>
            <a:ln w="22225" cap="rnd">
              <a:solidFill>
                <a:srgbClr val="0046AD"/>
              </a:solidFill>
              <a:round/>
            </a:ln>
            <a:effectLst/>
          </c:spPr>
          <c:marker>
            <c:symbol val="none"/>
          </c:marker>
          <c:cat>
            <c:numRef>
              <c:f>'Forecast Updates'!$B$11:$S$11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Updates'!$B$18:$S$18</c:f>
              <c:numCache>
                <c:formatCode>General</c:formatCode>
                <c:ptCount val="18"/>
                <c:pt idx="11" formatCode="_(* #,##0_);_(* \(#,##0\);_(* &quot;-&quot;??_);_(@_)">
                  <c:v>12512.285</c:v>
                </c:pt>
                <c:pt idx="12" formatCode="_(* #,##0_);_(* \(#,##0\);_(* &quot;-&quot;??_);_(@_)">
                  <c:v>13627.475</c:v>
                </c:pt>
                <c:pt idx="13" formatCode="_(* #,##0_);_(* \(#,##0\);_(* &quot;-&quot;??_);_(@_)">
                  <c:v>13473.367000000002</c:v>
                </c:pt>
                <c:pt idx="14" formatCode="_(* #,##0_);_(* \(#,##0\);_(* &quot;-&quot;??_);_(@_)">
                  <c:v>13654.942300000001</c:v>
                </c:pt>
                <c:pt idx="15" formatCode="_(* #,##0_);_(* \(#,##0\);_(* &quot;-&quot;??_);_(@_)">
                  <c:v>14001.829510000005</c:v>
                </c:pt>
                <c:pt idx="16" formatCode="_(* #,##0_);_(* \(#,##0\);_(* &quot;-&quot;??_);_(@_)">
                  <c:v>14519.513771800006</c:v>
                </c:pt>
                <c:pt idx="17" formatCode="_(* #,##0_);_(* \(#,##0\);_(* &quot;-&quot;??_);_(@_)">
                  <c:v>15215.57367295601</c:v>
                </c:pt>
              </c:numCache>
            </c:numRef>
          </c:val>
          <c:smooth val="0"/>
          <c:extLst>
            <c:ext xmlns:c16="http://schemas.microsoft.com/office/drawing/2014/chart" uri="{C3380CC4-5D6E-409C-BE32-E72D297353CC}">
              <c16:uniqueId val="{00000006-D640-4363-A234-5A7EFD636D62}"/>
            </c:ext>
          </c:extLst>
        </c:ser>
        <c:dLbls>
          <c:showLegendKey val="0"/>
          <c:showVal val="0"/>
          <c:showCatName val="0"/>
          <c:showSerName val="0"/>
          <c:showPercent val="0"/>
          <c:showBubbleSize val="0"/>
        </c:dLbls>
        <c:smooth val="0"/>
        <c:axId val="1014057784"/>
        <c:axId val="1014059424"/>
      </c:lineChart>
      <c:catAx>
        <c:axId val="1014057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1014059424"/>
        <c:crosses val="autoZero"/>
        <c:auto val="1"/>
        <c:lblAlgn val="ctr"/>
        <c:lblOffset val="100"/>
        <c:noMultiLvlLbl val="0"/>
      </c:catAx>
      <c:valAx>
        <c:axId val="101405942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10140577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sz="1200"/>
              <a:t>FCFO and Framework Scenarios (3 Years)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'Forecast Updates'!$A$21</c:f>
              <c:strCache>
                <c:ptCount val="1"/>
                <c:pt idx="0">
                  <c:v>FCFO</c:v>
                </c:pt>
              </c:strCache>
            </c:strRef>
          </c:tx>
          <c:spPr>
            <a:ln w="22225" cap="rnd">
              <a:solidFill>
                <a:sysClr val="windowText" lastClr="000000"/>
              </a:solidFill>
              <a:round/>
            </a:ln>
            <a:effectLst/>
          </c:spPr>
          <c:marker>
            <c:symbol val="none"/>
          </c:marker>
          <c:cat>
            <c:numRef>
              <c:f>'Forecast Updates'!$B$20:$S$20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Updates'!$B$21:$S$21</c:f>
              <c:numCache>
                <c:formatCode>_(* #,##0_);_(* \(#,##0\);_(* "-"??_);_(@_)</c:formatCode>
                <c:ptCount val="18"/>
                <c:pt idx="0">
                  <c:v>11050.524313040853</c:v>
                </c:pt>
                <c:pt idx="1">
                  <c:v>5952.8533250323326</c:v>
                </c:pt>
                <c:pt idx="2">
                  <c:v>9053.4158259782162</c:v>
                </c:pt>
                <c:pt idx="3">
                  <c:v>7308.8710165012517</c:v>
                </c:pt>
                <c:pt idx="4">
                  <c:v>15514.273219136594</c:v>
                </c:pt>
                <c:pt idx="5">
                  <c:v>8592.7838064400639</c:v>
                </c:pt>
                <c:pt idx="6">
                  <c:v>12233.547623732527</c:v>
                </c:pt>
                <c:pt idx="7">
                  <c:v>10488.170333509759</c:v>
                </c:pt>
                <c:pt idx="8">
                  <c:v>9958.8975432565894</c:v>
                </c:pt>
                <c:pt idx="9">
                  <c:v>11733.471462637361</c:v>
                </c:pt>
                <c:pt idx="10">
                  <c:v>8925.5980653999995</c:v>
                </c:pt>
                <c:pt idx="11">
                  <c:v>6906.4267814300001</c:v>
                </c:pt>
                <c:pt idx="12">
                  <c:v>10315.926803660001</c:v>
                </c:pt>
              </c:numCache>
            </c:numRef>
          </c:val>
          <c:smooth val="0"/>
          <c:extLst>
            <c:ext xmlns:c16="http://schemas.microsoft.com/office/drawing/2014/chart" uri="{C3380CC4-5D6E-409C-BE32-E72D297353CC}">
              <c16:uniqueId val="{00000000-CDE5-497F-B150-3BB0228910AA}"/>
            </c:ext>
          </c:extLst>
        </c:ser>
        <c:ser>
          <c:idx val="1"/>
          <c:order val="1"/>
          <c:tx>
            <c:strRef>
              <c:f>'Forecast Updates'!$A$22</c:f>
              <c:strCache>
                <c:ptCount val="1"/>
                <c:pt idx="0">
                  <c:v>Worst-Case (2016)</c:v>
                </c:pt>
              </c:strCache>
            </c:strRef>
          </c:tx>
          <c:spPr>
            <a:ln w="19050" cap="rnd">
              <a:solidFill>
                <a:srgbClr val="FFC000"/>
              </a:solidFill>
              <a:prstDash val="sysDot"/>
              <a:round/>
            </a:ln>
            <a:effectLst/>
          </c:spPr>
          <c:marker>
            <c:symbol val="none"/>
          </c:marker>
          <c:cat>
            <c:numRef>
              <c:f>'Forecast Updates'!$B$20:$S$20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Updates'!$B$22:$S$22</c:f>
              <c:numCache>
                <c:formatCode>_(* #,##0_);_(* \(#,##0\);_(* "-"??_);_(@_)</c:formatCode>
                <c:ptCount val="18"/>
                <c:pt idx="10">
                  <c:v>8925.5980653999995</c:v>
                </c:pt>
                <c:pt idx="11">
                  <c:v>7332.1677000000009</c:v>
                </c:pt>
                <c:pt idx="12">
                  <c:v>6892.2376380000005</c:v>
                </c:pt>
                <c:pt idx="13">
                  <c:v>6892.2376380000005</c:v>
                </c:pt>
                <c:pt idx="14">
                  <c:v>7099.0047671400016</c:v>
                </c:pt>
                <c:pt idx="15">
                  <c:v>7311.974910154202</c:v>
                </c:pt>
              </c:numCache>
            </c:numRef>
          </c:val>
          <c:smooth val="0"/>
          <c:extLst>
            <c:ext xmlns:c16="http://schemas.microsoft.com/office/drawing/2014/chart" uri="{C3380CC4-5D6E-409C-BE32-E72D297353CC}">
              <c16:uniqueId val="{00000001-CDE5-497F-B150-3BB0228910AA}"/>
            </c:ext>
          </c:extLst>
        </c:ser>
        <c:ser>
          <c:idx val="2"/>
          <c:order val="2"/>
          <c:tx>
            <c:strRef>
              <c:f>'Forecast Updates'!$A$23</c:f>
              <c:strCache>
                <c:ptCount val="1"/>
                <c:pt idx="0">
                  <c:v>Best-Case (2016)</c:v>
                </c:pt>
              </c:strCache>
            </c:strRef>
          </c:tx>
          <c:spPr>
            <a:ln w="15875" cap="rnd">
              <a:solidFill>
                <a:srgbClr val="0046AD"/>
              </a:solidFill>
              <a:prstDash val="sysDot"/>
              <a:round/>
            </a:ln>
            <a:effectLst/>
          </c:spPr>
          <c:marker>
            <c:symbol val="none"/>
          </c:marker>
          <c:cat>
            <c:numRef>
              <c:f>'Forecast Updates'!$B$20:$S$20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Updates'!$B$23:$S$23</c:f>
              <c:numCache>
                <c:formatCode>_(* #,##0_);_(* \(#,##0\);_(* "-"??_);_(@_)</c:formatCode>
                <c:ptCount val="18"/>
                <c:pt idx="10">
                  <c:v>8925.5980653999995</c:v>
                </c:pt>
                <c:pt idx="11">
                  <c:v>9318.4740000000002</c:v>
                </c:pt>
                <c:pt idx="12">
                  <c:v>9225.2892599999996</c:v>
                </c:pt>
                <c:pt idx="13">
                  <c:v>9686.5537230000009</c:v>
                </c:pt>
                <c:pt idx="14">
                  <c:v>10267.746946380003</c:v>
                </c:pt>
                <c:pt idx="15">
                  <c:v>10883.811763162801</c:v>
                </c:pt>
              </c:numCache>
            </c:numRef>
          </c:val>
          <c:smooth val="0"/>
          <c:extLst>
            <c:ext xmlns:c16="http://schemas.microsoft.com/office/drawing/2014/chart" uri="{C3380CC4-5D6E-409C-BE32-E72D297353CC}">
              <c16:uniqueId val="{00000002-CDE5-497F-B150-3BB0228910AA}"/>
            </c:ext>
          </c:extLst>
        </c:ser>
        <c:ser>
          <c:idx val="3"/>
          <c:order val="3"/>
          <c:tx>
            <c:strRef>
              <c:f>'Forecast Updates'!$A$24</c:f>
              <c:strCache>
                <c:ptCount val="1"/>
                <c:pt idx="0">
                  <c:v>Worst-Case (2017)</c:v>
                </c:pt>
              </c:strCache>
            </c:strRef>
          </c:tx>
          <c:spPr>
            <a:ln w="22225" cap="rnd">
              <a:solidFill>
                <a:srgbClr val="FFC000"/>
              </a:solidFill>
              <a:prstDash val="dash"/>
              <a:round/>
            </a:ln>
            <a:effectLst/>
          </c:spPr>
          <c:marker>
            <c:symbol val="none"/>
          </c:marker>
          <c:cat>
            <c:numRef>
              <c:f>'Forecast Updates'!$B$20:$S$20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Updates'!$B$24:$S$24</c:f>
              <c:numCache>
                <c:formatCode>General</c:formatCode>
                <c:ptCount val="18"/>
                <c:pt idx="11" formatCode="_(* #,##0_);_(* \(#,##0\);_(* &quot;-&quot;??_);_(@_)">
                  <c:v>6906.4267814300001</c:v>
                </c:pt>
                <c:pt idx="12" formatCode="_(* #,##0_);_(* \(#,##0\);_(* &quot;-&quot;??_);_(@_)">
                  <c:v>8631.2520000000004</c:v>
                </c:pt>
                <c:pt idx="13" formatCode="_(* #,##0_);_(* \(#,##0\);_(* &quot;-&quot;??_);_(@_)">
                  <c:v>8334.5527125000008</c:v>
                </c:pt>
                <c:pt idx="14" formatCode="_(* #,##0_);_(* \(#,##0\);_(* &quot;-&quot;??_);_(@_)">
                  <c:v>8095.8446493750016</c:v>
                </c:pt>
                <c:pt idx="15" formatCode="_(* #,##0_);_(* \(#,##0\);_(* &quot;-&quot;??_);_(@_)">
                  <c:v>7910.7447529687515</c:v>
                </c:pt>
                <c:pt idx="16" formatCode="_(* #,##0_);_(* \(#,##0\);_(* &quot;-&quot;??_);_(@_)">
                  <c:v>7775.37907462969</c:v>
                </c:pt>
              </c:numCache>
            </c:numRef>
          </c:val>
          <c:smooth val="0"/>
          <c:extLst>
            <c:ext xmlns:c16="http://schemas.microsoft.com/office/drawing/2014/chart" uri="{C3380CC4-5D6E-409C-BE32-E72D297353CC}">
              <c16:uniqueId val="{00000003-CDE5-497F-B150-3BB0228910AA}"/>
            </c:ext>
          </c:extLst>
        </c:ser>
        <c:ser>
          <c:idx val="4"/>
          <c:order val="4"/>
          <c:tx>
            <c:strRef>
              <c:f>'Forecast Updates'!$A$25</c:f>
              <c:strCache>
                <c:ptCount val="1"/>
                <c:pt idx="0">
                  <c:v>Best-Case (2017)</c:v>
                </c:pt>
              </c:strCache>
            </c:strRef>
          </c:tx>
          <c:spPr>
            <a:ln w="22225" cap="rnd">
              <a:solidFill>
                <a:srgbClr val="0046AD"/>
              </a:solidFill>
              <a:prstDash val="dash"/>
              <a:round/>
            </a:ln>
            <a:effectLst/>
          </c:spPr>
          <c:marker>
            <c:symbol val="none"/>
          </c:marker>
          <c:cat>
            <c:numRef>
              <c:f>'Forecast Updates'!$B$20:$S$20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Updates'!$B$25:$S$25</c:f>
              <c:numCache>
                <c:formatCode>General</c:formatCode>
                <c:ptCount val="18"/>
                <c:pt idx="11" formatCode="_(* #,##0_);_(* \(#,##0\);_(* &quot;-&quot;??_);_(@_)">
                  <c:v>6906.4267814300001</c:v>
                </c:pt>
                <c:pt idx="12" formatCode="_(* #,##0_);_(* \(#,##0\);_(* &quot;-&quot;??_);_(@_)">
                  <c:v>10067.396430000003</c:v>
                </c:pt>
                <c:pt idx="13" formatCode="_(* #,##0_);_(* \(#,##0\);_(* &quot;-&quot;??_);_(@_)">
                  <c:v>10064.950908600003</c:v>
                </c:pt>
                <c:pt idx="14" formatCode="_(* #,##0_);_(* \(#,##0\);_(* &quot;-&quot;??_);_(@_)">
                  <c:v>10183.265233932005</c:v>
                </c:pt>
                <c:pt idx="15" formatCode="_(* #,##0_);_(* \(#,##0\);_(* &quot;-&quot;??_);_(@_)">
                  <c:v>10424.725256673846</c:v>
                </c:pt>
                <c:pt idx="16" formatCode="_(* #,##0_);_(* \(#,##0\);_(* &quot;-&quot;??_);_(@_)">
                  <c:v>10793.213662677706</c:v>
                </c:pt>
              </c:numCache>
            </c:numRef>
          </c:val>
          <c:smooth val="0"/>
          <c:extLst>
            <c:ext xmlns:c16="http://schemas.microsoft.com/office/drawing/2014/chart" uri="{C3380CC4-5D6E-409C-BE32-E72D297353CC}">
              <c16:uniqueId val="{00000004-CDE5-497F-B150-3BB0228910AA}"/>
            </c:ext>
          </c:extLst>
        </c:ser>
        <c:ser>
          <c:idx val="5"/>
          <c:order val="5"/>
          <c:tx>
            <c:strRef>
              <c:f>'Forecast Updates'!$A$26</c:f>
              <c:strCache>
                <c:ptCount val="1"/>
                <c:pt idx="0">
                  <c:v>Worst-Case (2018)</c:v>
                </c:pt>
              </c:strCache>
            </c:strRef>
          </c:tx>
          <c:spPr>
            <a:ln w="22225" cap="rnd">
              <a:solidFill>
                <a:srgbClr val="FFC000"/>
              </a:solidFill>
              <a:round/>
            </a:ln>
            <a:effectLst/>
          </c:spPr>
          <c:marker>
            <c:symbol val="none"/>
          </c:marker>
          <c:cat>
            <c:numRef>
              <c:f>'Forecast Updates'!$B$20:$S$20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Updates'!$B$26:$S$26</c:f>
              <c:numCache>
                <c:formatCode>0%</c:formatCode>
                <c:ptCount val="18"/>
                <c:pt idx="11" formatCode="_(* #,##0_);_(* \(#,##0\);_(* &quot;-&quot;??_);_(@_)">
                  <c:v>6906.4267814300001</c:v>
                </c:pt>
                <c:pt idx="12" formatCode="_(* #,##0_);_(* \(#,##0\);_(* &quot;-&quot;??_);_(@_)">
                  <c:v>10315.926803660001</c:v>
                </c:pt>
                <c:pt idx="13" formatCode="_(* #,##0_);_(* \(#,##0\);_(* &quot;-&quot;??_);_(@_)">
                  <c:v>8710.8862500000014</c:v>
                </c:pt>
                <c:pt idx="14" formatCode="_(* #,##0_);_(* \(#,##0\);_(* &quot;-&quot;??_);_(@_)">
                  <c:v>8498.8507499999996</c:v>
                </c:pt>
                <c:pt idx="15" formatCode="_(* #,##0_);_(* \(#,##0\);_(* &quot;-&quot;??_);_(@_)">
                  <c:v>8340.9714562500012</c:v>
                </c:pt>
                <c:pt idx="16" formatCode="_(* #,##0_);_(* \(#,##0\);_(* &quot;-&quot;??_);_(@_)">
                  <c:v>8233.4803809374989</c:v>
                </c:pt>
                <c:pt idx="17" formatCode="_(* #,##0_);_(* \(#,##0\);_(* &quot;-&quot;??_);_(@_)">
                  <c:v>8173.0687166718762</c:v>
                </c:pt>
              </c:numCache>
            </c:numRef>
          </c:val>
          <c:smooth val="0"/>
          <c:extLst>
            <c:ext xmlns:c16="http://schemas.microsoft.com/office/drawing/2014/chart" uri="{C3380CC4-5D6E-409C-BE32-E72D297353CC}">
              <c16:uniqueId val="{00000005-CDE5-497F-B150-3BB0228910AA}"/>
            </c:ext>
          </c:extLst>
        </c:ser>
        <c:ser>
          <c:idx val="6"/>
          <c:order val="6"/>
          <c:tx>
            <c:strRef>
              <c:f>'Forecast Updates'!$A$27</c:f>
              <c:strCache>
                <c:ptCount val="1"/>
                <c:pt idx="0">
                  <c:v>Best-Case (2018)</c:v>
                </c:pt>
              </c:strCache>
            </c:strRef>
          </c:tx>
          <c:spPr>
            <a:ln w="22225" cap="rnd">
              <a:solidFill>
                <a:srgbClr val="0046AD"/>
              </a:solidFill>
              <a:round/>
            </a:ln>
            <a:effectLst/>
          </c:spPr>
          <c:marker>
            <c:symbol val="none"/>
          </c:marker>
          <c:cat>
            <c:numRef>
              <c:f>'Forecast Updates'!$B$20:$S$20</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'Forecast Updates'!$B$27:$S$27</c:f>
              <c:numCache>
                <c:formatCode>0%</c:formatCode>
                <c:ptCount val="18"/>
                <c:pt idx="11" formatCode="_(* #,##0_);_(* \(#,##0\);_(* &quot;-&quot;??_);_(@_)">
                  <c:v>6906.4267814300001</c:v>
                </c:pt>
                <c:pt idx="12" formatCode="_(* #,##0_);_(* \(#,##0\);_(* &quot;-&quot;??_);_(@_)">
                  <c:v>10315.926803660001</c:v>
                </c:pt>
                <c:pt idx="13" formatCode="_(* #,##0_);_(* \(#,##0\);_(* &quot;-&quot;??_);_(@_)">
                  <c:v>10105.025250000002</c:v>
                </c:pt>
                <c:pt idx="14" formatCode="_(* #,##0_);_(* \(#,##0\);_(* &quot;-&quot;??_);_(@_)">
                  <c:v>10241.206725</c:v>
                </c:pt>
                <c:pt idx="15" formatCode="_(* #,##0_);_(* \(#,##0\);_(* &quot;-&quot;??_);_(@_)">
                  <c:v>10501.372132500004</c:v>
                </c:pt>
                <c:pt idx="16" formatCode="_(* #,##0_);_(* \(#,##0\);_(* &quot;-&quot;??_);_(@_)">
                  <c:v>10889.635328850005</c:v>
                </c:pt>
                <c:pt idx="17" formatCode="_(* #,##0_);_(* \(#,##0\);_(* &quot;-&quot;??_);_(@_)">
                  <c:v>11411.680254717008</c:v>
                </c:pt>
              </c:numCache>
            </c:numRef>
          </c:val>
          <c:smooth val="0"/>
          <c:extLst>
            <c:ext xmlns:c16="http://schemas.microsoft.com/office/drawing/2014/chart" uri="{C3380CC4-5D6E-409C-BE32-E72D297353CC}">
              <c16:uniqueId val="{00000006-CDE5-497F-B150-3BB0228910AA}"/>
            </c:ext>
          </c:extLst>
        </c:ser>
        <c:dLbls>
          <c:showLegendKey val="0"/>
          <c:showVal val="0"/>
          <c:showCatName val="0"/>
          <c:showSerName val="0"/>
          <c:showPercent val="0"/>
          <c:showBubbleSize val="0"/>
        </c:dLbls>
        <c:smooth val="0"/>
        <c:axId val="1014057784"/>
        <c:axId val="1014059424"/>
      </c:lineChart>
      <c:catAx>
        <c:axId val="1014057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1014059424"/>
        <c:crosses val="autoZero"/>
        <c:auto val="1"/>
        <c:lblAlgn val="ctr"/>
        <c:lblOffset val="100"/>
        <c:noMultiLvlLbl val="0"/>
      </c:catAx>
      <c:valAx>
        <c:axId val="101405942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crossAx val="10140577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r>
              <a:rPr lang="en-US" sz="1200"/>
              <a:t>Revenue Growth Trends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1"/>
          <c:order val="0"/>
          <c:tx>
            <c:strRef>
              <c:f>'New Segments'!$A$2</c:f>
              <c:strCache>
                <c:ptCount val="1"/>
                <c:pt idx="0">
                  <c:v>Cognitive Solutions</c:v>
                </c:pt>
              </c:strCache>
            </c:strRef>
          </c:tx>
          <c:spPr>
            <a:solidFill>
              <a:srgbClr val="575A5D"/>
            </a:solidFill>
            <a:ln>
              <a:noFill/>
            </a:ln>
            <a:effectLst/>
          </c:spPr>
          <c:invertIfNegative val="0"/>
          <c:cat>
            <c:numRef>
              <c:f>'New Segments'!$B$1:$J$1</c:f>
              <c:numCache>
                <c:formatCode>General</c:formatCode>
                <c:ptCount val="9"/>
                <c:pt idx="0">
                  <c:v>2014</c:v>
                </c:pt>
                <c:pt idx="1">
                  <c:v>2015</c:v>
                </c:pt>
                <c:pt idx="2">
                  <c:v>2016</c:v>
                </c:pt>
                <c:pt idx="3">
                  <c:v>2017</c:v>
                </c:pt>
                <c:pt idx="4" formatCode="0&quot;e&quot;">
                  <c:v>2017</c:v>
                </c:pt>
                <c:pt idx="5" formatCode="0&quot;e&quot;">
                  <c:v>2018</c:v>
                </c:pt>
                <c:pt idx="6" formatCode="0&quot;e&quot;">
                  <c:v>2019</c:v>
                </c:pt>
                <c:pt idx="7" formatCode="0&quot;e&quot;">
                  <c:v>2020</c:v>
                </c:pt>
                <c:pt idx="8" formatCode="0&quot;e&quot;">
                  <c:v>2021</c:v>
                </c:pt>
              </c:numCache>
            </c:numRef>
          </c:cat>
          <c:val>
            <c:numRef>
              <c:f>'New Segments'!$B$2:$J$2</c:f>
              <c:numCache>
                <c:formatCode>_(* #,##0_);_(* \(#,##0\);_(* "-"??_);_(@_)</c:formatCode>
                <c:ptCount val="9"/>
                <c:pt idx="0">
                  <c:v>21906</c:v>
                </c:pt>
                <c:pt idx="1">
                  <c:v>20055</c:v>
                </c:pt>
                <c:pt idx="2">
                  <c:v>20817</c:v>
                </c:pt>
                <c:pt idx="3">
                  <c:v>21100</c:v>
                </c:pt>
                <c:pt idx="4">
                  <c:v>21607.952580403889</c:v>
                </c:pt>
                <c:pt idx="5">
                  <c:v>22428.957809337709</c:v>
                </c:pt>
                <c:pt idx="6">
                  <c:v>23281.15755257956</c:v>
                </c:pt>
                <c:pt idx="7">
                  <c:v>24165.737061682805</c:v>
                </c:pt>
                <c:pt idx="8">
                  <c:v>25083.926622440835</c:v>
                </c:pt>
              </c:numCache>
            </c:numRef>
          </c:val>
          <c:extLst>
            <c:ext xmlns:c16="http://schemas.microsoft.com/office/drawing/2014/chart" uri="{C3380CC4-5D6E-409C-BE32-E72D297353CC}">
              <c16:uniqueId val="{00000000-88B7-4D5D-A7DE-4DC4CE848681}"/>
            </c:ext>
          </c:extLst>
        </c:ser>
        <c:ser>
          <c:idx val="2"/>
          <c:order val="1"/>
          <c:tx>
            <c:strRef>
              <c:f>'New Segments'!$A$3</c:f>
              <c:strCache>
                <c:ptCount val="1"/>
                <c:pt idx="0">
                  <c:v>Global Business Services</c:v>
                </c:pt>
              </c:strCache>
            </c:strRef>
          </c:tx>
          <c:spPr>
            <a:solidFill>
              <a:srgbClr val="00B050"/>
            </a:solidFill>
            <a:ln>
              <a:noFill/>
            </a:ln>
            <a:effectLst/>
          </c:spPr>
          <c:invertIfNegative val="0"/>
          <c:cat>
            <c:numRef>
              <c:f>'New Segments'!$B$1:$J$1</c:f>
              <c:numCache>
                <c:formatCode>General</c:formatCode>
                <c:ptCount val="9"/>
                <c:pt idx="0">
                  <c:v>2014</c:v>
                </c:pt>
                <c:pt idx="1">
                  <c:v>2015</c:v>
                </c:pt>
                <c:pt idx="2">
                  <c:v>2016</c:v>
                </c:pt>
                <c:pt idx="3">
                  <c:v>2017</c:v>
                </c:pt>
                <c:pt idx="4" formatCode="0&quot;e&quot;">
                  <c:v>2017</c:v>
                </c:pt>
                <c:pt idx="5" formatCode="0&quot;e&quot;">
                  <c:v>2018</c:v>
                </c:pt>
                <c:pt idx="6" formatCode="0&quot;e&quot;">
                  <c:v>2019</c:v>
                </c:pt>
                <c:pt idx="7" formatCode="0&quot;e&quot;">
                  <c:v>2020</c:v>
                </c:pt>
                <c:pt idx="8" formatCode="0&quot;e&quot;">
                  <c:v>2021</c:v>
                </c:pt>
              </c:numCache>
            </c:numRef>
          </c:cat>
          <c:val>
            <c:numRef>
              <c:f>'New Segments'!$B$3:$J$3</c:f>
              <c:numCache>
                <c:formatCode>_(* #,##0_);_(* \(#,##0\);_(* "-"??_);_(@_)</c:formatCode>
                <c:ptCount val="9"/>
                <c:pt idx="0">
                  <c:v>20055</c:v>
                </c:pt>
                <c:pt idx="1">
                  <c:v>17664</c:v>
                </c:pt>
                <c:pt idx="2">
                  <c:v>17109</c:v>
                </c:pt>
                <c:pt idx="3">
                  <c:v>16711</c:v>
                </c:pt>
                <c:pt idx="4">
                  <c:v>16571.438009510868</c:v>
                </c:pt>
                <c:pt idx="5">
                  <c:v>16050.76612911693</c:v>
                </c:pt>
                <c:pt idx="6">
                  <c:v>15546.453674312814</c:v>
                </c:pt>
                <c:pt idx="7">
                  <c:v>15057.986634613788</c:v>
                </c:pt>
                <c:pt idx="8">
                  <c:v>14584.867149660739</c:v>
                </c:pt>
              </c:numCache>
            </c:numRef>
          </c:val>
          <c:extLst>
            <c:ext xmlns:c16="http://schemas.microsoft.com/office/drawing/2014/chart" uri="{C3380CC4-5D6E-409C-BE32-E72D297353CC}">
              <c16:uniqueId val="{00000001-88B7-4D5D-A7DE-4DC4CE848681}"/>
            </c:ext>
          </c:extLst>
        </c:ser>
        <c:ser>
          <c:idx val="3"/>
          <c:order val="2"/>
          <c:tx>
            <c:strRef>
              <c:f>'New Segments'!$A$4</c:f>
              <c:strCache>
                <c:ptCount val="1"/>
                <c:pt idx="0">
                  <c:v>Tech Services &amp; Cloud Platforms</c:v>
                </c:pt>
              </c:strCache>
            </c:strRef>
          </c:tx>
          <c:spPr>
            <a:solidFill>
              <a:srgbClr val="0046AD"/>
            </a:solidFill>
            <a:ln>
              <a:noFill/>
            </a:ln>
            <a:effectLst/>
          </c:spPr>
          <c:invertIfNegative val="0"/>
          <c:cat>
            <c:numRef>
              <c:f>'New Segments'!$B$1:$J$1</c:f>
              <c:numCache>
                <c:formatCode>General</c:formatCode>
                <c:ptCount val="9"/>
                <c:pt idx="0">
                  <c:v>2014</c:v>
                </c:pt>
                <c:pt idx="1">
                  <c:v>2015</c:v>
                </c:pt>
                <c:pt idx="2">
                  <c:v>2016</c:v>
                </c:pt>
                <c:pt idx="3">
                  <c:v>2017</c:v>
                </c:pt>
                <c:pt idx="4" formatCode="0&quot;e&quot;">
                  <c:v>2017</c:v>
                </c:pt>
                <c:pt idx="5" formatCode="0&quot;e&quot;">
                  <c:v>2018</c:v>
                </c:pt>
                <c:pt idx="6" formatCode="0&quot;e&quot;">
                  <c:v>2019</c:v>
                </c:pt>
                <c:pt idx="7" formatCode="0&quot;e&quot;">
                  <c:v>2020</c:v>
                </c:pt>
                <c:pt idx="8" formatCode="0&quot;e&quot;">
                  <c:v>2021</c:v>
                </c:pt>
              </c:numCache>
            </c:numRef>
          </c:cat>
          <c:val>
            <c:numRef>
              <c:f>'New Segments'!$B$4:$J$4</c:f>
              <c:numCache>
                <c:formatCode>_(* #,##0_);_(* \(#,##0\);_(* "-"??_);_(@_)</c:formatCode>
                <c:ptCount val="9"/>
                <c:pt idx="0">
                  <c:v>39729</c:v>
                </c:pt>
                <c:pt idx="1">
                  <c:v>35840</c:v>
                </c:pt>
                <c:pt idx="2">
                  <c:v>36052</c:v>
                </c:pt>
                <c:pt idx="3">
                  <c:v>34934</c:v>
                </c:pt>
                <c:pt idx="4">
                  <c:v>36265.254017857143</c:v>
                </c:pt>
                <c:pt idx="5">
                  <c:v>36479.769471310989</c:v>
                </c:pt>
                <c:pt idx="6">
                  <c:v>36695.553821978341</c:v>
                </c:pt>
                <c:pt idx="7">
                  <c:v>36912.614575612817</c:v>
                </c:pt>
                <c:pt idx="8">
                  <c:v>37130.95928236589</c:v>
                </c:pt>
              </c:numCache>
            </c:numRef>
          </c:val>
          <c:extLst>
            <c:ext xmlns:c16="http://schemas.microsoft.com/office/drawing/2014/chart" uri="{C3380CC4-5D6E-409C-BE32-E72D297353CC}">
              <c16:uniqueId val="{00000002-88B7-4D5D-A7DE-4DC4CE848681}"/>
            </c:ext>
          </c:extLst>
        </c:ser>
        <c:ser>
          <c:idx val="4"/>
          <c:order val="3"/>
          <c:tx>
            <c:strRef>
              <c:f>'New Segments'!$A$5</c:f>
              <c:strCache>
                <c:ptCount val="1"/>
                <c:pt idx="0">
                  <c:v>Systems</c:v>
                </c:pt>
              </c:strCache>
            </c:strRef>
          </c:tx>
          <c:spPr>
            <a:solidFill>
              <a:schemeClr val="accent5"/>
            </a:solidFill>
            <a:ln>
              <a:noFill/>
            </a:ln>
            <a:effectLst/>
          </c:spPr>
          <c:invertIfNegative val="0"/>
          <c:cat>
            <c:numRef>
              <c:f>'New Segments'!$B$1:$J$1</c:f>
              <c:numCache>
                <c:formatCode>General</c:formatCode>
                <c:ptCount val="9"/>
                <c:pt idx="0">
                  <c:v>2014</c:v>
                </c:pt>
                <c:pt idx="1">
                  <c:v>2015</c:v>
                </c:pt>
                <c:pt idx="2">
                  <c:v>2016</c:v>
                </c:pt>
                <c:pt idx="3">
                  <c:v>2017</c:v>
                </c:pt>
                <c:pt idx="4" formatCode="0&quot;e&quot;">
                  <c:v>2017</c:v>
                </c:pt>
                <c:pt idx="5" formatCode="0&quot;e&quot;">
                  <c:v>2018</c:v>
                </c:pt>
                <c:pt idx="6" formatCode="0&quot;e&quot;">
                  <c:v>2019</c:v>
                </c:pt>
                <c:pt idx="7" formatCode="0&quot;e&quot;">
                  <c:v>2020</c:v>
                </c:pt>
                <c:pt idx="8" formatCode="0&quot;e&quot;">
                  <c:v>2021</c:v>
                </c:pt>
              </c:numCache>
            </c:numRef>
          </c:cat>
          <c:val>
            <c:numRef>
              <c:f>'New Segments'!$B$5:$J$5</c:f>
              <c:numCache>
                <c:formatCode>_(* #,##0_);_(* \(#,##0\);_(* "-"??_);_(@_)</c:formatCode>
                <c:ptCount val="9"/>
                <c:pt idx="0">
                  <c:v>13300</c:v>
                </c:pt>
                <c:pt idx="1">
                  <c:v>10325</c:v>
                </c:pt>
                <c:pt idx="2">
                  <c:v>8464</c:v>
                </c:pt>
                <c:pt idx="3">
                  <c:v>8945</c:v>
                </c:pt>
                <c:pt idx="4">
                  <c:v>6938.4306053268765</c:v>
                </c:pt>
                <c:pt idx="5">
                  <c:v>5687.8330889575482</c:v>
                </c:pt>
                <c:pt idx="6">
                  <c:v>4662.645933650042</c:v>
                </c:pt>
                <c:pt idx="7">
                  <c:v>3822.240695633313</c:v>
                </c:pt>
                <c:pt idx="8">
                  <c:v>3133.3118884106884</c:v>
                </c:pt>
              </c:numCache>
            </c:numRef>
          </c:val>
          <c:extLst>
            <c:ext xmlns:c16="http://schemas.microsoft.com/office/drawing/2014/chart" uri="{C3380CC4-5D6E-409C-BE32-E72D297353CC}">
              <c16:uniqueId val="{00000003-88B7-4D5D-A7DE-4DC4CE848681}"/>
            </c:ext>
          </c:extLst>
        </c:ser>
        <c:ser>
          <c:idx val="5"/>
          <c:order val="4"/>
          <c:tx>
            <c:strRef>
              <c:f>'New Segments'!$A$6</c:f>
              <c:strCache>
                <c:ptCount val="1"/>
                <c:pt idx="0">
                  <c:v>Global Financing</c:v>
                </c:pt>
              </c:strCache>
            </c:strRef>
          </c:tx>
          <c:spPr>
            <a:solidFill>
              <a:schemeClr val="accent4"/>
            </a:solidFill>
            <a:ln>
              <a:noFill/>
            </a:ln>
            <a:effectLst/>
          </c:spPr>
          <c:invertIfNegative val="0"/>
          <c:cat>
            <c:numRef>
              <c:f>'New Segments'!$B$1:$J$1</c:f>
              <c:numCache>
                <c:formatCode>General</c:formatCode>
                <c:ptCount val="9"/>
                <c:pt idx="0">
                  <c:v>2014</c:v>
                </c:pt>
                <c:pt idx="1">
                  <c:v>2015</c:v>
                </c:pt>
                <c:pt idx="2">
                  <c:v>2016</c:v>
                </c:pt>
                <c:pt idx="3">
                  <c:v>2017</c:v>
                </c:pt>
                <c:pt idx="4" formatCode="0&quot;e&quot;">
                  <c:v>2017</c:v>
                </c:pt>
                <c:pt idx="5" formatCode="0&quot;e&quot;">
                  <c:v>2018</c:v>
                </c:pt>
                <c:pt idx="6" formatCode="0&quot;e&quot;">
                  <c:v>2019</c:v>
                </c:pt>
                <c:pt idx="7" formatCode="0&quot;e&quot;">
                  <c:v>2020</c:v>
                </c:pt>
                <c:pt idx="8" formatCode="0&quot;e&quot;">
                  <c:v>2021</c:v>
                </c:pt>
              </c:numCache>
            </c:numRef>
          </c:cat>
          <c:val>
            <c:numRef>
              <c:f>'New Segments'!$B$6:$J$6</c:f>
              <c:numCache>
                <c:formatCode>_(* #,##0_);_(* \(#,##0\);_(* "-"??_);_(@_)</c:formatCode>
                <c:ptCount val="9"/>
                <c:pt idx="0">
                  <c:v>4522</c:v>
                </c:pt>
                <c:pt idx="1">
                  <c:v>4477</c:v>
                </c:pt>
                <c:pt idx="2">
                  <c:v>3494</c:v>
                </c:pt>
                <c:pt idx="3">
                  <c:v>3168</c:v>
                </c:pt>
                <c:pt idx="4">
                  <c:v>2726.8340406522225</c:v>
                </c:pt>
                <c:pt idx="5">
                  <c:v>2128.1121594904766</c:v>
                </c:pt>
                <c:pt idx="6">
                  <c:v>1660.8496504935727</c:v>
                </c:pt>
                <c:pt idx="7">
                  <c:v>1296.1824165344076</c:v>
                </c:pt>
                <c:pt idx="8">
                  <c:v>1011.5839542933259</c:v>
                </c:pt>
              </c:numCache>
            </c:numRef>
          </c:val>
          <c:extLst>
            <c:ext xmlns:c16="http://schemas.microsoft.com/office/drawing/2014/chart" uri="{C3380CC4-5D6E-409C-BE32-E72D297353CC}">
              <c16:uniqueId val="{00000004-88B7-4D5D-A7DE-4DC4CE848681}"/>
            </c:ext>
          </c:extLst>
        </c:ser>
        <c:dLbls>
          <c:showLegendKey val="0"/>
          <c:showVal val="0"/>
          <c:showCatName val="0"/>
          <c:showSerName val="0"/>
          <c:showPercent val="0"/>
          <c:showBubbleSize val="0"/>
        </c:dLbls>
        <c:gapWidth val="150"/>
        <c:overlap val="100"/>
        <c:axId val="571159016"/>
        <c:axId val="571163280"/>
      </c:barChart>
      <c:lineChart>
        <c:grouping val="standard"/>
        <c:varyColors val="0"/>
        <c:ser>
          <c:idx val="0"/>
          <c:order val="5"/>
          <c:tx>
            <c:v>YoY Change (RHS)</c:v>
          </c:tx>
          <c:spPr>
            <a:ln w="22225" cap="rnd">
              <a:solidFill>
                <a:schemeClr val="tx1"/>
              </a:solidFill>
              <a:round/>
            </a:ln>
            <a:effectLst/>
          </c:spPr>
          <c:marker>
            <c:symbol val="none"/>
          </c:marker>
          <c:cat>
            <c:numRef>
              <c:f>'New Segments'!$B$1:$J$1</c:f>
              <c:numCache>
                <c:formatCode>General</c:formatCode>
                <c:ptCount val="9"/>
                <c:pt idx="0">
                  <c:v>2014</c:v>
                </c:pt>
                <c:pt idx="1">
                  <c:v>2015</c:v>
                </c:pt>
                <c:pt idx="2">
                  <c:v>2016</c:v>
                </c:pt>
                <c:pt idx="3">
                  <c:v>2017</c:v>
                </c:pt>
                <c:pt idx="4" formatCode="0&quot;e&quot;">
                  <c:v>2017</c:v>
                </c:pt>
                <c:pt idx="5" formatCode="0&quot;e&quot;">
                  <c:v>2018</c:v>
                </c:pt>
                <c:pt idx="6" formatCode="0&quot;e&quot;">
                  <c:v>2019</c:v>
                </c:pt>
                <c:pt idx="7" formatCode="0&quot;e&quot;">
                  <c:v>2020</c:v>
                </c:pt>
                <c:pt idx="8" formatCode="0&quot;e&quot;">
                  <c:v>2021</c:v>
                </c:pt>
              </c:numCache>
            </c:numRef>
          </c:cat>
          <c:val>
            <c:numRef>
              <c:f>'New Segments'!$B$9:$J$9</c:f>
              <c:numCache>
                <c:formatCode>0%</c:formatCode>
                <c:ptCount val="9"/>
                <c:pt idx="1">
                  <c:v>-0.11205683736634775</c:v>
                </c:pt>
                <c:pt idx="2">
                  <c:v>-2.7444234447324023E-2</c:v>
                </c:pt>
                <c:pt idx="3">
                  <c:v>-1.2544218953639885E-2</c:v>
                </c:pt>
                <c:pt idx="4">
                  <c:v>-2.1249426855438958E-2</c:v>
                </c:pt>
                <c:pt idx="5">
                  <c:v>-1.5865795212207212E-2</c:v>
                </c:pt>
                <c:pt idx="6">
                  <c:v>-1.1220454282752979E-2</c:v>
                </c:pt>
                <c:pt idx="7">
                  <c:v>-7.2318069467878221E-3</c:v>
                </c:pt>
                <c:pt idx="8">
                  <c:v>-3.816545413748651E-3</c:v>
                </c:pt>
              </c:numCache>
            </c:numRef>
          </c:val>
          <c:smooth val="0"/>
          <c:extLst>
            <c:ext xmlns:c16="http://schemas.microsoft.com/office/drawing/2014/chart" uri="{C3380CC4-5D6E-409C-BE32-E72D297353CC}">
              <c16:uniqueId val="{00000005-88B7-4D5D-A7DE-4DC4CE848681}"/>
            </c:ext>
          </c:extLst>
        </c:ser>
        <c:dLbls>
          <c:showLegendKey val="0"/>
          <c:showVal val="0"/>
          <c:showCatName val="0"/>
          <c:showSerName val="0"/>
          <c:showPercent val="0"/>
          <c:showBubbleSize val="0"/>
        </c:dLbls>
        <c:marker val="1"/>
        <c:smooth val="0"/>
        <c:axId val="708919584"/>
        <c:axId val="708924504"/>
      </c:lineChart>
      <c:catAx>
        <c:axId val="571159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571163280"/>
        <c:crosses val="autoZero"/>
        <c:auto val="1"/>
        <c:lblAlgn val="ctr"/>
        <c:lblOffset val="100"/>
        <c:noMultiLvlLbl val="0"/>
      </c:catAx>
      <c:valAx>
        <c:axId val="5711632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571159016"/>
        <c:crosses val="autoZero"/>
        <c:crossBetween val="between"/>
      </c:valAx>
      <c:valAx>
        <c:axId val="708924504"/>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708919584"/>
        <c:crosses val="max"/>
        <c:crossBetween val="between"/>
      </c:valAx>
      <c:catAx>
        <c:axId val="708919584"/>
        <c:scaling>
          <c:orientation val="minMax"/>
        </c:scaling>
        <c:delete val="1"/>
        <c:axPos val="b"/>
        <c:numFmt formatCode="General" sourceLinked="1"/>
        <c:majorTickMark val="out"/>
        <c:minorTickMark val="none"/>
        <c:tickLblPos val="nextTo"/>
        <c:crossAx val="708924504"/>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'New Segments'!$H$25</c:f>
              <c:strCache>
                <c:ptCount val="1"/>
                <c:pt idx="0">
                  <c:v>Cognitive Solutions</c:v>
                </c:pt>
              </c:strCache>
            </c:strRef>
          </c:tx>
          <c:spPr>
            <a:solidFill>
              <a:srgbClr val="00B050"/>
            </a:solidFill>
            <a:ln>
              <a:noFill/>
            </a:ln>
            <a:effectLst/>
          </c:spPr>
          <c:invertIfNegative val="0"/>
          <c:dLbls>
            <c:dLbl>
              <c:idx val="0"/>
              <c:layout>
                <c:manualLayout>
                  <c:x val="0.29340761374187557"/>
                  <c:y val="4.6296296296296511E-3"/>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C7D-4CE5-B2B0-609853A4C57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rial Narrow" panose="020B0606020202030204" pitchFamily="34" charset="0"/>
                    <a:ea typeface="+mn-ea"/>
                    <a:cs typeface="+mn-cs"/>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'New Segments'!$I$24</c:f>
              <c:strCache>
                <c:ptCount val="1"/>
                <c:pt idx="0">
                  <c:v>2016 Revenue Change Attribution</c:v>
                </c:pt>
              </c:strCache>
            </c:strRef>
          </c:cat>
          <c:val>
            <c:numRef>
              <c:f>'New Segments'!$I$25</c:f>
              <c:numCache>
                <c:formatCode>0.0%</c:formatCode>
                <c:ptCount val="1"/>
                <c:pt idx="0">
                  <c:v>9.2039724958560797E-3</c:v>
                </c:pt>
              </c:numCache>
            </c:numRef>
          </c:val>
          <c:extLst>
            <c:ext xmlns:c16="http://schemas.microsoft.com/office/drawing/2014/chart" uri="{C3380CC4-5D6E-409C-BE32-E72D297353CC}">
              <c16:uniqueId val="{00000001-1C7D-4CE5-B2B0-609853A4C57A}"/>
            </c:ext>
          </c:extLst>
        </c:ser>
        <c:ser>
          <c:idx val="1"/>
          <c:order val="1"/>
          <c:tx>
            <c:strRef>
              <c:f>'New Segments'!$H$26</c:f>
              <c:strCache>
                <c:ptCount val="1"/>
                <c:pt idx="0">
                  <c:v>Tech Services &amp; Cloud Platforms</c:v>
                </c:pt>
              </c:strCache>
            </c:strRef>
          </c:tx>
          <c:spPr>
            <a:solidFill>
              <a:srgbClr val="00B050">
                <a:alpha val="70000"/>
              </a:srgbClr>
            </a:solidFill>
            <a:ln>
              <a:noFill/>
            </a:ln>
            <a:effectLst/>
          </c:spPr>
          <c:invertIfNegative val="0"/>
          <c:dLbls>
            <c:dLbl>
              <c:idx val="0"/>
              <c:layout>
                <c:manualLayout>
                  <c:x val="0.28783658310120708"/>
                  <c:y val="-1.3888888888888883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C7D-4CE5-B2B0-609853A4C57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rial Narrow" panose="020B0606020202030204" pitchFamily="34" charset="0"/>
                    <a:ea typeface="+mn-ea"/>
                    <a:cs typeface="+mn-cs"/>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'New Segments'!$I$24</c:f>
              <c:strCache>
                <c:ptCount val="1"/>
                <c:pt idx="0">
                  <c:v>2016 Revenue Change Attribution</c:v>
                </c:pt>
              </c:strCache>
            </c:strRef>
          </c:cat>
          <c:val>
            <c:numRef>
              <c:f>'New Segments'!$I$26</c:f>
              <c:numCache>
                <c:formatCode>0.0%</c:formatCode>
                <c:ptCount val="1"/>
                <c:pt idx="0">
                  <c:v>2.4815446129345746E-3</c:v>
                </c:pt>
              </c:numCache>
            </c:numRef>
          </c:val>
          <c:extLst>
            <c:ext xmlns:c16="http://schemas.microsoft.com/office/drawing/2014/chart" uri="{C3380CC4-5D6E-409C-BE32-E72D297353CC}">
              <c16:uniqueId val="{00000003-1C7D-4CE5-B2B0-609853A4C57A}"/>
            </c:ext>
          </c:extLst>
        </c:ser>
        <c:ser>
          <c:idx val="2"/>
          <c:order val="2"/>
          <c:tx>
            <c:strRef>
              <c:f>'New Segments'!$H$27</c:f>
              <c:strCache>
                <c:ptCount val="1"/>
                <c:pt idx="0">
                  <c:v>Global Business Services</c:v>
                </c:pt>
              </c:strCache>
            </c:strRef>
          </c:tx>
          <c:spPr>
            <a:solidFill>
              <a:srgbClr val="FF0000">
                <a:alpha val="40000"/>
              </a:srgbClr>
            </a:solidFill>
            <a:ln>
              <a:noFill/>
            </a:ln>
            <a:effectLst/>
          </c:spPr>
          <c:invertIfNegative val="0"/>
          <c:dLbls>
            <c:dLbl>
              <c:idx val="0"/>
              <c:layout>
                <c:manualLayout>
                  <c:x val="0.29340761374187557"/>
                  <c:y val="-1.3888524351122776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C7D-4CE5-B2B0-609853A4C57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rial Narrow" panose="020B0606020202030204" pitchFamily="34" charset="0"/>
                    <a:ea typeface="+mn-ea"/>
                    <a:cs typeface="+mn-cs"/>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'New Segments'!$I$24</c:f>
              <c:strCache>
                <c:ptCount val="1"/>
                <c:pt idx="0">
                  <c:v>2016 Revenue Change Attribution</c:v>
                </c:pt>
              </c:strCache>
            </c:strRef>
          </c:cat>
          <c:val>
            <c:numRef>
              <c:f>'New Segments'!$I$27</c:f>
              <c:numCache>
                <c:formatCode>0.0%</c:formatCode>
                <c:ptCount val="1"/>
                <c:pt idx="0">
                  <c:v>-6.2553759831634036E-3</c:v>
                </c:pt>
              </c:numCache>
            </c:numRef>
          </c:val>
          <c:extLst>
            <c:ext xmlns:c16="http://schemas.microsoft.com/office/drawing/2014/chart" uri="{C3380CC4-5D6E-409C-BE32-E72D297353CC}">
              <c16:uniqueId val="{00000005-1C7D-4CE5-B2B0-609853A4C57A}"/>
            </c:ext>
          </c:extLst>
        </c:ser>
        <c:ser>
          <c:idx val="3"/>
          <c:order val="3"/>
          <c:tx>
            <c:strRef>
              <c:f>'New Segments'!$H$28</c:f>
              <c:strCache>
                <c:ptCount val="1"/>
                <c:pt idx="0">
                  <c:v>Global Financing</c:v>
                </c:pt>
              </c:strCache>
            </c:strRef>
          </c:tx>
          <c:spPr>
            <a:solidFill>
              <a:srgbClr val="FF0000">
                <a:alpha val="70000"/>
              </a:srgbClr>
            </a:solidFill>
            <a:ln>
              <a:noFill/>
            </a:ln>
            <a:effectLst/>
          </c:spPr>
          <c:invertIfNegative val="0"/>
          <c:dLbls>
            <c:dLbl>
              <c:idx val="0"/>
              <c:layout>
                <c:manualLayout>
                  <c:x val="0.2971216341689879"/>
                  <c:y val="-9.2581656459609224E-3"/>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C7D-4CE5-B2B0-609853A4C57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rial Narrow" panose="020B0606020202030204" pitchFamily="34" charset="0"/>
                    <a:ea typeface="+mn-ea"/>
                    <a:cs typeface="+mn-cs"/>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'New Segments'!$I$24</c:f>
              <c:strCache>
                <c:ptCount val="1"/>
                <c:pt idx="0">
                  <c:v>2016 Revenue Change Attribution</c:v>
                </c:pt>
              </c:strCache>
            </c:strRef>
          </c:cat>
          <c:val>
            <c:numRef>
              <c:f>'New Segments'!$I$28</c:f>
              <c:numCache>
                <c:formatCode>0.0%</c:formatCode>
                <c:ptCount val="1"/>
                <c:pt idx="0">
                  <c:v>-8.9271778922428054E-3</c:v>
                </c:pt>
              </c:numCache>
            </c:numRef>
          </c:val>
          <c:extLst>
            <c:ext xmlns:c16="http://schemas.microsoft.com/office/drawing/2014/chart" uri="{C3380CC4-5D6E-409C-BE32-E72D297353CC}">
              <c16:uniqueId val="{00000007-1C7D-4CE5-B2B0-609853A4C57A}"/>
            </c:ext>
          </c:extLst>
        </c:ser>
        <c:ser>
          <c:idx val="4"/>
          <c:order val="4"/>
          <c:tx>
            <c:strRef>
              <c:f>'New Segments'!$H$29</c:f>
              <c:strCache>
                <c:ptCount val="1"/>
                <c:pt idx="0">
                  <c:v>Systems</c:v>
                </c:pt>
              </c:strCache>
            </c:strRef>
          </c:tx>
          <c:spPr>
            <a:solidFill>
              <a:srgbClr val="FF0000"/>
            </a:solidFill>
            <a:ln>
              <a:noFill/>
            </a:ln>
            <a:effectLst/>
          </c:spPr>
          <c:invertIfNegative val="0"/>
          <c:dLbls>
            <c:dLbl>
              <c:idx val="0"/>
              <c:layout>
                <c:manualLayout>
                  <c:x val="0.29526462395543174"/>
                  <c:y val="4.6325459317585298E-3"/>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1C7D-4CE5-B2B0-609853A4C57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rial Narrow" panose="020B060602020203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'New Segments'!$I$24</c:f>
              <c:strCache>
                <c:ptCount val="1"/>
                <c:pt idx="0">
                  <c:v>2016 Revenue Change Attribution</c:v>
                </c:pt>
              </c:strCache>
            </c:strRef>
          </c:cat>
          <c:val>
            <c:numRef>
              <c:f>'New Segments'!$I$29</c:f>
              <c:numCache>
                <c:formatCode>0.0%</c:formatCode>
                <c:ptCount val="1"/>
                <c:pt idx="0">
                  <c:v>-1.7752390088823351E-2</c:v>
                </c:pt>
              </c:numCache>
            </c:numRef>
          </c:val>
          <c:extLst>
            <c:ext xmlns:c16="http://schemas.microsoft.com/office/drawing/2014/chart" uri="{C3380CC4-5D6E-409C-BE32-E72D297353CC}">
              <c16:uniqueId val="{00000009-1C7D-4CE5-B2B0-609853A4C57A}"/>
            </c:ext>
          </c:extLst>
        </c:ser>
        <c:dLbls>
          <c:showLegendKey val="0"/>
          <c:showVal val="0"/>
          <c:showCatName val="0"/>
          <c:showSerName val="0"/>
          <c:showPercent val="0"/>
          <c:showBubbleSize val="0"/>
        </c:dLbls>
        <c:gapWidth val="150"/>
        <c:overlap val="100"/>
        <c:axId val="792138464"/>
        <c:axId val="792140432"/>
      </c:barChart>
      <c:catAx>
        <c:axId val="792138464"/>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792140432"/>
        <c:crosses val="autoZero"/>
        <c:auto val="1"/>
        <c:lblAlgn val="ctr"/>
        <c:lblOffset val="100"/>
        <c:noMultiLvlLbl val="0"/>
      </c:catAx>
      <c:valAx>
        <c:axId val="792140432"/>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792138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Data'!$B$2:$P$2</c:f>
              <c:numCache>
                <c:formatCode>_(* #,##0_);_(* \(#,##0\);_(* "-"??_);_(@_)</c:formatCode>
                <c:ptCount val="15"/>
                <c:pt idx="0">
                  <c:v>103630</c:v>
                </c:pt>
                <c:pt idx="1">
                  <c:v>95758</c:v>
                </c:pt>
                <c:pt idx="2">
                  <c:v>99870</c:v>
                </c:pt>
                <c:pt idx="3">
                  <c:v>106916</c:v>
                </c:pt>
                <c:pt idx="4">
                  <c:v>104507</c:v>
                </c:pt>
                <c:pt idx="5">
                  <c:v>98367</c:v>
                </c:pt>
                <c:pt idx="6">
                  <c:v>92793</c:v>
                </c:pt>
                <c:pt idx="7">
                  <c:v>81741</c:v>
                </c:pt>
                <c:pt idx="8">
                  <c:v>79919</c:v>
                </c:pt>
                <c:pt idx="9">
                  <c:v>79139</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Data'!$B$3:$P$3</c:f>
              <c:numCache>
                <c:formatCode>General</c:formatCode>
                <c:ptCount val="15"/>
                <c:pt idx="10" formatCode="_(* #,##0_);_(* \(#,##0\);_(* &quot;-&quot;??_);_(@_)">
                  <c:v>79255.100000000006</c:v>
                </c:pt>
                <c:pt idx="11" formatCode="_(* #,##0_);_(* \(#,##0\);_(* &quot;-&quot;??_);_(@_)">
                  <c:v>80323.19</c:v>
                </c:pt>
                <c:pt idx="12" formatCode="_(* #,##0_);_(* \(#,##0\);_(* &quot;-&quot;??_);_(@_)">
                  <c:v>82363.703000000023</c:v>
                </c:pt>
                <c:pt idx="13" formatCode="_(* #,##0_);_(* \(#,##0\);_(* &quot;-&quot;??_);_(@_)">
                  <c:v>85408.904540000032</c:v>
                </c:pt>
                <c:pt idx="14" formatCode="_(* #,##0_);_(* \(#,##0\);_(* &quot;-&quot;??_);_(@_)">
                  <c:v>89503.374546800056</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Data'!$B$4:$P$4</c:f>
              <c:numCache>
                <c:formatCode>General</c:formatCode>
                <c:ptCount val="15"/>
                <c:pt idx="10" formatCode="_(* #,##0_);_(* \(#,##0\);_(* &quot;-&quot;??_);_(@_)">
                  <c:v>77430.100000000006</c:v>
                </c:pt>
                <c:pt idx="11" formatCode="_(* #,##0_);_(* \(#,##0\);_(* &quot;-&quot;??_);_(@_)">
                  <c:v>75545.34</c:v>
                </c:pt>
                <c:pt idx="12" formatCode="_(* #,##0_);_(* \(#,##0\);_(* &quot;-&quot;??_);_(@_)">
                  <c:v>74141.968500000003</c:v>
                </c:pt>
                <c:pt idx="13" formatCode="_(* #,##0_);_(* \(#,##0\);_(* &quot;-&quot;??_);_(@_)">
                  <c:v>73186.492274999997</c:v>
                </c:pt>
                <c:pt idx="14" formatCode="_(* #,##0_);_(* \(#,##0\);_(* &quot;-&quot;??_);_(@_)">
                  <c:v>72649.499703750014</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Data'!$B$5:$P$5</c:f>
              <c:numCache>
                <c:formatCode>0%</c:formatCode>
                <c:ptCount val="15"/>
                <c:pt idx="1">
                  <c:v>-7.5962559104506444E-2</c:v>
                </c:pt>
                <c:pt idx="2">
                  <c:v>4.2941581904383908E-2</c:v>
                </c:pt>
                <c:pt idx="3">
                  <c:v>7.0551717232402167E-2</c:v>
                </c:pt>
                <c:pt idx="4">
                  <c:v>-2.2531707134572976E-2</c:v>
                </c:pt>
                <c:pt idx="5">
                  <c:v>-5.8752045317538526E-2</c:v>
                </c:pt>
                <c:pt idx="6">
                  <c:v>-5.6665345085242014E-2</c:v>
                </c:pt>
                <c:pt idx="7">
                  <c:v>-0.119103811709935</c:v>
                </c:pt>
                <c:pt idx="8">
                  <c:v>-2.2289915709374775E-2</c:v>
                </c:pt>
                <c:pt idx="9">
                  <c:v>-9.7598818804038867E-3</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Data'!$B$6:$P$6</c:f>
              <c:numCache>
                <c:formatCode>General</c:formatCode>
                <c:ptCount val="15"/>
                <c:pt idx="9" formatCode="0%">
                  <c:v>-9.7598818804038867E-3</c:v>
                </c:pt>
                <c:pt idx="10" formatCode="0%">
                  <c:v>1.467039007316373E-3</c:v>
                </c:pt>
                <c:pt idx="11" formatCode="0%">
                  <c:v>1.3476609076261248E-2</c:v>
                </c:pt>
                <c:pt idx="12" formatCode="0%">
                  <c:v>2.5403784386551553E-2</c:v>
                </c:pt>
                <c:pt idx="13" formatCode="0%">
                  <c:v>3.6972615716415858E-2</c:v>
                </c:pt>
                <c:pt idx="14" formatCode="0%">
                  <c:v>4.7939615065340613E-2</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Data'!$B$7:$P$7</c:f>
              <c:numCache>
                <c:formatCode>General</c:formatCode>
                <c:ptCount val="15"/>
                <c:pt idx="9" formatCode="0%">
                  <c:v>-9.7598818804038867E-3</c:v>
                </c:pt>
                <c:pt idx="10" formatCode="0%">
                  <c:v>-2.1593651676164671E-2</c:v>
                </c:pt>
                <c:pt idx="11" formatCode="0%">
                  <c:v>-2.4341438277879157E-2</c:v>
                </c:pt>
                <c:pt idx="12" formatCode="0%">
                  <c:v>-1.8576546217145773E-2</c:v>
                </c:pt>
                <c:pt idx="13" formatCode="0%">
                  <c:v>-1.2887117031428752E-2</c:v>
                </c:pt>
                <c:pt idx="14" formatCode="0%">
                  <c:v>-7.337318056345965E-3</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Data'!$B$10:$P$10</c:f>
              <c:numCache>
                <c:formatCode>_(* #,##0_);_(* \(#,##0\);_(* "-"??_);_(@_)</c:formatCode>
                <c:ptCount val="15"/>
                <c:pt idx="0">
                  <c:v>14692.7</c:v>
                </c:pt>
                <c:pt idx="1">
                  <c:v>16864.171999999999</c:v>
                </c:pt>
                <c:pt idx="2">
                  <c:v>15822.517</c:v>
                </c:pt>
                <c:pt idx="3">
                  <c:v>16134.974</c:v>
                </c:pt>
                <c:pt idx="4">
                  <c:v>16136.335999999999</c:v>
                </c:pt>
                <c:pt idx="5">
                  <c:v>14118.076000000001</c:v>
                </c:pt>
                <c:pt idx="6">
                  <c:v>13716.71</c:v>
                </c:pt>
                <c:pt idx="7">
                  <c:v>14348.662</c:v>
                </c:pt>
                <c:pt idx="8">
                  <c:v>14079.445</c:v>
                </c:pt>
                <c:pt idx="9">
                  <c:v>13627.475</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Data'!$B$11:$P$11</c:f>
              <c:numCache>
                <c:formatCode>General</c:formatCode>
                <c:ptCount val="15"/>
                <c:pt idx="10" formatCode="_(* #,##0_);_(* \(#,##0\);_(* &quot;-&quot;??_);_(@_)">
                  <c:v>13473.367000000002</c:v>
                </c:pt>
                <c:pt idx="11" formatCode="_(* #,##0_);_(* \(#,##0\);_(* &quot;-&quot;??_);_(@_)">
                  <c:v>13654.942300000001</c:v>
                </c:pt>
                <c:pt idx="12" formatCode="_(* #,##0_);_(* \(#,##0\);_(* &quot;-&quot;??_);_(@_)">
                  <c:v>14001.829510000005</c:v>
                </c:pt>
                <c:pt idx="13" formatCode="_(* #,##0_);_(* \(#,##0\);_(* &quot;-&quot;??_);_(@_)">
                  <c:v>14519.513771800006</c:v>
                </c:pt>
                <c:pt idx="14" formatCode="_(* #,##0_);_(* \(#,##0\);_(* &quot;-&quot;??_);_(@_)">
                  <c:v>15215.57367295601</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Data'!$B$12:$P$12</c:f>
              <c:numCache>
                <c:formatCode>General</c:formatCode>
                <c:ptCount val="15"/>
                <c:pt idx="10" formatCode="_(* #,##0_);_(* \(#,##0\);_(* &quot;-&quot;??_);_(@_)">
                  <c:v>11614.515000000001</c:v>
                </c:pt>
                <c:pt idx="11" formatCode="_(* #,##0_);_(* \(#,##0\);_(* &quot;-&quot;??_);_(@_)">
                  <c:v>11331.800999999999</c:v>
                </c:pt>
                <c:pt idx="12" formatCode="_(* #,##0_);_(* \(#,##0\);_(* &quot;-&quot;??_);_(@_)">
                  <c:v>11121.295275</c:v>
                </c:pt>
                <c:pt idx="13" formatCode="_(* #,##0_);_(* \(#,##0\);_(* &quot;-&quot;??_);_(@_)">
                  <c:v>10977.973841249999</c:v>
                </c:pt>
                <c:pt idx="14" formatCode="_(* #,##0_);_(* \(#,##0\);_(* &quot;-&quot;??_);_(@_)">
                  <c:v>10897.424955562501</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Data'!$B$13:$P$13</c:f>
              <c:numCache>
                <c:formatCode>0%</c:formatCode>
                <c:ptCount val="15"/>
                <c:pt idx="0">
                  <c:v>0.14178037247901187</c:v>
                </c:pt>
                <c:pt idx="1">
                  <c:v>0.17611240836274775</c:v>
                </c:pt>
                <c:pt idx="2">
                  <c:v>0.15843113046961049</c:v>
                </c:pt>
                <c:pt idx="3">
                  <c:v>0.1509126229937521</c:v>
                </c:pt>
                <c:pt idx="4">
                  <c:v>0.15440435568909258</c:v>
                </c:pt>
                <c:pt idx="5">
                  <c:v>0.14352451533542754</c:v>
                </c:pt>
                <c:pt idx="6">
                  <c:v>0.14782052525513778</c:v>
                </c:pt>
                <c:pt idx="7">
                  <c:v>0.17553812652157424</c:v>
                </c:pt>
                <c:pt idx="8">
                  <c:v>0.17617143607903002</c:v>
                </c:pt>
                <c:pt idx="9">
                  <c:v>0.17219670453253139</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Data'!$B$14:$P$14</c:f>
              <c:numCache>
                <c:formatCode>General</c:formatCode>
                <c:ptCount val="15"/>
                <c:pt idx="9" formatCode="0%">
                  <c:v>0.17219670453253139</c:v>
                </c:pt>
                <c:pt idx="10" formatCode="0%">
                  <c:v>0.17</c:v>
                </c:pt>
                <c:pt idx="11" formatCode="0%">
                  <c:v>0.17</c:v>
                </c:pt>
                <c:pt idx="12" formatCode="0%">
                  <c:v>0.17</c:v>
                </c:pt>
                <c:pt idx="13" formatCode="0%">
                  <c:v>0.17</c:v>
                </c:pt>
                <c:pt idx="14" formatCode="0%">
                  <c:v>0.17</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Data'!$B$15:$P$15</c:f>
              <c:numCache>
                <c:formatCode>General</c:formatCode>
                <c:ptCount val="15"/>
                <c:pt idx="9" formatCode="0%">
                  <c:v>0.17219670453253139</c:v>
                </c:pt>
                <c:pt idx="10" formatCode="0%">
                  <c:v>0.15</c:v>
                </c:pt>
                <c:pt idx="11" formatCode="0%">
                  <c:v>0.15</c:v>
                </c:pt>
                <c:pt idx="12" formatCode="0%">
                  <c:v>0.15</c:v>
                </c:pt>
                <c:pt idx="13" formatCode="0%">
                  <c:v>0.15</c:v>
                </c:pt>
                <c:pt idx="14" formatCode="0%">
                  <c:v>0.15</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Data'!$B$18:$K$18</c:f>
              <c:numCache>
                <c:formatCode>_(* #,##0_);_(* \(#,##0\);_(* "-"??_);_(@_)</c:formatCode>
                <c:ptCount val="10"/>
                <c:pt idx="0">
                  <c:v>14692.7</c:v>
                </c:pt>
                <c:pt idx="1">
                  <c:v>16864.171999999999</c:v>
                </c:pt>
                <c:pt idx="2">
                  <c:v>15822.517</c:v>
                </c:pt>
                <c:pt idx="3">
                  <c:v>16134.974</c:v>
                </c:pt>
                <c:pt idx="4">
                  <c:v>16136.335999999999</c:v>
                </c:pt>
                <c:pt idx="5">
                  <c:v>14118.076000000001</c:v>
                </c:pt>
                <c:pt idx="6">
                  <c:v>13716.71</c:v>
                </c:pt>
                <c:pt idx="7">
                  <c:v>14348.662</c:v>
                </c:pt>
                <c:pt idx="8">
                  <c:v>14079.445</c:v>
                </c:pt>
                <c:pt idx="9">
                  <c:v>13627.475</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Data'!$B$19:$K$19</c:f>
              <c:numCache>
                <c:formatCode>_(* #,##0_);_(* \(#,##0\);_(* "-"??_);_(@_)</c:formatCode>
                <c:ptCount val="10"/>
                <c:pt idx="0">
                  <c:v>7383.828983498749</c:v>
                </c:pt>
                <c:pt idx="1">
                  <c:v>1349.8987808634051</c:v>
                </c:pt>
                <c:pt idx="2">
                  <c:v>7229.7331935599359</c:v>
                </c:pt>
                <c:pt idx="3">
                  <c:v>3901.4263762674736</c:v>
                </c:pt>
                <c:pt idx="4">
                  <c:v>5648.1656664902393</c:v>
                </c:pt>
                <c:pt idx="5">
                  <c:v>4159.1784567434106</c:v>
                </c:pt>
                <c:pt idx="6">
                  <c:v>1983.2385373626382</c:v>
                </c:pt>
                <c:pt idx="7">
                  <c:v>5821.0639346000007</c:v>
                </c:pt>
                <c:pt idx="8">
                  <c:v>8064.0182185699996</c:v>
                </c:pt>
                <c:pt idx="9">
                  <c:v>3311.5481963400002</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2"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22"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22"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22"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22"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22"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16</xdr:col>
      <xdr:colOff>228600</xdr:colOff>
      <xdr:row>11</xdr:row>
      <xdr:rowOff>80962</xdr:rowOff>
    </xdr:from>
    <xdr:to>
      <xdr:col>23</xdr:col>
      <xdr:colOff>533400</xdr:colOff>
      <xdr:row>25</xdr:row>
      <xdr:rowOff>157162</xdr:rowOff>
    </xdr:to>
    <xdr:graphicFrame macro="">
      <xdr:nvGraphicFramePr>
        <xdr:cNvPr id="2" name="Chart 1">
          <a:extLst>
            <a:ext uri="{FF2B5EF4-FFF2-40B4-BE49-F238E27FC236}">
              <a16:creationId xmlns:a16="http://schemas.microsoft.com/office/drawing/2014/main" id="{57A1B363-59E8-4D0D-A115-94F5C28F27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66189" cy="62927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19</xdr:col>
      <xdr:colOff>576262</xdr:colOff>
      <xdr:row>1</xdr:row>
      <xdr:rowOff>52387</xdr:rowOff>
    </xdr:from>
    <xdr:to>
      <xdr:col>31</xdr:col>
      <xdr:colOff>119062</xdr:colOff>
      <xdr:row>15</xdr:row>
      <xdr:rowOff>128587</xdr:rowOff>
    </xdr:to>
    <xdr:graphicFrame macro="">
      <xdr:nvGraphicFramePr>
        <xdr:cNvPr id="2" name="Chart 1">
          <a:extLst>
            <a:ext uri="{FF2B5EF4-FFF2-40B4-BE49-F238E27FC236}">
              <a16:creationId xmlns:a16="http://schemas.microsoft.com/office/drawing/2014/main" id="{B3B86E5D-4CC9-4E71-B330-E87967B199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352424</xdr:colOff>
      <xdr:row>27</xdr:row>
      <xdr:rowOff>152400</xdr:rowOff>
    </xdr:from>
    <xdr:to>
      <xdr:col>10</xdr:col>
      <xdr:colOff>666749</xdr:colOff>
      <xdr:row>42</xdr:row>
      <xdr:rowOff>38100</xdr:rowOff>
    </xdr:to>
    <xdr:graphicFrame macro="">
      <xdr:nvGraphicFramePr>
        <xdr:cNvPr id="3" name="Chart 2">
          <a:extLst>
            <a:ext uri="{FF2B5EF4-FFF2-40B4-BE49-F238E27FC236}">
              <a16:creationId xmlns:a16="http://schemas.microsoft.com/office/drawing/2014/main" id="{6EC528BC-0A95-46FA-97A7-7D1BC26E13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200025</xdr:colOff>
      <xdr:row>27</xdr:row>
      <xdr:rowOff>152400</xdr:rowOff>
    </xdr:from>
    <xdr:to>
      <xdr:col>21</xdr:col>
      <xdr:colOff>485775</xdr:colOff>
      <xdr:row>42</xdr:row>
      <xdr:rowOff>38100</xdr:rowOff>
    </xdr:to>
    <xdr:graphicFrame macro="">
      <xdr:nvGraphicFramePr>
        <xdr:cNvPr id="4" name="Chart 3">
          <a:extLst>
            <a:ext uri="{FF2B5EF4-FFF2-40B4-BE49-F238E27FC236}">
              <a16:creationId xmlns:a16="http://schemas.microsoft.com/office/drawing/2014/main" id="{8E2C4D90-5DAF-4714-9E44-37B35CAE24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228600</xdr:colOff>
      <xdr:row>1</xdr:row>
      <xdr:rowOff>185737</xdr:rowOff>
    </xdr:from>
    <xdr:to>
      <xdr:col>22</xdr:col>
      <xdr:colOff>381000</xdr:colOff>
      <xdr:row>16</xdr:row>
      <xdr:rowOff>71437</xdr:rowOff>
    </xdr:to>
    <xdr:graphicFrame macro="">
      <xdr:nvGraphicFramePr>
        <xdr:cNvPr id="2" name="Chart 1">
          <a:extLst>
            <a:ext uri="{FF2B5EF4-FFF2-40B4-BE49-F238E27FC236}">
              <a16:creationId xmlns:a16="http://schemas.microsoft.com/office/drawing/2014/main" id="{8A4DA999-D912-4FFC-879C-ABB889D746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238125</xdr:colOff>
      <xdr:row>20</xdr:row>
      <xdr:rowOff>128587</xdr:rowOff>
    </xdr:from>
    <xdr:to>
      <xdr:col>22</xdr:col>
      <xdr:colOff>371475</xdr:colOff>
      <xdr:row>35</xdr:row>
      <xdr:rowOff>14287</xdr:rowOff>
    </xdr:to>
    <xdr:graphicFrame macro="">
      <xdr:nvGraphicFramePr>
        <xdr:cNvPr id="3" name="Chart 2">
          <a:extLst>
            <a:ext uri="{FF2B5EF4-FFF2-40B4-BE49-F238E27FC236}">
              <a16:creationId xmlns:a16="http://schemas.microsoft.com/office/drawing/2014/main" id="{F64EAB2C-2FCB-43FB-BB25-FC14181D82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8.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OI%20Valuation%20Model%20-%20IBM%20(IBM)%202018.03.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Erik/OneDrive/Documents/Business/Models/_Archives/Companies/IBM/IOI%20Valuation%20-%20IBM%20(IBM)%20-%202013.10.18-Erik-VAIO.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OI%20Valuation%20Model%20for%20IBM%202016.03.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CP Calculations"/>
      <sheetName val="Revenue Model"/>
      <sheetName val="Forecast Updates"/>
      <sheetName val="New Segments"/>
      <sheetName val="Old Segments"/>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sheetData sheetId="1"/>
      <sheetData sheetId="2"/>
      <sheetData sheetId="3">
        <row r="15">
          <cell r="A15" t="str">
            <v>OCP (D) %</v>
          </cell>
          <cell r="B15">
            <v>0.12015153969185918</v>
          </cell>
          <cell r="C15">
            <v>0.14178037247901187</v>
          </cell>
          <cell r="D15">
            <v>0.17611240836274775</v>
          </cell>
          <cell r="E15">
            <v>0.15843113046961049</v>
          </cell>
          <cell r="F15">
            <v>0.1509126229937521</v>
          </cell>
          <cell r="G15">
            <v>0.15440435568909258</v>
          </cell>
          <cell r="H15">
            <v>0.14352451533542754</v>
          </cell>
          <cell r="I15">
            <v>0.14782052525513778</v>
          </cell>
          <cell r="J15">
            <v>0.17553812652157424</v>
          </cell>
          <cell r="K15">
            <v>0.17617143607903002</v>
          </cell>
        </row>
        <row r="16">
          <cell r="A16" t="str">
            <v>OCP (D&amp;A) %</v>
          </cell>
          <cell r="B16">
            <v>0.10784883485514142</v>
          </cell>
          <cell r="C16">
            <v>0.12920245102769468</v>
          </cell>
          <cell r="D16">
            <v>0.16290248334342822</v>
          </cell>
          <cell r="E16">
            <v>0.14645249824772202</v>
          </cell>
          <cell r="F16">
            <v>0.13905580081559357</v>
          </cell>
          <cell r="G16">
            <v>0.14190923096060554</v>
          </cell>
          <cell r="H16">
            <v>0.12962542316020617</v>
          </cell>
          <cell r="I16">
            <v>0.13327531171532336</v>
          </cell>
          <cell r="J16">
            <v>0.16095784245360345</v>
          </cell>
          <cell r="K16">
            <v>0.15656208160762772</v>
          </cell>
        </row>
      </sheetData>
      <sheetData sheetId="4"/>
      <sheetData sheetId="5">
        <row r="1">
          <cell r="B1">
            <v>2005</v>
          </cell>
          <cell r="C1">
            <v>2006</v>
          </cell>
          <cell r="D1">
            <v>2007</v>
          </cell>
          <cell r="E1">
            <v>2008</v>
          </cell>
          <cell r="F1">
            <v>2009</v>
          </cell>
          <cell r="G1">
            <v>2010</v>
          </cell>
          <cell r="H1">
            <v>2011</v>
          </cell>
          <cell r="I1">
            <v>2012</v>
          </cell>
          <cell r="J1">
            <v>2013</v>
          </cell>
          <cell r="K1">
            <v>2014</v>
          </cell>
          <cell r="L1">
            <v>2015</v>
          </cell>
          <cell r="M1">
            <v>2016</v>
          </cell>
          <cell r="N1">
            <v>2017</v>
          </cell>
          <cell r="O1">
            <v>2018</v>
          </cell>
          <cell r="P1">
            <v>2019</v>
          </cell>
          <cell r="Q1">
            <v>2020</v>
          </cell>
          <cell r="R1">
            <v>2021</v>
          </cell>
          <cell r="S1">
            <v>2022</v>
          </cell>
        </row>
        <row r="2">
          <cell r="A2" t="str">
            <v>Revenues</v>
          </cell>
          <cell r="B2">
            <v>91134</v>
          </cell>
          <cell r="C2">
            <v>91424</v>
          </cell>
          <cell r="D2">
            <v>98786</v>
          </cell>
          <cell r="E2">
            <v>103630</v>
          </cell>
          <cell r="F2">
            <v>95758</v>
          </cell>
          <cell r="G2">
            <v>99870</v>
          </cell>
          <cell r="H2">
            <v>106916</v>
          </cell>
          <cell r="I2">
            <v>104507</v>
          </cell>
          <cell r="J2">
            <v>98367</v>
          </cell>
          <cell r="K2">
            <v>92793</v>
          </cell>
          <cell r="L2">
            <v>81741</v>
          </cell>
          <cell r="M2">
            <v>79919</v>
          </cell>
          <cell r="N2">
            <v>79139</v>
          </cell>
        </row>
        <row r="3">
          <cell r="A3" t="str">
            <v>Worst-Case (2016)</v>
          </cell>
          <cell r="L3">
            <v>81741</v>
          </cell>
          <cell r="M3">
            <v>79919</v>
          </cell>
          <cell r="N3">
            <v>70689.616800000003</v>
          </cell>
          <cell r="O3">
            <v>70689.616800000003</v>
          </cell>
          <cell r="P3">
            <v>72810.305304000009</v>
          </cell>
          <cell r="Q3">
            <v>74994.614463120015</v>
          </cell>
        </row>
        <row r="4">
          <cell r="A4" t="str">
            <v>Best-Case (2016)</v>
          </cell>
          <cell r="L4">
            <v>81741</v>
          </cell>
          <cell r="M4">
            <v>79919</v>
          </cell>
          <cell r="N4">
            <v>76877.410499999998</v>
          </cell>
          <cell r="O4">
            <v>80721.281025000004</v>
          </cell>
          <cell r="P4">
            <v>85564.557886500013</v>
          </cell>
          <cell r="Q4">
            <v>90698.431359690017</v>
          </cell>
        </row>
        <row r="5">
          <cell r="A5" t="str">
            <v>Worst-Case (2017)</v>
          </cell>
          <cell r="L5">
            <v>81741</v>
          </cell>
          <cell r="M5">
            <v>79919</v>
          </cell>
          <cell r="N5">
            <v>76782.179250000001</v>
          </cell>
          <cell r="O5">
            <v>75246.535665000003</v>
          </cell>
          <cell r="P5">
            <v>73741.604951700006</v>
          </cell>
          <cell r="Q5">
            <v>72266.772852666007</v>
          </cell>
          <cell r="R5">
            <v>70821.43739561268</v>
          </cell>
        </row>
        <row r="6">
          <cell r="A6" t="str">
            <v>Best-Case (2017)</v>
          </cell>
          <cell r="L6">
            <v>81741</v>
          </cell>
          <cell r="M6">
            <v>79919</v>
          </cell>
          <cell r="N6">
            <v>79319.607499999998</v>
          </cell>
          <cell r="O6">
            <v>78526.411424999998</v>
          </cell>
          <cell r="P6">
            <v>77645.309415617128</v>
          </cell>
          <cell r="Q6">
            <v>77083.793527599773</v>
          </cell>
          <cell r="R6">
            <v>76789.599728937668</v>
          </cell>
        </row>
        <row r="7">
          <cell r="A7" t="str">
            <v>Worst-Case (2018)</v>
          </cell>
          <cell r="L7">
            <v>81741</v>
          </cell>
          <cell r="M7">
            <v>79919</v>
          </cell>
          <cell r="N7">
            <v>79139</v>
          </cell>
          <cell r="O7">
            <v>77430.100000000006</v>
          </cell>
          <cell r="P7">
            <v>75545.34</v>
          </cell>
          <cell r="Q7">
            <v>74141.968500000003</v>
          </cell>
          <cell r="R7">
            <v>73186.492274999997</v>
          </cell>
          <cell r="S7">
            <v>72649.499703750014</v>
          </cell>
        </row>
        <row r="8">
          <cell r="A8" t="str">
            <v>Best-Case (2018)</v>
          </cell>
          <cell r="L8">
            <v>81741</v>
          </cell>
          <cell r="M8">
            <v>79919</v>
          </cell>
          <cell r="N8">
            <v>79139</v>
          </cell>
          <cell r="O8">
            <v>79255.100000000006</v>
          </cell>
          <cell r="P8">
            <v>80323.19</v>
          </cell>
          <cell r="Q8">
            <v>82363.703000000023</v>
          </cell>
          <cell r="R8">
            <v>85408.904540000032</v>
          </cell>
          <cell r="S8">
            <v>89503.374546800056</v>
          </cell>
        </row>
        <row r="11">
          <cell r="B11">
            <v>2005</v>
          </cell>
          <cell r="C11">
            <v>2006</v>
          </cell>
          <cell r="D11">
            <v>2007</v>
          </cell>
          <cell r="E11">
            <v>2008</v>
          </cell>
          <cell r="F11">
            <v>2009</v>
          </cell>
          <cell r="G11">
            <v>2010</v>
          </cell>
          <cell r="H11">
            <v>2011</v>
          </cell>
          <cell r="I11">
            <v>2012</v>
          </cell>
          <cell r="J11">
            <v>2013</v>
          </cell>
          <cell r="K11">
            <v>2014</v>
          </cell>
          <cell r="L11">
            <v>2015</v>
          </cell>
          <cell r="M11">
            <v>2016</v>
          </cell>
          <cell r="N11">
            <v>2017</v>
          </cell>
          <cell r="O11">
            <v>2018</v>
          </cell>
          <cell r="P11">
            <v>2019</v>
          </cell>
          <cell r="Q11">
            <v>2020</v>
          </cell>
          <cell r="R11">
            <v>2021</v>
          </cell>
          <cell r="S11">
            <v>2022</v>
          </cell>
        </row>
        <row r="12">
          <cell r="A12" t="str">
            <v>OCP</v>
          </cell>
          <cell r="B12">
            <v>9508.7934999999998</v>
          </cell>
          <cell r="C12">
            <v>9897.3968999999997</v>
          </cell>
          <cell r="D12">
            <v>10675.731599999999</v>
          </cell>
          <cell r="E12">
            <v>13357.018700000001</v>
          </cell>
          <cell r="F12">
            <v>15643.0983</v>
          </cell>
          <cell r="G12">
            <v>14645.742700000001</v>
          </cell>
          <cell r="H12">
            <v>14888.3604</v>
          </cell>
          <cell r="I12">
            <v>14828.5908</v>
          </cell>
          <cell r="J12">
            <v>12736.7505</v>
          </cell>
          <cell r="K12">
            <v>12342.018</v>
          </cell>
          <cell r="L12">
            <v>13156.855</v>
          </cell>
          <cell r="M12">
            <v>12512.285</v>
          </cell>
          <cell r="N12">
            <v>13627.475</v>
          </cell>
        </row>
        <row r="13">
          <cell r="A13" t="str">
            <v>Worst-Case (2016)</v>
          </cell>
          <cell r="L13">
            <v>13156.855</v>
          </cell>
          <cell r="M13">
            <v>9776.2236000000012</v>
          </cell>
          <cell r="N13">
            <v>9189.6501840000001</v>
          </cell>
          <cell r="O13">
            <v>9189.6501840000001</v>
          </cell>
          <cell r="P13">
            <v>9465.3396895200021</v>
          </cell>
          <cell r="Q13">
            <v>9749.2998802056027</v>
          </cell>
        </row>
        <row r="14">
          <cell r="A14" t="str">
            <v>Best-Case (2016)</v>
          </cell>
          <cell r="L14">
            <v>13156.855</v>
          </cell>
          <cell r="M14">
            <v>12424.632</v>
          </cell>
          <cell r="N14">
            <v>12300.385679999999</v>
          </cell>
          <cell r="O14">
            <v>12915.404964000001</v>
          </cell>
          <cell r="P14">
            <v>13690.329261840003</v>
          </cell>
          <cell r="Q14">
            <v>14511.749017550403</v>
          </cell>
        </row>
        <row r="15">
          <cell r="A15" t="str">
            <v>Worst-Case (2017)</v>
          </cell>
          <cell r="M15">
            <v>12512.285</v>
          </cell>
          <cell r="N15">
            <v>11517.326887499999</v>
          </cell>
          <cell r="O15">
            <v>11286.98034975</v>
          </cell>
          <cell r="P15">
            <v>11061.240742755001</v>
          </cell>
          <cell r="Q15">
            <v>10840.0159278999</v>
          </cell>
          <cell r="R15">
            <v>10623.215609341902</v>
          </cell>
        </row>
        <row r="16">
          <cell r="A16" t="str">
            <v>Best-Case (2017)</v>
          </cell>
          <cell r="M16">
            <v>12512.285</v>
          </cell>
          <cell r="N16">
            <v>13484.333275000001</v>
          </cell>
          <cell r="O16">
            <v>13349.48994225</v>
          </cell>
          <cell r="P16">
            <v>13199.702600654913</v>
          </cell>
          <cell r="Q16">
            <v>13104.244899691963</v>
          </cell>
          <cell r="R16">
            <v>13054.231953919405</v>
          </cell>
        </row>
        <row r="17">
          <cell r="A17" t="str">
            <v>Worst-Case (2018)</v>
          </cell>
          <cell r="M17">
            <v>12512.285</v>
          </cell>
          <cell r="N17">
            <v>13627.475</v>
          </cell>
          <cell r="O17">
            <v>11614.515000000001</v>
          </cell>
          <cell r="P17">
            <v>11331.800999999999</v>
          </cell>
          <cell r="Q17">
            <v>11121.295275</v>
          </cell>
          <cell r="R17">
            <v>10977.973841249999</v>
          </cell>
          <cell r="S17">
            <v>10897.424955562501</v>
          </cell>
        </row>
        <row r="18">
          <cell r="A18" t="str">
            <v>Best-Case (2018)</v>
          </cell>
          <cell r="M18">
            <v>12512.285</v>
          </cell>
          <cell r="N18">
            <v>13627.475</v>
          </cell>
          <cell r="O18">
            <v>13473.367000000002</v>
          </cell>
          <cell r="P18">
            <v>13654.942300000001</v>
          </cell>
          <cell r="Q18">
            <v>14001.829510000005</v>
          </cell>
          <cell r="R18">
            <v>14519.513771800006</v>
          </cell>
          <cell r="S18">
            <v>15215.57367295601</v>
          </cell>
        </row>
        <row r="20">
          <cell r="B20">
            <v>2005</v>
          </cell>
          <cell r="C20">
            <v>2006</v>
          </cell>
          <cell r="D20">
            <v>2007</v>
          </cell>
          <cell r="E20">
            <v>2008</v>
          </cell>
          <cell r="F20">
            <v>2009</v>
          </cell>
          <cell r="G20">
            <v>2010</v>
          </cell>
          <cell r="H20">
            <v>2011</v>
          </cell>
          <cell r="I20">
            <v>2012</v>
          </cell>
          <cell r="J20">
            <v>2013</v>
          </cell>
          <cell r="K20">
            <v>2014</v>
          </cell>
          <cell r="L20">
            <v>2015</v>
          </cell>
          <cell r="M20">
            <v>2016</v>
          </cell>
          <cell r="N20">
            <v>2017</v>
          </cell>
          <cell r="O20">
            <v>2018</v>
          </cell>
          <cell r="P20">
            <v>2019</v>
          </cell>
          <cell r="Q20">
            <v>2020</v>
          </cell>
          <cell r="R20">
            <v>2021</v>
          </cell>
          <cell r="S20">
            <v>2022</v>
          </cell>
        </row>
        <row r="21">
          <cell r="A21" t="str">
            <v>FCFO</v>
          </cell>
          <cell r="B21">
            <v>11050.524313040853</v>
          </cell>
          <cell r="C21">
            <v>5952.8533250323326</v>
          </cell>
          <cell r="D21">
            <v>9053.4158259782162</v>
          </cell>
          <cell r="E21">
            <v>7308.8710165012517</v>
          </cell>
          <cell r="F21">
            <v>15514.273219136594</v>
          </cell>
          <cell r="G21">
            <v>8592.7838064400639</v>
          </cell>
          <cell r="H21">
            <v>12233.547623732527</v>
          </cell>
          <cell r="I21">
            <v>10488.170333509759</v>
          </cell>
          <cell r="J21">
            <v>9958.8975432565894</v>
          </cell>
          <cell r="K21">
            <v>11733.471462637361</v>
          </cell>
          <cell r="L21">
            <v>8925.5980653999995</v>
          </cell>
          <cell r="M21">
            <v>6906.4267814300001</v>
          </cell>
          <cell r="N21">
            <v>10315.926803660001</v>
          </cell>
        </row>
        <row r="22">
          <cell r="A22" t="str">
            <v>Worst-Case (2016)</v>
          </cell>
          <cell r="L22">
            <v>8925.5980653999995</v>
          </cell>
          <cell r="M22">
            <v>7332.1677000000009</v>
          </cell>
          <cell r="N22">
            <v>6892.2376380000005</v>
          </cell>
          <cell r="O22">
            <v>6892.2376380000005</v>
          </cell>
          <cell r="P22">
            <v>7099.0047671400016</v>
          </cell>
          <cell r="Q22">
            <v>7311.974910154202</v>
          </cell>
        </row>
        <row r="23">
          <cell r="A23" t="str">
            <v>Best-Case (2016)</v>
          </cell>
          <cell r="L23">
            <v>8925.5980653999995</v>
          </cell>
          <cell r="M23">
            <v>9318.4740000000002</v>
          </cell>
          <cell r="N23">
            <v>9225.2892599999996</v>
          </cell>
          <cell r="O23">
            <v>9686.5537230000009</v>
          </cell>
          <cell r="P23">
            <v>10267.746946380003</v>
          </cell>
          <cell r="Q23">
            <v>10883.811763162801</v>
          </cell>
        </row>
        <row r="24">
          <cell r="A24" t="str">
            <v>Worst-Case (2017)</v>
          </cell>
          <cell r="M24">
            <v>6906.4267814300001</v>
          </cell>
          <cell r="N24">
            <v>8631.2520000000004</v>
          </cell>
          <cell r="O24">
            <v>8334.5527125000008</v>
          </cell>
          <cell r="P24">
            <v>8095.8446493750016</v>
          </cell>
          <cell r="Q24">
            <v>7910.7447529687515</v>
          </cell>
          <cell r="R24">
            <v>7775.37907462969</v>
          </cell>
        </row>
        <row r="25">
          <cell r="A25" t="str">
            <v>Best-Case (2017)</v>
          </cell>
          <cell r="M25">
            <v>6906.4267814300001</v>
          </cell>
          <cell r="N25">
            <v>10067.396430000003</v>
          </cell>
          <cell r="O25">
            <v>10064.950908600003</v>
          </cell>
          <cell r="P25">
            <v>10183.265233932005</v>
          </cell>
          <cell r="Q25">
            <v>10424.725256673846</v>
          </cell>
          <cell r="R25">
            <v>10793.213662677706</v>
          </cell>
        </row>
        <row r="26">
          <cell r="A26" t="str">
            <v>Worst-Case (2018)</v>
          </cell>
          <cell r="M26">
            <v>6906.4267814300001</v>
          </cell>
          <cell r="N26">
            <v>10315.926803660001</v>
          </cell>
          <cell r="O26">
            <v>8710.8862500000014</v>
          </cell>
          <cell r="P26">
            <v>8498.8507499999996</v>
          </cell>
          <cell r="Q26">
            <v>8340.9714562500012</v>
          </cell>
          <cell r="R26">
            <v>8233.4803809374989</v>
          </cell>
          <cell r="S26">
            <v>8173.0687166718762</v>
          </cell>
        </row>
        <row r="27">
          <cell r="A27" t="str">
            <v>Best-Case (2018)</v>
          </cell>
          <cell r="M27">
            <v>6906.4267814300001</v>
          </cell>
          <cell r="N27">
            <v>10315.926803660001</v>
          </cell>
          <cell r="O27">
            <v>10105.025250000002</v>
          </cell>
          <cell r="P27">
            <v>10241.206725</v>
          </cell>
          <cell r="Q27">
            <v>10501.372132500004</v>
          </cell>
          <cell r="R27">
            <v>10889.635328850005</v>
          </cell>
          <cell r="S27">
            <v>11411.680254717008</v>
          </cell>
        </row>
      </sheetData>
      <sheetData sheetId="6">
        <row r="1">
          <cell r="B1">
            <v>2014</v>
          </cell>
          <cell r="C1">
            <v>2015</v>
          </cell>
          <cell r="D1">
            <v>2016</v>
          </cell>
          <cell r="E1">
            <v>2017</v>
          </cell>
          <cell r="F1">
            <v>2017</v>
          </cell>
          <cell r="G1">
            <v>2018</v>
          </cell>
          <cell r="H1">
            <v>2019</v>
          </cell>
          <cell r="I1">
            <v>2020</v>
          </cell>
          <cell r="J1">
            <v>2021</v>
          </cell>
        </row>
        <row r="2">
          <cell r="A2" t="str">
            <v>Cognitive Solutions</v>
          </cell>
          <cell r="B2">
            <v>21906</v>
          </cell>
          <cell r="C2">
            <v>20055</v>
          </cell>
          <cell r="D2">
            <v>20817</v>
          </cell>
          <cell r="E2">
            <v>21100</v>
          </cell>
          <cell r="F2">
            <v>21607.952580403889</v>
          </cell>
          <cell r="G2">
            <v>22428.957809337709</v>
          </cell>
          <cell r="H2">
            <v>23281.15755257956</v>
          </cell>
          <cell r="I2">
            <v>24165.737061682805</v>
          </cell>
          <cell r="J2">
            <v>25083.926622440835</v>
          </cell>
        </row>
        <row r="3">
          <cell r="A3" t="str">
            <v>Global Business Services</v>
          </cell>
          <cell r="B3">
            <v>20055</v>
          </cell>
          <cell r="C3">
            <v>17664</v>
          </cell>
          <cell r="D3">
            <v>17109</v>
          </cell>
          <cell r="E3">
            <v>16711</v>
          </cell>
          <cell r="F3">
            <v>16571.438009510868</v>
          </cell>
          <cell r="G3">
            <v>16050.76612911693</v>
          </cell>
          <cell r="H3">
            <v>15546.453674312814</v>
          </cell>
          <cell r="I3">
            <v>15057.986634613788</v>
          </cell>
          <cell r="J3">
            <v>14584.867149660739</v>
          </cell>
        </row>
        <row r="4">
          <cell r="A4" t="str">
            <v>Tech Services &amp; Cloud Platforms</v>
          </cell>
          <cell r="B4">
            <v>39729</v>
          </cell>
          <cell r="C4">
            <v>35840</v>
          </cell>
          <cell r="D4">
            <v>36052</v>
          </cell>
          <cell r="E4">
            <v>34934</v>
          </cell>
          <cell r="F4">
            <v>36265.254017857143</v>
          </cell>
          <cell r="G4">
            <v>36479.769471310989</v>
          </cell>
          <cell r="H4">
            <v>36695.553821978341</v>
          </cell>
          <cell r="I4">
            <v>36912.614575612817</v>
          </cell>
          <cell r="J4">
            <v>37130.95928236589</v>
          </cell>
        </row>
        <row r="5">
          <cell r="A5" t="str">
            <v>Systems</v>
          </cell>
          <cell r="B5">
            <v>13300</v>
          </cell>
          <cell r="C5">
            <v>10325</v>
          </cell>
          <cell r="D5">
            <v>8464</v>
          </cell>
          <cell r="E5">
            <v>8945</v>
          </cell>
          <cell r="F5">
            <v>6938.4306053268765</v>
          </cell>
          <cell r="G5">
            <v>5687.8330889575482</v>
          </cell>
          <cell r="H5">
            <v>4662.645933650042</v>
          </cell>
          <cell r="I5">
            <v>3822.240695633313</v>
          </cell>
          <cell r="J5">
            <v>3133.3118884106884</v>
          </cell>
        </row>
        <row r="6">
          <cell r="A6" t="str">
            <v>Global Financing</v>
          </cell>
          <cell r="B6">
            <v>4522</v>
          </cell>
          <cell r="C6">
            <v>4477</v>
          </cell>
          <cell r="D6">
            <v>3494</v>
          </cell>
          <cell r="E6">
            <v>3168</v>
          </cell>
          <cell r="F6">
            <v>2726.8340406522225</v>
          </cell>
          <cell r="G6">
            <v>2128.1121594904766</v>
          </cell>
          <cell r="H6">
            <v>1660.8496504935727</v>
          </cell>
          <cell r="I6">
            <v>1296.1824165344076</v>
          </cell>
          <cell r="J6">
            <v>1011.5839542933259</v>
          </cell>
        </row>
        <row r="9">
          <cell r="C9">
            <v>-0.11205683736634775</v>
          </cell>
          <cell r="D9">
            <v>-2.7444234447324023E-2</v>
          </cell>
          <cell r="E9">
            <v>-1.2544218953639885E-2</v>
          </cell>
          <cell r="F9">
            <v>-2.1249426855438958E-2</v>
          </cell>
          <cell r="G9">
            <v>-1.5865795212207212E-2</v>
          </cell>
          <cell r="H9">
            <v>-1.1220454282752979E-2</v>
          </cell>
          <cell r="I9">
            <v>-7.2318069467878221E-3</v>
          </cell>
          <cell r="J9">
            <v>-3.816545413748651E-3</v>
          </cell>
        </row>
        <row r="24">
          <cell r="I24" t="str">
            <v>2016 Revenue Change Attribution</v>
          </cell>
        </row>
        <row r="25">
          <cell r="H25" t="str">
            <v>Cognitive Solutions</v>
          </cell>
          <cell r="I25">
            <v>9.2039724958560797E-3</v>
          </cell>
        </row>
        <row r="26">
          <cell r="H26" t="str">
            <v>Tech Services &amp; Cloud Platforms</v>
          </cell>
          <cell r="I26">
            <v>2.4815446129345746E-3</v>
          </cell>
        </row>
        <row r="27">
          <cell r="H27" t="str">
            <v>Global Business Services</v>
          </cell>
          <cell r="I27">
            <v>-6.2553759831634036E-3</v>
          </cell>
        </row>
        <row r="28">
          <cell r="H28" t="str">
            <v>Global Financing</v>
          </cell>
          <cell r="I28">
            <v>-8.9271778922428054E-3</v>
          </cell>
        </row>
        <row r="29">
          <cell r="H29" t="str">
            <v>Systems</v>
          </cell>
          <cell r="I29">
            <v>-1.7752390088823351E-2</v>
          </cell>
        </row>
      </sheetData>
      <sheetData sheetId="7"/>
      <sheetData sheetId="8"/>
      <sheetData sheetId="14"/>
      <sheetData sheetId="15"/>
      <sheetData sheetId="19"/>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Data"/>
      <sheetName val="GDP Data"/>
      <sheetName val="Histogram"/>
      <sheetName val="Histogram Data"/>
      <sheetName val="Tear Sheet Data"/>
      <sheetName val="Revenue Scenarios Chart"/>
      <sheetName val="EP Scenarios Chart"/>
      <sheetName val="Marginal EP Growth Chart"/>
      <sheetName val="Stock Price Raw Data"/>
      <sheetName val="Scratch"/>
    </sheetNames>
    <sheetDataSet>
      <sheetData sheetId="0">
        <row r="6">
          <cell r="D6">
            <v>5</v>
          </cell>
        </row>
        <row r="7">
          <cell r="D7">
            <v>41639</v>
          </cell>
        </row>
        <row r="8">
          <cell r="D8">
            <v>41274</v>
          </cell>
        </row>
        <row r="10">
          <cell r="O10">
            <v>0</v>
          </cell>
        </row>
        <row r="11">
          <cell r="D11" t="str">
            <v>Growth Rate</v>
          </cell>
        </row>
        <row r="12">
          <cell r="D12">
            <v>0.1</v>
          </cell>
        </row>
        <row r="13">
          <cell r="D13">
            <v>0.03</v>
          </cell>
          <cell r="J13">
            <v>0</v>
          </cell>
        </row>
        <row r="14">
          <cell r="D14">
            <v>2.12E-2</v>
          </cell>
        </row>
        <row r="15">
          <cell r="D15">
            <v>0.03</v>
          </cell>
          <cell r="J15">
            <v>0</v>
          </cell>
        </row>
        <row r="17">
          <cell r="D17">
            <v>1145</v>
          </cell>
        </row>
        <row r="19">
          <cell r="D19">
            <v>8.7999999999999988E-3</v>
          </cell>
        </row>
        <row r="22">
          <cell r="J22">
            <v>21</v>
          </cell>
        </row>
        <row r="24">
          <cell r="D24">
            <v>0.14400000000000002</v>
          </cell>
        </row>
        <row r="25">
          <cell r="D25">
            <v>0.14650000000000002</v>
          </cell>
        </row>
        <row r="27">
          <cell r="N27">
            <v>0</v>
          </cell>
        </row>
        <row r="28">
          <cell r="N28">
            <v>0</v>
          </cell>
        </row>
      </sheetData>
      <sheetData sheetId="1">
        <row r="2">
          <cell r="V2">
            <v>41639</v>
          </cell>
        </row>
        <row r="4">
          <cell r="BP4">
            <v>2</v>
          </cell>
        </row>
        <row r="6">
          <cell r="BP6">
            <v>2</v>
          </cell>
        </row>
        <row r="102">
          <cell r="V102">
            <v>0</v>
          </cell>
          <cell r="W102">
            <v>0</v>
          </cell>
          <cell r="X102">
            <v>0</v>
          </cell>
          <cell r="Y102">
            <v>0</v>
          </cell>
          <cell r="Z102">
            <v>0</v>
          </cell>
        </row>
        <row r="181">
          <cell r="Z181">
            <v>1826</v>
          </cell>
        </row>
        <row r="182">
          <cell r="Z182">
            <v>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Scratch"/>
      <sheetName val="Tear Sheet"/>
      <sheetName val="Leverage Calculations"/>
      <sheetName val="Revenue Scenarios Chart"/>
      <sheetName val="Profit Scenarios Chart"/>
      <sheetName val="Capex Chart"/>
      <sheetName val="Capex Breakdown Chart"/>
      <sheetName val="FCFO Chart"/>
      <sheetName val="Investing Efficacy Chart"/>
      <sheetName val="BSM Cone Chart"/>
      <sheetName val="Data"/>
      <sheetName val="Cone Calculations"/>
      <sheetName val="Histogram Data"/>
      <sheetName val="Histogram"/>
      <sheetName val="Sheet1"/>
    </sheetNames>
    <sheetDataSet>
      <sheetData sheetId="0">
        <row r="2">
          <cell r="B2" t="str">
            <v>IBM</v>
          </cell>
        </row>
        <row r="6">
          <cell r="G6">
            <v>147.94999999999999</v>
          </cell>
        </row>
        <row r="20">
          <cell r="K20">
            <v>185</v>
          </cell>
        </row>
        <row r="21">
          <cell r="K21">
            <v>155</v>
          </cell>
          <cell r="P21">
            <v>187.65553998569519</v>
          </cell>
        </row>
        <row r="22">
          <cell r="K22">
            <v>170</v>
          </cell>
          <cell r="P22">
            <v>109.72824996791921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K2">
            <v>83.13</v>
          </cell>
          <cell r="Q2">
            <v>1.4846999999999999</v>
          </cell>
        </row>
        <row r="3">
          <cell r="K3">
            <v>83.2</v>
          </cell>
          <cell r="Q3">
            <v>1.486</v>
          </cell>
        </row>
        <row r="4">
          <cell r="K4">
            <v>82.47</v>
          </cell>
          <cell r="Q4">
            <v>1.4932000000000001</v>
          </cell>
        </row>
        <row r="5">
          <cell r="K5">
            <v>83.06</v>
          </cell>
          <cell r="Q5">
            <v>1.5038</v>
          </cell>
        </row>
        <row r="6">
          <cell r="K6">
            <v>83.45</v>
          </cell>
          <cell r="Q6">
            <v>1.5108999999999999</v>
          </cell>
        </row>
        <row r="7">
          <cell r="K7">
            <v>84.17</v>
          </cell>
          <cell r="Q7">
            <v>1.5239</v>
          </cell>
        </row>
        <row r="8">
          <cell r="K8">
            <v>83.81</v>
          </cell>
          <cell r="Q8">
            <v>1.5174000000000001</v>
          </cell>
        </row>
        <row r="9">
          <cell r="K9">
            <v>82.48</v>
          </cell>
          <cell r="Q9">
            <v>1.4933000000000001</v>
          </cell>
        </row>
        <row r="10">
          <cell r="K10">
            <v>82.1</v>
          </cell>
          <cell r="Q10">
            <v>1.4864999999999999</v>
          </cell>
        </row>
        <row r="11">
          <cell r="K11">
            <v>81.16</v>
          </cell>
          <cell r="Q11">
            <v>1.4694</v>
          </cell>
        </row>
        <row r="12">
          <cell r="K12">
            <v>80.75</v>
          </cell>
          <cell r="Q12">
            <v>1.462</v>
          </cell>
        </row>
        <row r="13">
          <cell r="K13">
            <v>81.98</v>
          </cell>
          <cell r="Q13">
            <v>1.4843</v>
          </cell>
        </row>
        <row r="14">
          <cell r="K14">
            <v>81.64</v>
          </cell>
          <cell r="Q14">
            <v>1.4781</v>
          </cell>
        </row>
        <row r="15">
          <cell r="K15">
            <v>83.31</v>
          </cell>
          <cell r="Q15">
            <v>1.5084</v>
          </cell>
        </row>
        <row r="16">
          <cell r="K16">
            <v>81.86</v>
          </cell>
          <cell r="Q16">
            <v>1.4821</v>
          </cell>
        </row>
        <row r="17">
          <cell r="K17">
            <v>82.02</v>
          </cell>
          <cell r="Q17">
            <v>1.4850000000000001</v>
          </cell>
        </row>
        <row r="18">
          <cell r="K18">
            <v>81.66</v>
          </cell>
          <cell r="Q18">
            <v>1.4784999999999999</v>
          </cell>
        </row>
        <row r="19">
          <cell r="K19">
            <v>82.11</v>
          </cell>
          <cell r="Q19">
            <v>1.4865999999999999</v>
          </cell>
        </row>
        <row r="20">
          <cell r="K20">
            <v>82.67</v>
          </cell>
          <cell r="Q20">
            <v>1.4967999999999999</v>
          </cell>
        </row>
        <row r="21">
          <cell r="K21">
            <v>83.35</v>
          </cell>
          <cell r="Q21">
            <v>1.5091000000000001</v>
          </cell>
        </row>
        <row r="22">
          <cell r="K22">
            <v>83.88</v>
          </cell>
          <cell r="Q22">
            <v>1.5186999999999999</v>
          </cell>
        </row>
        <row r="23">
          <cell r="K23">
            <v>82.34</v>
          </cell>
          <cell r="Q23">
            <v>1.4907999999999999</v>
          </cell>
        </row>
        <row r="24">
          <cell r="K24">
            <v>82.23</v>
          </cell>
          <cell r="Q24">
            <v>1.4887999999999999</v>
          </cell>
        </row>
        <row r="25">
          <cell r="K25">
            <v>82.42</v>
          </cell>
          <cell r="Q25">
            <v>1.4923</v>
          </cell>
        </row>
        <row r="26">
          <cell r="K26">
            <v>82.7</v>
          </cell>
          <cell r="Q26">
            <v>1.4973000000000001</v>
          </cell>
        </row>
        <row r="27">
          <cell r="K27">
            <v>82.43</v>
          </cell>
          <cell r="Q27">
            <v>1.4923999999999999</v>
          </cell>
        </row>
        <row r="28">
          <cell r="K28">
            <v>83.28</v>
          </cell>
          <cell r="Q28">
            <v>1.5078</v>
          </cell>
        </row>
        <row r="29">
          <cell r="K29">
            <v>82.89</v>
          </cell>
          <cell r="Q29">
            <v>1.5007999999999999</v>
          </cell>
        </row>
        <row r="30">
          <cell r="K30">
            <v>83.23</v>
          </cell>
          <cell r="Q30">
            <v>1.5068999999999999</v>
          </cell>
        </row>
        <row r="31">
          <cell r="K31">
            <v>82.9</v>
          </cell>
          <cell r="Q31">
            <v>1.5008999999999999</v>
          </cell>
        </row>
        <row r="32">
          <cell r="K32">
            <v>82.46</v>
          </cell>
          <cell r="Q32">
            <v>1.4930000000000001</v>
          </cell>
        </row>
        <row r="33">
          <cell r="K33">
            <v>82.39</v>
          </cell>
          <cell r="Q33">
            <v>1.4917</v>
          </cell>
        </row>
        <row r="34">
          <cell r="K34">
            <v>82.89</v>
          </cell>
          <cell r="Q34">
            <v>1.5007999999999999</v>
          </cell>
        </row>
        <row r="35">
          <cell r="K35">
            <v>82.16</v>
          </cell>
          <cell r="Q35">
            <v>1.4875</v>
          </cell>
        </row>
        <row r="36">
          <cell r="K36">
            <v>81.27</v>
          </cell>
          <cell r="Q36">
            <v>1.4714</v>
          </cell>
        </row>
        <row r="37">
          <cell r="K37">
            <v>80.66</v>
          </cell>
          <cell r="Q37">
            <v>1.4603999999999999</v>
          </cell>
        </row>
        <row r="38">
          <cell r="K38">
            <v>80.28</v>
          </cell>
          <cell r="Q38">
            <v>1.4535</v>
          </cell>
        </row>
        <row r="39">
          <cell r="K39">
            <v>80.02</v>
          </cell>
          <cell r="Q39">
            <v>1.4488000000000001</v>
          </cell>
        </row>
        <row r="40">
          <cell r="K40">
            <v>79.83</v>
          </cell>
          <cell r="Q40">
            <v>1.4454</v>
          </cell>
        </row>
        <row r="41">
          <cell r="K41">
            <v>79.78</v>
          </cell>
          <cell r="Q41">
            <v>1.4444999999999999</v>
          </cell>
        </row>
        <row r="42">
          <cell r="K42">
            <v>80.14</v>
          </cell>
          <cell r="Q42">
            <v>1.4510000000000001</v>
          </cell>
        </row>
        <row r="43">
          <cell r="K43">
            <v>80.75</v>
          </cell>
          <cell r="Q43">
            <v>1.462</v>
          </cell>
        </row>
        <row r="44">
          <cell r="K44">
            <v>80.16</v>
          </cell>
          <cell r="Q44">
            <v>1.4513</v>
          </cell>
        </row>
        <row r="45">
          <cell r="K45">
            <v>79.900000000000006</v>
          </cell>
          <cell r="Q45">
            <v>1.4466000000000001</v>
          </cell>
        </row>
        <row r="46">
          <cell r="K46">
            <v>80.69</v>
          </cell>
          <cell r="Q46">
            <v>1.4609000000000001</v>
          </cell>
        </row>
        <row r="47">
          <cell r="K47">
            <v>79.52</v>
          </cell>
          <cell r="Q47">
            <v>1.4398</v>
          </cell>
        </row>
        <row r="48">
          <cell r="K48">
            <v>79.06</v>
          </cell>
          <cell r="Q48">
            <v>1.4314</v>
          </cell>
        </row>
        <row r="49">
          <cell r="K49">
            <v>79.760000000000005</v>
          </cell>
          <cell r="Q49">
            <v>1.4440999999999999</v>
          </cell>
        </row>
        <row r="50">
          <cell r="K50">
            <v>79.150000000000006</v>
          </cell>
          <cell r="Q50">
            <v>1.4331</v>
          </cell>
        </row>
        <row r="51">
          <cell r="K51">
            <v>77.03</v>
          </cell>
          <cell r="Q51">
            <v>1.3947000000000001</v>
          </cell>
        </row>
        <row r="52">
          <cell r="K52">
            <v>77.63</v>
          </cell>
          <cell r="Q52">
            <v>1.4055</v>
          </cell>
        </row>
        <row r="53">
          <cell r="K53">
            <v>77.02</v>
          </cell>
          <cell r="Q53">
            <v>1.3945000000000001</v>
          </cell>
        </row>
        <row r="54">
          <cell r="K54">
            <v>76.930000000000007</v>
          </cell>
          <cell r="Q54">
            <v>1.3929</v>
          </cell>
        </row>
        <row r="55">
          <cell r="K55">
            <v>77.709999999999994</v>
          </cell>
          <cell r="Q55">
            <v>1.407</v>
          </cell>
        </row>
        <row r="56">
          <cell r="K56">
            <v>78.56</v>
          </cell>
          <cell r="Q56">
            <v>1.4224000000000001</v>
          </cell>
        </row>
        <row r="57">
          <cell r="K57">
            <v>77.95</v>
          </cell>
          <cell r="Q57">
            <v>1.4113</v>
          </cell>
        </row>
        <row r="58">
          <cell r="K58">
            <v>77.67</v>
          </cell>
          <cell r="Q58">
            <v>1.4063000000000001</v>
          </cell>
        </row>
        <row r="59">
          <cell r="K59">
            <v>77.989999999999995</v>
          </cell>
          <cell r="Q59">
            <v>1.4119999999999999</v>
          </cell>
        </row>
        <row r="60">
          <cell r="K60">
            <v>78.3</v>
          </cell>
          <cell r="Q60">
            <v>1.4177</v>
          </cell>
        </row>
        <row r="61">
          <cell r="K61">
            <v>77.19</v>
          </cell>
          <cell r="Q61">
            <v>1.3976</v>
          </cell>
        </row>
        <row r="62">
          <cell r="K62">
            <v>77.099999999999994</v>
          </cell>
          <cell r="Q62">
            <v>1.3958999999999999</v>
          </cell>
        </row>
        <row r="63">
          <cell r="K63">
            <v>77.150000000000006</v>
          </cell>
          <cell r="Q63">
            <v>1.3968</v>
          </cell>
        </row>
        <row r="64">
          <cell r="K64">
            <v>76.63</v>
          </cell>
          <cell r="Q64">
            <v>1.3874</v>
          </cell>
        </row>
        <row r="65">
          <cell r="K65">
            <v>76.56</v>
          </cell>
          <cell r="Q65">
            <v>1.3862000000000001</v>
          </cell>
        </row>
        <row r="66">
          <cell r="K66">
            <v>77.59</v>
          </cell>
          <cell r="Q66">
            <v>1.4048</v>
          </cell>
        </row>
        <row r="67">
          <cell r="K67">
            <v>76.819999999999993</v>
          </cell>
          <cell r="Q67">
            <v>1.3821000000000001</v>
          </cell>
        </row>
        <row r="68">
          <cell r="K68">
            <v>78.02</v>
          </cell>
          <cell r="Q68">
            <v>1.4036999999999999</v>
          </cell>
        </row>
        <row r="69">
          <cell r="K69">
            <v>77.77</v>
          </cell>
          <cell r="Q69">
            <v>1.3992</v>
          </cell>
        </row>
        <row r="70">
          <cell r="K70">
            <v>78.09</v>
          </cell>
          <cell r="Q70">
            <v>1.405</v>
          </cell>
        </row>
        <row r="71">
          <cell r="K71">
            <v>76.42</v>
          </cell>
          <cell r="Q71">
            <v>1.3749</v>
          </cell>
        </row>
        <row r="72">
          <cell r="K72">
            <v>76.67</v>
          </cell>
          <cell r="Q72">
            <v>1.3794</v>
          </cell>
        </row>
        <row r="73">
          <cell r="K73">
            <v>76.47</v>
          </cell>
          <cell r="Q73">
            <v>1.3757999999999999</v>
          </cell>
        </row>
        <row r="74">
          <cell r="K74">
            <v>75.48</v>
          </cell>
          <cell r="Q74">
            <v>1.3580000000000001</v>
          </cell>
        </row>
        <row r="75">
          <cell r="K75">
            <v>74.239999999999995</v>
          </cell>
          <cell r="Q75">
            <v>1.3357000000000001</v>
          </cell>
        </row>
        <row r="76">
          <cell r="K76">
            <v>73.569999999999993</v>
          </cell>
          <cell r="Q76">
            <v>1.3237000000000001</v>
          </cell>
        </row>
        <row r="77">
          <cell r="K77">
            <v>73.7</v>
          </cell>
          <cell r="Q77">
            <v>1.3260000000000001</v>
          </cell>
        </row>
        <row r="78">
          <cell r="K78">
            <v>74.260000000000005</v>
          </cell>
          <cell r="Q78">
            <v>1.3361000000000001</v>
          </cell>
        </row>
        <row r="79">
          <cell r="K79">
            <v>76.069999999999993</v>
          </cell>
          <cell r="Q79">
            <v>1.3686</v>
          </cell>
        </row>
        <row r="80">
          <cell r="K80">
            <v>75.48</v>
          </cell>
          <cell r="Q80">
            <v>1.3580000000000001</v>
          </cell>
        </row>
        <row r="81">
          <cell r="K81">
            <v>74.86</v>
          </cell>
          <cell r="Q81">
            <v>1.3469</v>
          </cell>
        </row>
        <row r="82">
          <cell r="K82">
            <v>75.989999999999995</v>
          </cell>
          <cell r="Q82">
            <v>1.3672</v>
          </cell>
        </row>
        <row r="83">
          <cell r="K83">
            <v>75.89</v>
          </cell>
          <cell r="Q83">
            <v>1.3653999999999999</v>
          </cell>
        </row>
        <row r="84">
          <cell r="K84">
            <v>75.83</v>
          </cell>
          <cell r="Q84">
            <v>1.3643000000000001</v>
          </cell>
        </row>
        <row r="85">
          <cell r="K85">
            <v>76.150000000000006</v>
          </cell>
          <cell r="Q85">
            <v>1.3701000000000001</v>
          </cell>
        </row>
        <row r="86">
          <cell r="K86">
            <v>76.959999999999994</v>
          </cell>
          <cell r="Q86">
            <v>1.3846000000000001</v>
          </cell>
        </row>
        <row r="87">
          <cell r="K87">
            <v>77.41</v>
          </cell>
          <cell r="Q87">
            <v>1.3927</v>
          </cell>
        </row>
        <row r="88">
          <cell r="K88">
            <v>76.14</v>
          </cell>
          <cell r="Q88">
            <v>1.3698999999999999</v>
          </cell>
        </row>
        <row r="89">
          <cell r="K89">
            <v>76.319999999999993</v>
          </cell>
          <cell r="Q89">
            <v>1.3731</v>
          </cell>
        </row>
        <row r="90">
          <cell r="K90">
            <v>76.33</v>
          </cell>
          <cell r="Q90">
            <v>1.3733</v>
          </cell>
        </row>
        <row r="91">
          <cell r="K91">
            <v>75.91</v>
          </cell>
          <cell r="Q91">
            <v>1.3657999999999999</v>
          </cell>
        </row>
        <row r="92">
          <cell r="K92">
            <v>75.52</v>
          </cell>
          <cell r="Q92">
            <v>1.3587</v>
          </cell>
        </row>
        <row r="93">
          <cell r="K93">
            <v>75.33</v>
          </cell>
          <cell r="Q93">
            <v>1.3552999999999999</v>
          </cell>
        </row>
        <row r="94">
          <cell r="K94">
            <v>75.39</v>
          </cell>
          <cell r="Q94">
            <v>1.3564000000000001</v>
          </cell>
        </row>
        <row r="95">
          <cell r="K95">
            <v>75.739999999999995</v>
          </cell>
          <cell r="Q95">
            <v>1.3627</v>
          </cell>
        </row>
        <row r="96">
          <cell r="K96">
            <v>75.48</v>
          </cell>
          <cell r="Q96">
            <v>1.3580000000000001</v>
          </cell>
        </row>
        <row r="97">
          <cell r="K97">
            <v>76.680000000000007</v>
          </cell>
          <cell r="Q97">
            <v>1.3795999999999999</v>
          </cell>
        </row>
        <row r="98">
          <cell r="K98">
            <v>77.08</v>
          </cell>
          <cell r="Q98">
            <v>1.3868</v>
          </cell>
        </row>
        <row r="99">
          <cell r="K99">
            <v>79.09</v>
          </cell>
          <cell r="Q99">
            <v>1.423</v>
          </cell>
        </row>
        <row r="100">
          <cell r="K100">
            <v>79.37</v>
          </cell>
          <cell r="Q100">
            <v>1.4279999999999999</v>
          </cell>
        </row>
        <row r="101">
          <cell r="K101">
            <v>79.900000000000006</v>
          </cell>
          <cell r="Q101">
            <v>1.4375</v>
          </cell>
        </row>
        <row r="102">
          <cell r="K102">
            <v>79.28</v>
          </cell>
          <cell r="Q102">
            <v>1.4263999999999999</v>
          </cell>
        </row>
        <row r="103">
          <cell r="K103">
            <v>78.95</v>
          </cell>
          <cell r="Q103">
            <v>1.4204000000000001</v>
          </cell>
        </row>
        <row r="104">
          <cell r="K104">
            <v>78.67</v>
          </cell>
          <cell r="Q104">
            <v>1.4154</v>
          </cell>
        </row>
        <row r="105">
          <cell r="K105">
            <v>79.38</v>
          </cell>
          <cell r="Q105">
            <v>1.4281999999999999</v>
          </cell>
        </row>
        <row r="106">
          <cell r="K106">
            <v>79.88</v>
          </cell>
          <cell r="Q106">
            <v>1.4372</v>
          </cell>
        </row>
        <row r="107">
          <cell r="K107">
            <v>80.319999999999993</v>
          </cell>
          <cell r="Q107">
            <v>1.4451000000000001</v>
          </cell>
        </row>
        <row r="108">
          <cell r="K108">
            <v>81.400000000000006</v>
          </cell>
          <cell r="Q108">
            <v>1.4644999999999999</v>
          </cell>
        </row>
        <row r="109">
          <cell r="K109">
            <v>81.22</v>
          </cell>
          <cell r="Q109">
            <v>1.4613</v>
          </cell>
        </row>
        <row r="110">
          <cell r="K110">
            <v>80.97</v>
          </cell>
          <cell r="Q110">
            <v>1.4568000000000001</v>
          </cell>
        </row>
        <row r="111">
          <cell r="K111">
            <v>81.41</v>
          </cell>
          <cell r="Q111">
            <v>1.4646999999999999</v>
          </cell>
        </row>
        <row r="112">
          <cell r="K112">
            <v>80.849999999999994</v>
          </cell>
          <cell r="Q112">
            <v>1.4545999999999999</v>
          </cell>
        </row>
        <row r="113">
          <cell r="K113">
            <v>80.28</v>
          </cell>
          <cell r="Q113">
            <v>1.4443999999999999</v>
          </cell>
        </row>
        <row r="114">
          <cell r="K114">
            <v>79.400000000000006</v>
          </cell>
          <cell r="Q114">
            <v>1.4285000000000001</v>
          </cell>
        </row>
        <row r="115">
          <cell r="K115">
            <v>80.66</v>
          </cell>
          <cell r="Q115">
            <v>1.4512</v>
          </cell>
        </row>
        <row r="116">
          <cell r="K116">
            <v>80.930000000000007</v>
          </cell>
          <cell r="Q116">
            <v>1.4560999999999999</v>
          </cell>
        </row>
        <row r="117">
          <cell r="K117">
            <v>82.28</v>
          </cell>
          <cell r="Q117">
            <v>1.4803999999999999</v>
          </cell>
        </row>
        <row r="118">
          <cell r="K118">
            <v>82.21</v>
          </cell>
          <cell r="Q118">
            <v>1.4791000000000001</v>
          </cell>
        </row>
        <row r="119">
          <cell r="K119">
            <v>82.47</v>
          </cell>
          <cell r="Q119">
            <v>1.4838</v>
          </cell>
        </row>
        <row r="120">
          <cell r="K120">
            <v>82.94</v>
          </cell>
          <cell r="Q120">
            <v>1.4922</v>
          </cell>
        </row>
        <row r="121">
          <cell r="K121">
            <v>82.24</v>
          </cell>
          <cell r="Q121">
            <v>1.4796</v>
          </cell>
        </row>
        <row r="122">
          <cell r="K122">
            <v>81.87</v>
          </cell>
          <cell r="Q122">
            <v>1.4730000000000001</v>
          </cell>
        </row>
        <row r="123">
          <cell r="K123">
            <v>83.42</v>
          </cell>
          <cell r="Q123">
            <v>1.5008999999999999</v>
          </cell>
        </row>
        <row r="124">
          <cell r="K124">
            <v>81.61</v>
          </cell>
          <cell r="Q124">
            <v>1.4682999999999999</v>
          </cell>
        </row>
        <row r="125">
          <cell r="K125">
            <v>81.209999999999994</v>
          </cell>
          <cell r="Q125">
            <v>1.4611000000000001</v>
          </cell>
        </row>
        <row r="126">
          <cell r="K126">
            <v>82</v>
          </cell>
          <cell r="Q126">
            <v>1.4753000000000001</v>
          </cell>
        </row>
        <row r="127">
          <cell r="K127">
            <v>82.5</v>
          </cell>
          <cell r="Q127">
            <v>1.4843</v>
          </cell>
        </row>
        <row r="128">
          <cell r="K128">
            <v>82.09</v>
          </cell>
          <cell r="Q128">
            <v>1.4769000000000001</v>
          </cell>
        </row>
        <row r="129">
          <cell r="K129">
            <v>81.99</v>
          </cell>
          <cell r="Q129">
            <v>1.4751000000000001</v>
          </cell>
        </row>
        <row r="130">
          <cell r="K130">
            <v>81.94</v>
          </cell>
          <cell r="Q130">
            <v>1.4742</v>
          </cell>
        </row>
        <row r="131">
          <cell r="K131">
            <v>81.87</v>
          </cell>
          <cell r="Q131">
            <v>1.4361999999999999</v>
          </cell>
        </row>
        <row r="132">
          <cell r="K132">
            <v>81.650000000000006</v>
          </cell>
          <cell r="Q132">
            <v>1.4322999999999999</v>
          </cell>
        </row>
        <row r="133">
          <cell r="K133">
            <v>83.1</v>
          </cell>
          <cell r="Q133">
            <v>1.4577</v>
          </cell>
        </row>
        <row r="134">
          <cell r="K134">
            <v>82.92</v>
          </cell>
          <cell r="Q134">
            <v>1.4545999999999999</v>
          </cell>
        </row>
        <row r="135">
          <cell r="K135">
            <v>83.14</v>
          </cell>
          <cell r="Q135">
            <v>1.4583999999999999</v>
          </cell>
        </row>
        <row r="136">
          <cell r="K136">
            <v>84</v>
          </cell>
          <cell r="Q136">
            <v>1.4735</v>
          </cell>
        </row>
        <row r="137">
          <cell r="K137">
            <v>84.19</v>
          </cell>
          <cell r="Q137">
            <v>1.4769000000000001</v>
          </cell>
        </row>
        <row r="138">
          <cell r="K138">
            <v>84.19</v>
          </cell>
          <cell r="Q138">
            <v>1.4769000000000001</v>
          </cell>
        </row>
        <row r="139">
          <cell r="K139">
            <v>84.7</v>
          </cell>
          <cell r="Q139">
            <v>1.4858</v>
          </cell>
        </row>
        <row r="140">
          <cell r="K140">
            <v>86.08</v>
          </cell>
          <cell r="Q140">
            <v>1.51</v>
          </cell>
        </row>
        <row r="141">
          <cell r="K141">
            <v>86.71</v>
          </cell>
          <cell r="Q141">
            <v>1.5210999999999999</v>
          </cell>
        </row>
        <row r="142">
          <cell r="K142">
            <v>86.95</v>
          </cell>
          <cell r="Q142">
            <v>1.5253000000000001</v>
          </cell>
        </row>
        <row r="143">
          <cell r="K143">
            <v>89.82</v>
          </cell>
          <cell r="Q143">
            <v>1.5755999999999999</v>
          </cell>
        </row>
        <row r="144">
          <cell r="K144">
            <v>89.86</v>
          </cell>
          <cell r="Q144">
            <v>1.5763</v>
          </cell>
        </row>
        <row r="145">
          <cell r="K145">
            <v>90.48</v>
          </cell>
          <cell r="Q145">
            <v>1.5871999999999999</v>
          </cell>
        </row>
        <row r="146">
          <cell r="K146">
            <v>91.56</v>
          </cell>
          <cell r="Q146">
            <v>1.6061000000000001</v>
          </cell>
        </row>
        <row r="147">
          <cell r="K147">
            <v>91.49</v>
          </cell>
          <cell r="Q147">
            <v>1.6049</v>
          </cell>
        </row>
        <row r="148">
          <cell r="K148">
            <v>91.83</v>
          </cell>
          <cell r="Q148">
            <v>1.6109</v>
          </cell>
        </row>
        <row r="149">
          <cell r="K149">
            <v>91.54</v>
          </cell>
          <cell r="Q149">
            <v>1.6057999999999999</v>
          </cell>
        </row>
        <row r="150">
          <cell r="K150">
            <v>90.76</v>
          </cell>
          <cell r="Q150">
            <v>1.5921000000000001</v>
          </cell>
        </row>
        <row r="151">
          <cell r="K151">
            <v>91.5</v>
          </cell>
          <cell r="Q151">
            <v>1.6051</v>
          </cell>
        </row>
        <row r="152">
          <cell r="K152">
            <v>92.33</v>
          </cell>
          <cell r="Q152">
            <v>1.6195999999999999</v>
          </cell>
        </row>
        <row r="153">
          <cell r="K153">
            <v>91.8</v>
          </cell>
          <cell r="Q153">
            <v>1.6103000000000001</v>
          </cell>
        </row>
        <row r="154">
          <cell r="K154">
            <v>91.68</v>
          </cell>
          <cell r="Q154">
            <v>1.6082000000000001</v>
          </cell>
        </row>
        <row r="155">
          <cell r="K155">
            <v>91.41</v>
          </cell>
          <cell r="Q155">
            <v>1.6034999999999999</v>
          </cell>
        </row>
        <row r="156">
          <cell r="K156">
            <v>92.6</v>
          </cell>
          <cell r="Q156">
            <v>1.6244000000000001</v>
          </cell>
        </row>
        <row r="157">
          <cell r="K157">
            <v>92.75</v>
          </cell>
          <cell r="Q157">
            <v>1.627</v>
          </cell>
        </row>
        <row r="158">
          <cell r="K158">
            <v>92.59</v>
          </cell>
          <cell r="Q158">
            <v>1.6242000000000001</v>
          </cell>
        </row>
        <row r="159">
          <cell r="K159">
            <v>92.42</v>
          </cell>
          <cell r="Q159">
            <v>1.6212</v>
          </cell>
        </row>
        <row r="160">
          <cell r="K160">
            <v>91.76</v>
          </cell>
          <cell r="Q160">
            <v>1.6095999999999999</v>
          </cell>
        </row>
        <row r="161">
          <cell r="K161">
            <v>92.07</v>
          </cell>
          <cell r="Q161">
            <v>1.6151</v>
          </cell>
        </row>
        <row r="162">
          <cell r="K162">
            <v>93.29</v>
          </cell>
          <cell r="Q162">
            <v>1.6365000000000001</v>
          </cell>
        </row>
        <row r="163">
          <cell r="K163">
            <v>93.11</v>
          </cell>
          <cell r="Q163">
            <v>1.6333</v>
          </cell>
        </row>
        <row r="164">
          <cell r="K164">
            <v>93.47</v>
          </cell>
          <cell r="Q164">
            <v>1.6395999999999999</v>
          </cell>
        </row>
        <row r="165">
          <cell r="K165">
            <v>93.81</v>
          </cell>
          <cell r="Q165">
            <v>1.6456</v>
          </cell>
        </row>
        <row r="166">
          <cell r="K166">
            <v>93.25</v>
          </cell>
          <cell r="Q166">
            <v>1.6357999999999999</v>
          </cell>
        </row>
        <row r="167">
          <cell r="K167">
            <v>93.08</v>
          </cell>
          <cell r="Q167">
            <v>1.6328</v>
          </cell>
        </row>
        <row r="168">
          <cell r="K168">
            <v>93.52</v>
          </cell>
          <cell r="Q168">
            <v>1.6405000000000001</v>
          </cell>
        </row>
        <row r="169">
          <cell r="K169">
            <v>93.35</v>
          </cell>
          <cell r="Q169">
            <v>1.6375</v>
          </cell>
        </row>
        <row r="170">
          <cell r="K170">
            <v>91.45</v>
          </cell>
          <cell r="Q170">
            <v>1.6042000000000001</v>
          </cell>
        </row>
        <row r="171">
          <cell r="K171">
            <v>91.35</v>
          </cell>
          <cell r="Q171">
            <v>1.6025</v>
          </cell>
        </row>
        <row r="172">
          <cell r="K172">
            <v>91.52</v>
          </cell>
          <cell r="Q172">
            <v>1.6053999999999999</v>
          </cell>
        </row>
        <row r="173">
          <cell r="K173">
            <v>91.92</v>
          </cell>
          <cell r="Q173">
            <v>1.6125</v>
          </cell>
        </row>
        <row r="174">
          <cell r="K174">
            <v>91.25</v>
          </cell>
          <cell r="Q174">
            <v>1.6007</v>
          </cell>
        </row>
        <row r="175">
          <cell r="K175">
            <v>93.51</v>
          </cell>
          <cell r="Q175">
            <v>1.6403000000000001</v>
          </cell>
        </row>
        <row r="176">
          <cell r="K176">
            <v>94.48</v>
          </cell>
          <cell r="Q176">
            <v>1.6574</v>
          </cell>
        </row>
        <row r="177">
          <cell r="K177">
            <v>94.12</v>
          </cell>
          <cell r="Q177">
            <v>1.651</v>
          </cell>
        </row>
        <row r="178">
          <cell r="K178">
            <v>94.23</v>
          </cell>
          <cell r="Q178">
            <v>1.653</v>
          </cell>
        </row>
        <row r="179">
          <cell r="K179">
            <v>93.86</v>
          </cell>
          <cell r="Q179">
            <v>1.6465000000000001</v>
          </cell>
        </row>
        <row r="180">
          <cell r="K180">
            <v>93.64</v>
          </cell>
          <cell r="Q180">
            <v>1.6426000000000001</v>
          </cell>
        </row>
        <row r="181">
          <cell r="K181">
            <v>94.12</v>
          </cell>
          <cell r="Q181">
            <v>1.651</v>
          </cell>
        </row>
        <row r="182">
          <cell r="K182">
            <v>94.77</v>
          </cell>
          <cell r="Q182">
            <v>1.6624000000000001</v>
          </cell>
        </row>
        <row r="183">
          <cell r="K183">
            <v>95.36</v>
          </cell>
          <cell r="Q183">
            <v>1.6728000000000001</v>
          </cell>
        </row>
        <row r="184">
          <cell r="K184">
            <v>95.3</v>
          </cell>
          <cell r="Q184">
            <v>1.6717</v>
          </cell>
        </row>
        <row r="185">
          <cell r="K185">
            <v>95.44</v>
          </cell>
          <cell r="Q185">
            <v>1.6741999999999999</v>
          </cell>
        </row>
        <row r="186">
          <cell r="K186">
            <v>96</v>
          </cell>
          <cell r="Q186">
            <v>1.6839999999999999</v>
          </cell>
        </row>
        <row r="187">
          <cell r="K187">
            <v>96</v>
          </cell>
          <cell r="Q187">
            <v>1.6839999999999999</v>
          </cell>
        </row>
        <row r="188">
          <cell r="K188">
            <v>95.91</v>
          </cell>
          <cell r="Q188">
            <v>1.6823999999999999</v>
          </cell>
        </row>
        <row r="189">
          <cell r="K189">
            <v>95.25</v>
          </cell>
          <cell r="Q189">
            <v>1.6709000000000001</v>
          </cell>
        </row>
        <row r="190">
          <cell r="K190">
            <v>95.66</v>
          </cell>
          <cell r="Q190">
            <v>1.6780999999999999</v>
          </cell>
        </row>
        <row r="191">
          <cell r="K191">
            <v>97.2</v>
          </cell>
          <cell r="Q191">
            <v>1.7051000000000001</v>
          </cell>
        </row>
        <row r="192">
          <cell r="K192">
            <v>96.97</v>
          </cell>
          <cell r="Q192">
            <v>1.7010000000000001</v>
          </cell>
        </row>
        <row r="193">
          <cell r="K193">
            <v>97.15</v>
          </cell>
          <cell r="Q193">
            <v>1.7041999999999999</v>
          </cell>
        </row>
        <row r="194">
          <cell r="K194">
            <v>97.27</v>
          </cell>
          <cell r="Q194">
            <v>1.6529</v>
          </cell>
        </row>
        <row r="195">
          <cell r="K195">
            <v>98.31</v>
          </cell>
          <cell r="Q195">
            <v>1.6706000000000001</v>
          </cell>
        </row>
        <row r="196">
          <cell r="K196">
            <v>97.42</v>
          </cell>
          <cell r="Q196">
            <v>1.6554</v>
          </cell>
        </row>
        <row r="197">
          <cell r="K197">
            <v>98.9</v>
          </cell>
          <cell r="Q197">
            <v>1.6806000000000001</v>
          </cell>
        </row>
        <row r="198">
          <cell r="K198">
            <v>100.07</v>
          </cell>
          <cell r="Q198">
            <v>1.7004999999999999</v>
          </cell>
        </row>
        <row r="199">
          <cell r="K199">
            <v>98.89</v>
          </cell>
          <cell r="Q199">
            <v>1.6803999999999999</v>
          </cell>
        </row>
        <row r="200">
          <cell r="K200">
            <v>98.65</v>
          </cell>
          <cell r="Q200">
            <v>1.6763999999999999</v>
          </cell>
        </row>
        <row r="201">
          <cell r="K201">
            <v>99.34</v>
          </cell>
          <cell r="Q201">
            <v>1.6880999999999999</v>
          </cell>
        </row>
        <row r="202">
          <cell r="K202">
            <v>100.82</v>
          </cell>
          <cell r="Q202">
            <v>1.7132000000000001</v>
          </cell>
        </row>
        <row r="203">
          <cell r="K203">
            <v>100.02</v>
          </cell>
          <cell r="Q203">
            <v>1.6996</v>
          </cell>
        </row>
        <row r="204">
          <cell r="K204">
            <v>99.45</v>
          </cell>
          <cell r="Q204">
            <v>1.6899</v>
          </cell>
        </row>
        <row r="205">
          <cell r="K205">
            <v>96.17</v>
          </cell>
          <cell r="Q205">
            <v>1.6342000000000001</v>
          </cell>
        </row>
        <row r="206">
          <cell r="K206">
            <v>97.11</v>
          </cell>
          <cell r="Q206">
            <v>1.6501999999999999</v>
          </cell>
        </row>
        <row r="207">
          <cell r="K207">
            <v>97.08</v>
          </cell>
          <cell r="Q207">
            <v>1.6496999999999999</v>
          </cell>
        </row>
        <row r="208">
          <cell r="K208">
            <v>97.4</v>
          </cell>
          <cell r="Q208">
            <v>1.6551</v>
          </cell>
        </row>
        <row r="209">
          <cell r="K209">
            <v>97.51</v>
          </cell>
          <cell r="Q209">
            <v>1.657</v>
          </cell>
        </row>
        <row r="210">
          <cell r="K210">
            <v>97.45</v>
          </cell>
          <cell r="Q210">
            <v>1.6559999999999999</v>
          </cell>
        </row>
        <row r="211">
          <cell r="K211">
            <v>98.54</v>
          </cell>
          <cell r="Q211">
            <v>1.6745000000000001</v>
          </cell>
        </row>
        <row r="212">
          <cell r="K212">
            <v>99.37</v>
          </cell>
          <cell r="Q212">
            <v>1.6886000000000001</v>
          </cell>
        </row>
        <row r="213">
          <cell r="K213">
            <v>99.15</v>
          </cell>
          <cell r="Q213">
            <v>1.6848000000000001</v>
          </cell>
        </row>
        <row r="214">
          <cell r="K214">
            <v>99</v>
          </cell>
          <cell r="Q214">
            <v>1.6822999999999999</v>
          </cell>
        </row>
        <row r="215">
          <cell r="K215">
            <v>99.17</v>
          </cell>
          <cell r="Q215">
            <v>1.6852</v>
          </cell>
        </row>
        <row r="216">
          <cell r="K216">
            <v>100.38</v>
          </cell>
          <cell r="Q216">
            <v>1.7057</v>
          </cell>
        </row>
        <row r="217">
          <cell r="K217">
            <v>99.85</v>
          </cell>
          <cell r="Q217">
            <v>1.6967000000000001</v>
          </cell>
        </row>
        <row r="218">
          <cell r="K218">
            <v>99.54</v>
          </cell>
          <cell r="Q218">
            <v>1.6915</v>
          </cell>
        </row>
        <row r="219">
          <cell r="K219">
            <v>99.62</v>
          </cell>
          <cell r="Q219">
            <v>1.6928000000000001</v>
          </cell>
        </row>
        <row r="220">
          <cell r="K220">
            <v>98.55</v>
          </cell>
          <cell r="Q220">
            <v>1.6747000000000001</v>
          </cell>
        </row>
        <row r="221">
          <cell r="K221">
            <v>98.58</v>
          </cell>
          <cell r="Q221">
            <v>1.6752</v>
          </cell>
        </row>
        <row r="222">
          <cell r="K222">
            <v>98.29</v>
          </cell>
          <cell r="Q222">
            <v>1.6701999999999999</v>
          </cell>
        </row>
        <row r="223">
          <cell r="K223">
            <v>99.2</v>
          </cell>
          <cell r="Q223">
            <v>1.6857</v>
          </cell>
        </row>
        <row r="224">
          <cell r="K224">
            <v>98.92</v>
          </cell>
          <cell r="Q224">
            <v>1.6809000000000001</v>
          </cell>
        </row>
        <row r="225">
          <cell r="K225">
            <v>98.99</v>
          </cell>
          <cell r="Q225">
            <v>1.6820999999999999</v>
          </cell>
        </row>
        <row r="226">
          <cell r="K226">
            <v>99.35</v>
          </cell>
          <cell r="Q226">
            <v>1.6881999999999999</v>
          </cell>
        </row>
        <row r="227">
          <cell r="K227">
            <v>99.09</v>
          </cell>
          <cell r="Q227">
            <v>1.6838</v>
          </cell>
        </row>
        <row r="228">
          <cell r="K228">
            <v>98.5</v>
          </cell>
          <cell r="Q228">
            <v>1.6738</v>
          </cell>
        </row>
        <row r="229">
          <cell r="K229">
            <v>97.73</v>
          </cell>
          <cell r="Q229">
            <v>1.6607000000000001</v>
          </cell>
        </row>
        <row r="230">
          <cell r="K230">
            <v>96.91</v>
          </cell>
          <cell r="Q230">
            <v>1.6468</v>
          </cell>
        </row>
        <row r="231">
          <cell r="K231">
            <v>93.96</v>
          </cell>
          <cell r="Q231">
            <v>1.5967</v>
          </cell>
        </row>
        <row r="232">
          <cell r="K232">
            <v>92.94</v>
          </cell>
          <cell r="Q232">
            <v>1.5792999999999999</v>
          </cell>
        </row>
        <row r="233">
          <cell r="K233">
            <v>92.27</v>
          </cell>
          <cell r="Q233">
            <v>1.5679000000000001</v>
          </cell>
        </row>
        <row r="234">
          <cell r="K234">
            <v>90.9</v>
          </cell>
          <cell r="Q234">
            <v>1.5447</v>
          </cell>
        </row>
        <row r="235">
          <cell r="K235">
            <v>91.81</v>
          </cell>
          <cell r="Q235">
            <v>1.5601</v>
          </cell>
        </row>
        <row r="236">
          <cell r="K236">
            <v>93.8</v>
          </cell>
          <cell r="Q236">
            <v>1.5939000000000001</v>
          </cell>
        </row>
        <row r="237">
          <cell r="K237">
            <v>93.94</v>
          </cell>
          <cell r="Q237">
            <v>1.5963000000000001</v>
          </cell>
        </row>
        <row r="238">
          <cell r="K238">
            <v>93</v>
          </cell>
          <cell r="Q238">
            <v>1.5803</v>
          </cell>
        </row>
        <row r="239">
          <cell r="K239">
            <v>93.28</v>
          </cell>
          <cell r="Q239">
            <v>1.5851</v>
          </cell>
        </row>
        <row r="240">
          <cell r="K240">
            <v>94.11</v>
          </cell>
          <cell r="Q240">
            <v>1.5992</v>
          </cell>
        </row>
        <row r="241">
          <cell r="K241">
            <v>92.71</v>
          </cell>
          <cell r="Q241">
            <v>1.5753999999999999</v>
          </cell>
        </row>
        <row r="242">
          <cell r="K242">
            <v>93.76</v>
          </cell>
          <cell r="Q242">
            <v>1.5932999999999999</v>
          </cell>
        </row>
        <row r="243">
          <cell r="K243">
            <v>93.45</v>
          </cell>
          <cell r="Q243">
            <v>1.5880000000000001</v>
          </cell>
        </row>
        <row r="244">
          <cell r="K244">
            <v>93.25</v>
          </cell>
          <cell r="Q244">
            <v>1.5846</v>
          </cell>
        </row>
        <row r="245">
          <cell r="K245">
            <v>93.99</v>
          </cell>
          <cell r="Q245">
            <v>1.5972</v>
          </cell>
        </row>
        <row r="246">
          <cell r="K246">
            <v>94.5</v>
          </cell>
          <cell r="Q246">
            <v>1.6057999999999999</v>
          </cell>
        </row>
        <row r="247">
          <cell r="K247">
            <v>95.36</v>
          </cell>
          <cell r="Q247">
            <v>1.6204000000000001</v>
          </cell>
        </row>
        <row r="248">
          <cell r="K248">
            <v>95.19</v>
          </cell>
          <cell r="Q248">
            <v>1.6175999999999999</v>
          </cell>
        </row>
        <row r="249">
          <cell r="K249">
            <v>95.03</v>
          </cell>
          <cell r="Q249">
            <v>1.6148</v>
          </cell>
        </row>
        <row r="250">
          <cell r="K250">
            <v>95</v>
          </cell>
          <cell r="Q250">
            <v>1.6143000000000001</v>
          </cell>
        </row>
        <row r="251">
          <cell r="K251">
            <v>94.73</v>
          </cell>
          <cell r="Q251">
            <v>1.6096999999999999</v>
          </cell>
        </row>
        <row r="252">
          <cell r="K252">
            <v>94.26</v>
          </cell>
          <cell r="Q252">
            <v>1.6017999999999999</v>
          </cell>
        </row>
        <row r="253">
          <cell r="K253">
            <v>94.57</v>
          </cell>
          <cell r="Q253">
            <v>1.607</v>
          </cell>
        </row>
        <row r="254">
          <cell r="K254">
            <v>94.26</v>
          </cell>
          <cell r="Q254">
            <v>1.6017999999999999</v>
          </cell>
        </row>
        <row r="255">
          <cell r="K255">
            <v>94.26</v>
          </cell>
          <cell r="Q255">
            <v>1.5618000000000001</v>
          </cell>
        </row>
        <row r="256">
          <cell r="K256">
            <v>96.1</v>
          </cell>
          <cell r="Q256">
            <v>1.5922000000000001</v>
          </cell>
        </row>
        <row r="257">
          <cell r="K257">
            <v>96.21</v>
          </cell>
          <cell r="Q257">
            <v>1.5941000000000001</v>
          </cell>
        </row>
        <row r="258">
          <cell r="K258">
            <v>96.52</v>
          </cell>
          <cell r="Q258">
            <v>1.5992</v>
          </cell>
        </row>
        <row r="259">
          <cell r="K259">
            <v>96.62</v>
          </cell>
          <cell r="Q259">
            <v>1.6009</v>
          </cell>
        </row>
        <row r="260">
          <cell r="K260">
            <v>96.46</v>
          </cell>
          <cell r="Q260">
            <v>1.5982000000000001</v>
          </cell>
        </row>
        <row r="261">
          <cell r="K261">
            <v>95.16</v>
          </cell>
          <cell r="Q261">
            <v>1.5767</v>
          </cell>
        </row>
        <row r="262">
          <cell r="K262">
            <v>95.67</v>
          </cell>
          <cell r="Q262">
            <v>1.5851</v>
          </cell>
        </row>
        <row r="263">
          <cell r="K263">
            <v>94.93</v>
          </cell>
          <cell r="Q263">
            <v>1.5729</v>
          </cell>
        </row>
        <row r="264">
          <cell r="K264">
            <v>96.18</v>
          </cell>
          <cell r="Q264">
            <v>1.5935999999999999</v>
          </cell>
        </row>
        <row r="265">
          <cell r="K265">
            <v>97.12</v>
          </cell>
          <cell r="Q265">
            <v>1.6091</v>
          </cell>
        </row>
        <row r="266">
          <cell r="K266">
            <v>94.8</v>
          </cell>
          <cell r="Q266">
            <v>1.5707</v>
          </cell>
        </row>
        <row r="267">
          <cell r="K267">
            <v>94.29</v>
          </cell>
          <cell r="Q267">
            <v>1.5622</v>
          </cell>
        </row>
        <row r="268">
          <cell r="K268">
            <v>94.58</v>
          </cell>
          <cell r="Q268">
            <v>1.5670999999999999</v>
          </cell>
        </row>
        <row r="269">
          <cell r="K269">
            <v>95.21</v>
          </cell>
          <cell r="Q269">
            <v>1.5774999999999999</v>
          </cell>
        </row>
        <row r="270">
          <cell r="K270">
            <v>98.49</v>
          </cell>
          <cell r="Q270">
            <v>1.6317999999999999</v>
          </cell>
        </row>
        <row r="271">
          <cell r="K271">
            <v>101.46</v>
          </cell>
          <cell r="Q271">
            <v>1.681</v>
          </cell>
        </row>
        <row r="272">
          <cell r="K272">
            <v>100.9</v>
          </cell>
          <cell r="Q272">
            <v>1.6718</v>
          </cell>
        </row>
        <row r="273">
          <cell r="K273">
            <v>101.17</v>
          </cell>
          <cell r="Q273">
            <v>1.6761999999999999</v>
          </cell>
        </row>
        <row r="274">
          <cell r="K274">
            <v>102.21</v>
          </cell>
          <cell r="Q274">
            <v>1.6935</v>
          </cell>
        </row>
        <row r="275">
          <cell r="K275">
            <v>103.17</v>
          </cell>
          <cell r="Q275">
            <v>1.7094</v>
          </cell>
        </row>
        <row r="276">
          <cell r="K276">
            <v>102.22</v>
          </cell>
          <cell r="Q276">
            <v>1.6936</v>
          </cell>
        </row>
        <row r="277">
          <cell r="K277">
            <v>102.8</v>
          </cell>
          <cell r="Q277">
            <v>1.7032</v>
          </cell>
        </row>
        <row r="278">
          <cell r="K278">
            <v>102.96</v>
          </cell>
          <cell r="Q278">
            <v>1.7059</v>
          </cell>
        </row>
        <row r="279">
          <cell r="K279">
            <v>103.16</v>
          </cell>
          <cell r="Q279">
            <v>1.7092000000000001</v>
          </cell>
        </row>
        <row r="280">
          <cell r="K280">
            <v>103.29</v>
          </cell>
          <cell r="Q280">
            <v>1.7114</v>
          </cell>
        </row>
        <row r="281">
          <cell r="K281">
            <v>104.38</v>
          </cell>
          <cell r="Q281">
            <v>1.7294</v>
          </cell>
        </row>
        <row r="282">
          <cell r="K282">
            <v>104.68</v>
          </cell>
          <cell r="Q282">
            <v>1.7343999999999999</v>
          </cell>
        </row>
        <row r="283">
          <cell r="K283">
            <v>105.98</v>
          </cell>
          <cell r="Q283">
            <v>1.7559</v>
          </cell>
        </row>
        <row r="284">
          <cell r="K284">
            <v>105.57</v>
          </cell>
          <cell r="Q284">
            <v>1.7491000000000001</v>
          </cell>
        </row>
        <row r="285">
          <cell r="K285">
            <v>104.83</v>
          </cell>
          <cell r="Q285">
            <v>1.7369000000000001</v>
          </cell>
        </row>
        <row r="286">
          <cell r="K286">
            <v>105.87</v>
          </cell>
          <cell r="Q286">
            <v>1.7541</v>
          </cell>
        </row>
        <row r="287">
          <cell r="K287">
            <v>105.31</v>
          </cell>
          <cell r="Q287">
            <v>1.7447999999999999</v>
          </cell>
        </row>
        <row r="288">
          <cell r="K288">
            <v>107.99</v>
          </cell>
          <cell r="Q288">
            <v>1.7891999999999999</v>
          </cell>
        </row>
        <row r="289">
          <cell r="K289">
            <v>107.04</v>
          </cell>
          <cell r="Q289">
            <v>1.7735000000000001</v>
          </cell>
        </row>
        <row r="290">
          <cell r="K290">
            <v>106.7</v>
          </cell>
          <cell r="Q290">
            <v>1.7679</v>
          </cell>
        </row>
        <row r="291">
          <cell r="K291">
            <v>105.58</v>
          </cell>
          <cell r="Q291">
            <v>1.7493000000000001</v>
          </cell>
        </row>
        <row r="292">
          <cell r="K292">
            <v>103.95</v>
          </cell>
          <cell r="Q292">
            <v>1.7222999999999999</v>
          </cell>
        </row>
        <row r="293">
          <cell r="K293">
            <v>105.18</v>
          </cell>
          <cell r="Q293">
            <v>1.7426999999999999</v>
          </cell>
        </row>
        <row r="294">
          <cell r="K294">
            <v>105.91</v>
          </cell>
          <cell r="Q294">
            <v>1.7547999999999999</v>
          </cell>
        </row>
        <row r="295">
          <cell r="K295">
            <v>106.93</v>
          </cell>
          <cell r="Q295">
            <v>1.7717000000000001</v>
          </cell>
        </row>
        <row r="296">
          <cell r="K296">
            <v>106.6</v>
          </cell>
          <cell r="Q296">
            <v>1.7662</v>
          </cell>
        </row>
        <row r="297">
          <cell r="K297">
            <v>106.54</v>
          </cell>
          <cell r="Q297">
            <v>1.7652000000000001</v>
          </cell>
        </row>
        <row r="298">
          <cell r="K298">
            <v>106.23</v>
          </cell>
          <cell r="Q298">
            <v>1.7601</v>
          </cell>
        </row>
        <row r="299">
          <cell r="K299">
            <v>105.84</v>
          </cell>
          <cell r="Q299">
            <v>1.7536</v>
          </cell>
        </row>
        <row r="300">
          <cell r="K300">
            <v>102.41</v>
          </cell>
          <cell r="Q300">
            <v>1.6968000000000001</v>
          </cell>
        </row>
        <row r="301">
          <cell r="K301">
            <v>101.8</v>
          </cell>
          <cell r="Q301">
            <v>1.6867000000000001</v>
          </cell>
        </row>
        <row r="302">
          <cell r="K302">
            <v>103.07</v>
          </cell>
          <cell r="Q302">
            <v>1.7077</v>
          </cell>
        </row>
        <row r="303">
          <cell r="K303">
            <v>103.22</v>
          </cell>
          <cell r="Q303">
            <v>1.7101999999999999</v>
          </cell>
        </row>
        <row r="304">
          <cell r="K304">
            <v>102.34</v>
          </cell>
          <cell r="Q304">
            <v>1.6956</v>
          </cell>
        </row>
        <row r="305">
          <cell r="K305">
            <v>103.12</v>
          </cell>
          <cell r="Q305">
            <v>1.7084999999999999</v>
          </cell>
        </row>
        <row r="306">
          <cell r="K306">
            <v>103.85</v>
          </cell>
          <cell r="Q306">
            <v>1.7205999999999999</v>
          </cell>
        </row>
        <row r="307">
          <cell r="K307">
            <v>105.09</v>
          </cell>
          <cell r="Q307">
            <v>1.7412000000000001</v>
          </cell>
        </row>
        <row r="308">
          <cell r="K308">
            <v>105.33</v>
          </cell>
          <cell r="Q308">
            <v>1.7452000000000001</v>
          </cell>
        </row>
        <row r="309">
          <cell r="K309">
            <v>106.5</v>
          </cell>
          <cell r="Q309">
            <v>1.7645</v>
          </cell>
        </row>
        <row r="310">
          <cell r="K310">
            <v>106</v>
          </cell>
          <cell r="Q310">
            <v>1.7563</v>
          </cell>
        </row>
        <row r="311">
          <cell r="K311">
            <v>106.6</v>
          </cell>
          <cell r="Q311">
            <v>1.7662</v>
          </cell>
        </row>
        <row r="312">
          <cell r="K312">
            <v>104.44</v>
          </cell>
          <cell r="Q312">
            <v>1.7303999999999999</v>
          </cell>
        </row>
        <row r="313">
          <cell r="K313">
            <v>105.1</v>
          </cell>
          <cell r="Q313">
            <v>1.7414000000000001</v>
          </cell>
        </row>
        <row r="314">
          <cell r="K314">
            <v>105.33</v>
          </cell>
          <cell r="Q314">
            <v>1.7452000000000001</v>
          </cell>
        </row>
        <row r="315">
          <cell r="K315">
            <v>105.43</v>
          </cell>
          <cell r="Q315">
            <v>1.7467999999999999</v>
          </cell>
        </row>
        <row r="316">
          <cell r="K316">
            <v>105.95</v>
          </cell>
          <cell r="Q316">
            <v>1.7554000000000001</v>
          </cell>
        </row>
        <row r="317">
          <cell r="K317">
            <v>105.25</v>
          </cell>
          <cell r="Q317">
            <v>1.7438</v>
          </cell>
        </row>
        <row r="318">
          <cell r="K318">
            <v>105.01</v>
          </cell>
          <cell r="Q318">
            <v>1.6777</v>
          </cell>
        </row>
        <row r="319">
          <cell r="K319">
            <v>106.58</v>
          </cell>
          <cell r="Q319">
            <v>1.7028000000000001</v>
          </cell>
        </row>
        <row r="320">
          <cell r="K320">
            <v>108.05</v>
          </cell>
          <cell r="Q320">
            <v>1.7262999999999999</v>
          </cell>
        </row>
        <row r="321">
          <cell r="K321">
            <v>109.03</v>
          </cell>
          <cell r="Q321">
            <v>1.742</v>
          </cell>
        </row>
        <row r="322">
          <cell r="K322">
            <v>108.97</v>
          </cell>
          <cell r="Q322">
            <v>1.7410000000000001</v>
          </cell>
        </row>
        <row r="323">
          <cell r="K323">
            <v>108.63</v>
          </cell>
          <cell r="Q323">
            <v>1.7356</v>
          </cell>
        </row>
        <row r="324">
          <cell r="K324">
            <v>109.1</v>
          </cell>
          <cell r="Q324">
            <v>1.7431000000000001</v>
          </cell>
        </row>
        <row r="325">
          <cell r="K325">
            <v>109.28</v>
          </cell>
          <cell r="Q325">
            <v>1.746</v>
          </cell>
        </row>
        <row r="326">
          <cell r="K326">
            <v>108.6</v>
          </cell>
          <cell r="Q326">
            <v>1.7351000000000001</v>
          </cell>
        </row>
        <row r="327">
          <cell r="K327">
            <v>109.66</v>
          </cell>
          <cell r="Q327">
            <v>1.752</v>
          </cell>
        </row>
        <row r="328">
          <cell r="K328">
            <v>110.77</v>
          </cell>
          <cell r="Q328">
            <v>1.7698</v>
          </cell>
        </row>
        <row r="329">
          <cell r="K329">
            <v>111.08</v>
          </cell>
          <cell r="Q329">
            <v>1.7746999999999999</v>
          </cell>
        </row>
        <row r="330">
          <cell r="K330">
            <v>115.86</v>
          </cell>
          <cell r="Q330">
            <v>1.8511</v>
          </cell>
        </row>
        <row r="331">
          <cell r="K331">
            <v>114.81</v>
          </cell>
          <cell r="Q331">
            <v>1.8343</v>
          </cell>
        </row>
        <row r="332">
          <cell r="K332">
            <v>116.38</v>
          </cell>
          <cell r="Q332">
            <v>1.8593999999999999</v>
          </cell>
        </row>
        <row r="333">
          <cell r="K333">
            <v>116.17</v>
          </cell>
          <cell r="Q333">
            <v>1.8560000000000001</v>
          </cell>
        </row>
        <row r="334">
          <cell r="K334">
            <v>118.1</v>
          </cell>
          <cell r="Q334">
            <v>1.8869</v>
          </cell>
        </row>
        <row r="335">
          <cell r="K335">
            <v>116.53</v>
          </cell>
          <cell r="Q335">
            <v>1.8617999999999999</v>
          </cell>
        </row>
        <row r="336">
          <cell r="K336">
            <v>115.62</v>
          </cell>
          <cell r="Q336">
            <v>1.8472999999999999</v>
          </cell>
        </row>
        <row r="337">
          <cell r="K337">
            <v>114.52</v>
          </cell>
          <cell r="Q337">
            <v>1.8297000000000001</v>
          </cell>
        </row>
        <row r="338">
          <cell r="K338">
            <v>110.65</v>
          </cell>
          <cell r="Q338">
            <v>1.7679</v>
          </cell>
        </row>
        <row r="339">
          <cell r="K339">
            <v>112.04</v>
          </cell>
          <cell r="Q339">
            <v>1.7901</v>
          </cell>
        </row>
        <row r="340">
          <cell r="K340">
            <v>113.23</v>
          </cell>
          <cell r="Q340">
            <v>1.8090999999999999</v>
          </cell>
        </row>
        <row r="341">
          <cell r="K341">
            <v>111.89</v>
          </cell>
          <cell r="Q341">
            <v>1.7877000000000001</v>
          </cell>
        </row>
        <row r="342">
          <cell r="K342">
            <v>113.89</v>
          </cell>
          <cell r="Q342">
            <v>1.8196000000000001</v>
          </cell>
        </row>
        <row r="343">
          <cell r="K343">
            <v>113.53</v>
          </cell>
          <cell r="Q343">
            <v>1.8139000000000001</v>
          </cell>
        </row>
        <row r="344">
          <cell r="K344">
            <v>112.98</v>
          </cell>
          <cell r="Q344">
            <v>1.8050999999999999</v>
          </cell>
        </row>
        <row r="345">
          <cell r="K345">
            <v>110.73</v>
          </cell>
          <cell r="Q345">
            <v>1.7690999999999999</v>
          </cell>
        </row>
        <row r="346">
          <cell r="K346">
            <v>112.64</v>
          </cell>
          <cell r="Q346">
            <v>1.7996000000000001</v>
          </cell>
        </row>
        <row r="347">
          <cell r="K347">
            <v>112.71</v>
          </cell>
          <cell r="Q347">
            <v>1.8008</v>
          </cell>
        </row>
        <row r="348">
          <cell r="K348">
            <v>112.05</v>
          </cell>
          <cell r="Q348">
            <v>1.7902</v>
          </cell>
        </row>
        <row r="349">
          <cell r="K349">
            <v>111.23</v>
          </cell>
          <cell r="Q349">
            <v>1.7770999999999999</v>
          </cell>
        </row>
        <row r="350">
          <cell r="K350">
            <v>109.69</v>
          </cell>
          <cell r="Q350">
            <v>1.7524999999999999</v>
          </cell>
        </row>
        <row r="351">
          <cell r="K351">
            <v>110.9</v>
          </cell>
          <cell r="Q351">
            <v>1.7718</v>
          </cell>
        </row>
        <row r="352">
          <cell r="K352">
            <v>109.22</v>
          </cell>
          <cell r="Q352">
            <v>1.7450000000000001</v>
          </cell>
        </row>
        <row r="353">
          <cell r="K353">
            <v>109.04</v>
          </cell>
          <cell r="Q353">
            <v>1.7421</v>
          </cell>
        </row>
        <row r="354">
          <cell r="K354">
            <v>110</v>
          </cell>
          <cell r="Q354">
            <v>1.7575000000000001</v>
          </cell>
        </row>
        <row r="355">
          <cell r="K355">
            <v>111.45</v>
          </cell>
          <cell r="Q355">
            <v>1.7806</v>
          </cell>
        </row>
        <row r="356">
          <cell r="K356">
            <v>113.24</v>
          </cell>
          <cell r="Q356">
            <v>1.8091999999999999</v>
          </cell>
        </row>
        <row r="357">
          <cell r="K357">
            <v>113.44</v>
          </cell>
          <cell r="Q357">
            <v>1.8124</v>
          </cell>
        </row>
        <row r="358">
          <cell r="K358">
            <v>112</v>
          </cell>
          <cell r="Q358">
            <v>1.7894000000000001</v>
          </cell>
        </row>
        <row r="359">
          <cell r="K359">
            <v>114.57</v>
          </cell>
          <cell r="Q359">
            <v>1.8305</v>
          </cell>
        </row>
        <row r="360">
          <cell r="K360">
            <v>115.37</v>
          </cell>
          <cell r="Q360">
            <v>1.8432999999999999</v>
          </cell>
        </row>
        <row r="361">
          <cell r="K361">
            <v>116.69</v>
          </cell>
          <cell r="Q361">
            <v>1.8644000000000001</v>
          </cell>
        </row>
        <row r="362">
          <cell r="K362">
            <v>118.19</v>
          </cell>
          <cell r="Q362">
            <v>1.8883000000000001</v>
          </cell>
        </row>
        <row r="363">
          <cell r="K363">
            <v>117.88</v>
          </cell>
          <cell r="Q363">
            <v>1.8834</v>
          </cell>
        </row>
        <row r="364">
          <cell r="K364">
            <v>117.62</v>
          </cell>
          <cell r="Q364">
            <v>1.8792</v>
          </cell>
        </row>
        <row r="365">
          <cell r="K365">
            <v>115.55</v>
          </cell>
          <cell r="Q365">
            <v>1.8461000000000001</v>
          </cell>
        </row>
        <row r="366">
          <cell r="K366">
            <v>115.8</v>
          </cell>
          <cell r="Q366">
            <v>1.8501000000000001</v>
          </cell>
        </row>
        <row r="367">
          <cell r="K367">
            <v>117.35</v>
          </cell>
          <cell r="Q367">
            <v>1.8749</v>
          </cell>
        </row>
        <row r="368">
          <cell r="K368">
            <v>116</v>
          </cell>
          <cell r="Q368">
            <v>1.8532999999999999</v>
          </cell>
        </row>
        <row r="369">
          <cell r="K369">
            <v>115.95</v>
          </cell>
          <cell r="Q369">
            <v>1.8525</v>
          </cell>
        </row>
        <row r="370">
          <cell r="K370">
            <v>115.13</v>
          </cell>
          <cell r="Q370">
            <v>1.8393999999999999</v>
          </cell>
        </row>
        <row r="371">
          <cell r="K371">
            <v>114.52</v>
          </cell>
          <cell r="Q371">
            <v>1.8297000000000001</v>
          </cell>
        </row>
        <row r="372">
          <cell r="K372">
            <v>116.63</v>
          </cell>
          <cell r="Q372">
            <v>1.8633999999999999</v>
          </cell>
        </row>
        <row r="373">
          <cell r="K373">
            <v>116.67</v>
          </cell>
          <cell r="Q373">
            <v>1.8640000000000001</v>
          </cell>
        </row>
        <row r="374">
          <cell r="K374">
            <v>116.86</v>
          </cell>
          <cell r="Q374">
            <v>1.8671</v>
          </cell>
        </row>
        <row r="375">
          <cell r="K375">
            <v>116.78</v>
          </cell>
          <cell r="Q375">
            <v>1.8657999999999999</v>
          </cell>
        </row>
        <row r="376">
          <cell r="K376">
            <v>116.25</v>
          </cell>
          <cell r="Q376">
            <v>1.8573</v>
          </cell>
        </row>
        <row r="377">
          <cell r="K377">
            <v>116.51</v>
          </cell>
          <cell r="Q377">
            <v>1.8614999999999999</v>
          </cell>
        </row>
        <row r="378">
          <cell r="K378">
            <v>117.3</v>
          </cell>
          <cell r="Q378">
            <v>1.8741000000000001</v>
          </cell>
        </row>
        <row r="379">
          <cell r="K379">
            <v>117.71</v>
          </cell>
          <cell r="Q379">
            <v>1.8806</v>
          </cell>
        </row>
        <row r="380">
          <cell r="K380">
            <v>117.8</v>
          </cell>
          <cell r="Q380">
            <v>1.8821000000000001</v>
          </cell>
        </row>
        <row r="381">
          <cell r="K381">
            <v>119.03</v>
          </cell>
          <cell r="Q381">
            <v>1.8323</v>
          </cell>
        </row>
        <row r="382">
          <cell r="K382">
            <v>118.36</v>
          </cell>
          <cell r="Q382">
            <v>1.8220000000000001</v>
          </cell>
        </row>
        <row r="383">
          <cell r="K383">
            <v>116.4</v>
          </cell>
          <cell r="Q383">
            <v>1.7918000000000001</v>
          </cell>
        </row>
        <row r="384">
          <cell r="K384">
            <v>115.69</v>
          </cell>
          <cell r="Q384">
            <v>1.7808999999999999</v>
          </cell>
        </row>
        <row r="385">
          <cell r="K385">
            <v>116.3</v>
          </cell>
          <cell r="Q385">
            <v>1.7903</v>
          </cell>
        </row>
        <row r="386">
          <cell r="K386">
            <v>117.77</v>
          </cell>
          <cell r="Q386">
            <v>1.8129</v>
          </cell>
        </row>
        <row r="387">
          <cell r="K387">
            <v>118.3</v>
          </cell>
          <cell r="Q387">
            <v>1.821</v>
          </cell>
        </row>
        <row r="388">
          <cell r="K388">
            <v>118.62</v>
          </cell>
          <cell r="Q388">
            <v>1.8260000000000001</v>
          </cell>
        </row>
        <row r="389">
          <cell r="K389">
            <v>118.05</v>
          </cell>
          <cell r="Q389">
            <v>1.8171999999999999</v>
          </cell>
        </row>
        <row r="390">
          <cell r="K390">
            <v>117.81</v>
          </cell>
          <cell r="Q390">
            <v>1.8134999999999999</v>
          </cell>
        </row>
        <row r="391">
          <cell r="K391">
            <v>118.03</v>
          </cell>
          <cell r="Q391">
            <v>1.8169</v>
          </cell>
        </row>
        <row r="392">
          <cell r="K392">
            <v>119.6</v>
          </cell>
          <cell r="Q392">
            <v>1.8411</v>
          </cell>
        </row>
        <row r="393">
          <cell r="K393">
            <v>115.78</v>
          </cell>
          <cell r="Q393">
            <v>1.7823</v>
          </cell>
        </row>
        <row r="394">
          <cell r="K394">
            <v>114.8</v>
          </cell>
          <cell r="Q394">
            <v>1.7672000000000001</v>
          </cell>
        </row>
        <row r="395">
          <cell r="K395">
            <v>112.28</v>
          </cell>
          <cell r="Q395">
            <v>1.7283999999999999</v>
          </cell>
        </row>
        <row r="396">
          <cell r="K396">
            <v>113.37</v>
          </cell>
          <cell r="Q396">
            <v>1.7452000000000001</v>
          </cell>
        </row>
        <row r="397">
          <cell r="K397">
            <v>114.68</v>
          </cell>
          <cell r="Q397">
            <v>1.7653000000000001</v>
          </cell>
        </row>
        <row r="398">
          <cell r="K398">
            <v>112.95</v>
          </cell>
          <cell r="Q398">
            <v>1.7386999999999999</v>
          </cell>
        </row>
        <row r="399">
          <cell r="K399">
            <v>112.81</v>
          </cell>
          <cell r="Q399">
            <v>1.7364999999999999</v>
          </cell>
        </row>
        <row r="400">
          <cell r="K400">
            <v>113.73</v>
          </cell>
          <cell r="Q400">
            <v>1.7506999999999999</v>
          </cell>
        </row>
        <row r="401">
          <cell r="K401">
            <v>114.8</v>
          </cell>
          <cell r="Q401">
            <v>1.7672000000000001</v>
          </cell>
        </row>
        <row r="402">
          <cell r="K402">
            <v>114.12</v>
          </cell>
          <cell r="Q402">
            <v>1.7566999999999999</v>
          </cell>
        </row>
        <row r="403">
          <cell r="K403">
            <v>116.12</v>
          </cell>
          <cell r="Q403">
            <v>1.7875000000000001</v>
          </cell>
        </row>
        <row r="404">
          <cell r="K404">
            <v>113.65</v>
          </cell>
          <cell r="Q404">
            <v>1.7495000000000001</v>
          </cell>
        </row>
        <row r="405">
          <cell r="K405">
            <v>114.59</v>
          </cell>
          <cell r="Q405">
            <v>1.7639</v>
          </cell>
        </row>
        <row r="406">
          <cell r="K406">
            <v>113.4</v>
          </cell>
          <cell r="Q406">
            <v>1.7456</v>
          </cell>
        </row>
        <row r="407">
          <cell r="K407">
            <v>113.17</v>
          </cell>
          <cell r="Q407">
            <v>1.7421</v>
          </cell>
        </row>
        <row r="408">
          <cell r="K408">
            <v>111.08</v>
          </cell>
          <cell r="Q408">
            <v>1.7099</v>
          </cell>
        </row>
        <row r="409">
          <cell r="K409">
            <v>106.11</v>
          </cell>
          <cell r="Q409">
            <v>1.6334</v>
          </cell>
        </row>
        <row r="410">
          <cell r="K410">
            <v>100.2542</v>
          </cell>
          <cell r="Q410">
            <v>1.5432999999999999</v>
          </cell>
        </row>
        <row r="411">
          <cell r="K411">
            <v>101.45</v>
          </cell>
          <cell r="Q411">
            <v>1.5617000000000001</v>
          </cell>
        </row>
        <row r="412">
          <cell r="K412">
            <v>105.27</v>
          </cell>
          <cell r="Q412">
            <v>1.6205000000000001</v>
          </cell>
        </row>
        <row r="413">
          <cell r="K413">
            <v>103.44</v>
          </cell>
          <cell r="Q413">
            <v>1.5923</v>
          </cell>
        </row>
        <row r="414">
          <cell r="K414">
            <v>103.6</v>
          </cell>
          <cell r="Q414">
            <v>1.5948</v>
          </cell>
        </row>
        <row r="415">
          <cell r="K415">
            <v>104.79</v>
          </cell>
          <cell r="Q415">
            <v>1.6131</v>
          </cell>
        </row>
        <row r="416">
          <cell r="K416">
            <v>102.22</v>
          </cell>
          <cell r="Q416">
            <v>1.5734999999999999</v>
          </cell>
        </row>
        <row r="417">
          <cell r="K417">
            <v>103.42</v>
          </cell>
          <cell r="Q417">
            <v>1.5920000000000001</v>
          </cell>
        </row>
        <row r="418">
          <cell r="K418">
            <v>102.22</v>
          </cell>
          <cell r="Q418">
            <v>1.5734999999999999</v>
          </cell>
        </row>
        <row r="419">
          <cell r="K419">
            <v>104.05</v>
          </cell>
          <cell r="Q419">
            <v>1.6016999999999999</v>
          </cell>
        </row>
        <row r="420">
          <cell r="K420">
            <v>101.97</v>
          </cell>
          <cell r="Q420">
            <v>1.5697000000000001</v>
          </cell>
        </row>
        <row r="421">
          <cell r="K421">
            <v>103.83</v>
          </cell>
          <cell r="Q421">
            <v>1.5983000000000001</v>
          </cell>
        </row>
        <row r="422">
          <cell r="K422">
            <v>107.37</v>
          </cell>
          <cell r="Q422">
            <v>1.6528</v>
          </cell>
        </row>
        <row r="423">
          <cell r="K423">
            <v>107.5</v>
          </cell>
          <cell r="Q423">
            <v>1.6548</v>
          </cell>
        </row>
        <row r="424">
          <cell r="K424">
            <v>105.18</v>
          </cell>
          <cell r="Q424">
            <v>1.6191</v>
          </cell>
        </row>
        <row r="425">
          <cell r="K425">
            <v>105.83</v>
          </cell>
          <cell r="Q425">
            <v>1.6291</v>
          </cell>
        </row>
        <row r="426">
          <cell r="K426">
            <v>106.63</v>
          </cell>
          <cell r="Q426">
            <v>1.6414</v>
          </cell>
        </row>
        <row r="427">
          <cell r="K427">
            <v>108.16</v>
          </cell>
          <cell r="Q427">
            <v>1.665</v>
          </cell>
        </row>
        <row r="428">
          <cell r="K428">
            <v>109.7</v>
          </cell>
          <cell r="Q428">
            <v>1.6887000000000001</v>
          </cell>
        </row>
        <row r="429">
          <cell r="K429">
            <v>108.86</v>
          </cell>
          <cell r="Q429">
            <v>1.6757</v>
          </cell>
        </row>
        <row r="430">
          <cell r="K430">
            <v>109.39</v>
          </cell>
          <cell r="Q430">
            <v>1.6839</v>
          </cell>
        </row>
        <row r="431">
          <cell r="K431">
            <v>106.99</v>
          </cell>
          <cell r="Q431">
            <v>1.6469</v>
          </cell>
        </row>
        <row r="432">
          <cell r="K432">
            <v>108.47</v>
          </cell>
          <cell r="Q432">
            <v>1.6697</v>
          </cell>
        </row>
        <row r="433">
          <cell r="K433">
            <v>108.18</v>
          </cell>
          <cell r="Q433">
            <v>1.6653</v>
          </cell>
        </row>
        <row r="434">
          <cell r="K434">
            <v>105.77</v>
          </cell>
          <cell r="Q434">
            <v>1.6282000000000001</v>
          </cell>
        </row>
        <row r="435">
          <cell r="K435">
            <v>104.53</v>
          </cell>
          <cell r="Q435">
            <v>1.6091</v>
          </cell>
        </row>
        <row r="436">
          <cell r="K436">
            <v>106.31</v>
          </cell>
          <cell r="Q436">
            <v>1.6365000000000001</v>
          </cell>
        </row>
        <row r="437">
          <cell r="K437">
            <v>107.14</v>
          </cell>
          <cell r="Q437">
            <v>1.6493</v>
          </cell>
        </row>
        <row r="438">
          <cell r="K438">
            <v>108.84</v>
          </cell>
          <cell r="Q438">
            <v>1.6754</v>
          </cell>
        </row>
        <row r="439">
          <cell r="K439">
            <v>111.05</v>
          </cell>
          <cell r="Q439">
            <v>1.7094</v>
          </cell>
        </row>
        <row r="440">
          <cell r="K440">
            <v>111.65</v>
          </cell>
          <cell r="Q440">
            <v>1.7186999999999999</v>
          </cell>
        </row>
        <row r="441">
          <cell r="K441">
            <v>111.56</v>
          </cell>
          <cell r="Q441">
            <v>1.7173</v>
          </cell>
        </row>
        <row r="442">
          <cell r="K442">
            <v>109.6</v>
          </cell>
          <cell r="Q442">
            <v>1.6871</v>
          </cell>
        </row>
        <row r="443">
          <cell r="K443">
            <v>110.09</v>
          </cell>
          <cell r="Q443">
            <v>1.6947000000000001</v>
          </cell>
        </row>
        <row r="444">
          <cell r="K444">
            <v>108.1</v>
          </cell>
          <cell r="Q444">
            <v>1.5943000000000001</v>
          </cell>
        </row>
        <row r="445">
          <cell r="K445">
            <v>104.69</v>
          </cell>
          <cell r="Q445">
            <v>1.544</v>
          </cell>
        </row>
        <row r="446">
          <cell r="K446">
            <v>104.9</v>
          </cell>
          <cell r="Q446">
            <v>1.5470999999999999</v>
          </cell>
        </row>
        <row r="447">
          <cell r="K447">
            <v>101.13</v>
          </cell>
          <cell r="Q447">
            <v>1.4915</v>
          </cell>
        </row>
        <row r="448">
          <cell r="K448">
            <v>100.05</v>
          </cell>
          <cell r="Q448">
            <v>1.4755</v>
          </cell>
        </row>
        <row r="449">
          <cell r="K449">
            <v>97.59</v>
          </cell>
          <cell r="Q449">
            <v>1.4393</v>
          </cell>
        </row>
        <row r="450">
          <cell r="K450">
            <v>98.31</v>
          </cell>
          <cell r="Q450">
            <v>1.4499</v>
          </cell>
        </row>
        <row r="451">
          <cell r="K451">
            <v>99.92</v>
          </cell>
          <cell r="Q451">
            <v>1.4736</v>
          </cell>
        </row>
        <row r="452">
          <cell r="K452">
            <v>97.67</v>
          </cell>
          <cell r="Q452">
            <v>1.4403999999999999</v>
          </cell>
        </row>
        <row r="453">
          <cell r="K453">
            <v>102.93</v>
          </cell>
          <cell r="Q453">
            <v>1.518</v>
          </cell>
        </row>
        <row r="454">
          <cell r="K454">
            <v>101.83</v>
          </cell>
          <cell r="Q454">
            <v>1.5018</v>
          </cell>
        </row>
        <row r="455">
          <cell r="K455">
            <v>101.63</v>
          </cell>
          <cell r="Q455">
            <v>1.4987999999999999</v>
          </cell>
        </row>
        <row r="456">
          <cell r="K456">
            <v>101.1</v>
          </cell>
          <cell r="Q456">
            <v>1.4910000000000001</v>
          </cell>
        </row>
        <row r="457">
          <cell r="K457">
            <v>103.4</v>
          </cell>
          <cell r="Q457">
            <v>1.5249999999999999</v>
          </cell>
        </row>
        <row r="458">
          <cell r="K458">
            <v>101.22</v>
          </cell>
          <cell r="Q458">
            <v>1.4927999999999999</v>
          </cell>
        </row>
        <row r="459">
          <cell r="K459">
            <v>106.1</v>
          </cell>
          <cell r="Q459">
            <v>1.5648</v>
          </cell>
        </row>
        <row r="460">
          <cell r="K460">
            <v>106.91</v>
          </cell>
          <cell r="Q460">
            <v>1.5767</v>
          </cell>
        </row>
        <row r="461">
          <cell r="K461">
            <v>104.52</v>
          </cell>
          <cell r="Q461">
            <v>1.5415000000000001</v>
          </cell>
        </row>
        <row r="462">
          <cell r="K462">
            <v>104.98</v>
          </cell>
          <cell r="Q462">
            <v>1.5483</v>
          </cell>
        </row>
        <row r="463">
          <cell r="K463">
            <v>106.1</v>
          </cell>
          <cell r="Q463">
            <v>1.5648</v>
          </cell>
        </row>
        <row r="464">
          <cell r="K464">
            <v>105.65</v>
          </cell>
          <cell r="Q464">
            <v>1.5581</v>
          </cell>
        </row>
        <row r="465">
          <cell r="K465">
            <v>107.11</v>
          </cell>
          <cell r="Q465">
            <v>1.5797000000000001</v>
          </cell>
        </row>
        <row r="466">
          <cell r="K466">
            <v>109.08</v>
          </cell>
          <cell r="Q466">
            <v>1.6087</v>
          </cell>
        </row>
        <row r="467">
          <cell r="K467">
            <v>107.93</v>
          </cell>
          <cell r="Q467">
            <v>1.5918000000000001</v>
          </cell>
        </row>
        <row r="468">
          <cell r="K468">
            <v>105.02</v>
          </cell>
          <cell r="Q468">
            <v>1.5488</v>
          </cell>
        </row>
        <row r="469">
          <cell r="K469">
            <v>103.59</v>
          </cell>
          <cell r="Q469">
            <v>1.5278</v>
          </cell>
        </row>
        <row r="470">
          <cell r="K470">
            <v>102.34</v>
          </cell>
          <cell r="Q470">
            <v>1.5093000000000001</v>
          </cell>
        </row>
        <row r="471">
          <cell r="K471">
            <v>103.27</v>
          </cell>
          <cell r="Q471">
            <v>1.5229999999999999</v>
          </cell>
        </row>
        <row r="472">
          <cell r="K472">
            <v>105.14</v>
          </cell>
          <cell r="Q472">
            <v>1.5506</v>
          </cell>
        </row>
        <row r="473">
          <cell r="K473">
            <v>106.53</v>
          </cell>
          <cell r="Q473">
            <v>1.5710999999999999</v>
          </cell>
        </row>
        <row r="474">
          <cell r="K474">
            <v>108.42</v>
          </cell>
          <cell r="Q474">
            <v>1.599</v>
          </cell>
        </row>
        <row r="475">
          <cell r="K475">
            <v>106.13</v>
          </cell>
          <cell r="Q475">
            <v>1.5651999999999999</v>
          </cell>
        </row>
        <row r="476">
          <cell r="K476">
            <v>106.16</v>
          </cell>
          <cell r="Q476">
            <v>1.5657000000000001</v>
          </cell>
        </row>
        <row r="477">
          <cell r="K477">
            <v>105</v>
          </cell>
          <cell r="Q477">
            <v>1.5486</v>
          </cell>
        </row>
        <row r="478">
          <cell r="K478">
            <v>107.85</v>
          </cell>
          <cell r="Q478">
            <v>1.5906</v>
          </cell>
        </row>
        <row r="479">
          <cell r="K479">
            <v>106.93</v>
          </cell>
          <cell r="Q479">
            <v>1.577</v>
          </cell>
        </row>
        <row r="480">
          <cell r="K480">
            <v>108.07</v>
          </cell>
          <cell r="Q480">
            <v>1.5938000000000001</v>
          </cell>
        </row>
        <row r="481">
          <cell r="K481">
            <v>110.08</v>
          </cell>
          <cell r="Q481">
            <v>1.6234999999999999</v>
          </cell>
        </row>
        <row r="482">
          <cell r="K482">
            <v>114.38</v>
          </cell>
          <cell r="Q482">
            <v>1.6869000000000001</v>
          </cell>
        </row>
        <row r="483">
          <cell r="K483">
            <v>116.46</v>
          </cell>
          <cell r="Q483">
            <v>1.7176</v>
          </cell>
        </row>
        <row r="484">
          <cell r="K484">
            <v>115.24</v>
          </cell>
          <cell r="Q484">
            <v>1.6996</v>
          </cell>
        </row>
        <row r="485">
          <cell r="K485">
            <v>113.86</v>
          </cell>
          <cell r="Q485">
            <v>1.6792</v>
          </cell>
        </row>
        <row r="486">
          <cell r="K486">
            <v>114.23</v>
          </cell>
          <cell r="Q486">
            <v>1.6847000000000001</v>
          </cell>
        </row>
        <row r="487">
          <cell r="K487">
            <v>115.71</v>
          </cell>
          <cell r="Q487">
            <v>1.7064999999999999</v>
          </cell>
        </row>
        <row r="488">
          <cell r="K488">
            <v>115.39</v>
          </cell>
          <cell r="Q488">
            <v>1.7018</v>
          </cell>
        </row>
        <row r="489">
          <cell r="K489">
            <v>112.52</v>
          </cell>
          <cell r="Q489">
            <v>1.6595</v>
          </cell>
        </row>
        <row r="490">
          <cell r="K490">
            <v>113.94</v>
          </cell>
          <cell r="Q490">
            <v>1.6803999999999999</v>
          </cell>
        </row>
        <row r="491">
          <cell r="K491">
            <v>114.01</v>
          </cell>
          <cell r="Q491">
            <v>1.6814</v>
          </cell>
        </row>
        <row r="492">
          <cell r="K492">
            <v>116.49</v>
          </cell>
          <cell r="Q492">
            <v>1.718</v>
          </cell>
        </row>
        <row r="493">
          <cell r="K493">
            <v>117.07</v>
          </cell>
          <cell r="Q493">
            <v>1.7265999999999999</v>
          </cell>
        </row>
        <row r="494">
          <cell r="K494">
            <v>115.91</v>
          </cell>
          <cell r="Q494">
            <v>1.7095</v>
          </cell>
        </row>
        <row r="495">
          <cell r="K495">
            <v>115.23009999999999</v>
          </cell>
          <cell r="Q495">
            <v>1.6994</v>
          </cell>
        </row>
        <row r="496">
          <cell r="K496">
            <v>115.55</v>
          </cell>
          <cell r="Q496">
            <v>1.7040999999999999</v>
          </cell>
        </row>
        <row r="497">
          <cell r="K497">
            <v>118.41</v>
          </cell>
          <cell r="Q497">
            <v>1.7463</v>
          </cell>
        </row>
        <row r="498">
          <cell r="K498">
            <v>116.94</v>
          </cell>
          <cell r="Q498">
            <v>1.7245999999999999</v>
          </cell>
        </row>
        <row r="499">
          <cell r="K499">
            <v>118.33</v>
          </cell>
          <cell r="Q499">
            <v>1.7451000000000001</v>
          </cell>
        </row>
        <row r="500">
          <cell r="K500">
            <v>119.06</v>
          </cell>
          <cell r="Q500">
            <v>1.7559</v>
          </cell>
        </row>
        <row r="501">
          <cell r="K501">
            <v>117.97</v>
          </cell>
          <cell r="Q501">
            <v>1.7398</v>
          </cell>
        </row>
        <row r="502">
          <cell r="K502">
            <v>116.91</v>
          </cell>
          <cell r="Q502">
            <v>1.7242</v>
          </cell>
        </row>
        <row r="503">
          <cell r="K503">
            <v>115.52</v>
          </cell>
          <cell r="Q503">
            <v>1.7037</v>
          </cell>
        </row>
        <row r="504">
          <cell r="K504">
            <v>114.57</v>
          </cell>
          <cell r="Q504">
            <v>1.6897</v>
          </cell>
        </row>
        <row r="505">
          <cell r="K505">
            <v>115.14</v>
          </cell>
          <cell r="Q505">
            <v>1.625</v>
          </cell>
        </row>
        <row r="506">
          <cell r="K506">
            <v>116.49</v>
          </cell>
          <cell r="Q506">
            <v>1.6439999999999999</v>
          </cell>
        </row>
        <row r="507">
          <cell r="K507">
            <v>114.81</v>
          </cell>
          <cell r="Q507">
            <v>1.6203000000000001</v>
          </cell>
        </row>
        <row r="508">
          <cell r="K508">
            <v>116.02</v>
          </cell>
          <cell r="Q508">
            <v>1.6374</v>
          </cell>
        </row>
        <row r="509">
          <cell r="K509">
            <v>115.76</v>
          </cell>
          <cell r="Q509">
            <v>1.6336999999999999</v>
          </cell>
        </row>
        <row r="510">
          <cell r="K510">
            <v>116.31</v>
          </cell>
          <cell r="Q510">
            <v>1.6415</v>
          </cell>
        </row>
        <row r="511">
          <cell r="K511">
            <v>116.27</v>
          </cell>
          <cell r="Q511">
            <v>1.6409</v>
          </cell>
        </row>
        <row r="512">
          <cell r="K512">
            <v>116.77</v>
          </cell>
          <cell r="Q512">
            <v>1.6479999999999999</v>
          </cell>
        </row>
        <row r="513">
          <cell r="K513">
            <v>118.78</v>
          </cell>
          <cell r="Q513">
            <v>1.6762999999999999</v>
          </cell>
        </row>
        <row r="514">
          <cell r="K514">
            <v>116</v>
          </cell>
          <cell r="Q514">
            <v>1.6371</v>
          </cell>
        </row>
        <row r="515">
          <cell r="K515">
            <v>117.28</v>
          </cell>
          <cell r="Q515">
            <v>1.6552</v>
          </cell>
        </row>
        <row r="516">
          <cell r="K516">
            <v>117.17</v>
          </cell>
          <cell r="Q516">
            <v>1.6536</v>
          </cell>
        </row>
        <row r="517">
          <cell r="K517">
            <v>120.47</v>
          </cell>
          <cell r="Q517">
            <v>1.7001999999999999</v>
          </cell>
        </row>
        <row r="518">
          <cell r="K518">
            <v>123.08</v>
          </cell>
          <cell r="Q518">
            <v>1.7370000000000001</v>
          </cell>
        </row>
        <row r="519">
          <cell r="K519">
            <v>124.4</v>
          </cell>
          <cell r="Q519">
            <v>1.7556</v>
          </cell>
        </row>
        <row r="520">
          <cell r="K520">
            <v>124.35</v>
          </cell>
          <cell r="Q520">
            <v>1.7548999999999999</v>
          </cell>
        </row>
        <row r="521">
          <cell r="K521">
            <v>123.67</v>
          </cell>
          <cell r="Q521">
            <v>1.7453000000000001</v>
          </cell>
        </row>
        <row r="522">
          <cell r="K522">
            <v>123.6</v>
          </cell>
          <cell r="Q522">
            <v>1.7444</v>
          </cell>
        </row>
        <row r="523">
          <cell r="K523">
            <v>124.19</v>
          </cell>
          <cell r="Q523">
            <v>1.7526999999999999</v>
          </cell>
        </row>
        <row r="524">
          <cell r="K524">
            <v>123.08</v>
          </cell>
          <cell r="Q524">
            <v>1.7370000000000001</v>
          </cell>
        </row>
        <row r="525">
          <cell r="K525">
            <v>121.69</v>
          </cell>
          <cell r="Q525">
            <v>1.7174</v>
          </cell>
        </row>
        <row r="526">
          <cell r="K526">
            <v>122.85</v>
          </cell>
          <cell r="Q526">
            <v>1.7338</v>
          </cell>
        </row>
        <row r="527">
          <cell r="K527">
            <v>120.7</v>
          </cell>
          <cell r="Q527">
            <v>1.7034</v>
          </cell>
        </row>
        <row r="528">
          <cell r="K528">
            <v>123.61</v>
          </cell>
          <cell r="Q528">
            <v>1.7444999999999999</v>
          </cell>
        </row>
        <row r="529">
          <cell r="K529">
            <v>123.18</v>
          </cell>
          <cell r="Q529">
            <v>1.7383999999999999</v>
          </cell>
        </row>
        <row r="530">
          <cell r="K530">
            <v>122.03</v>
          </cell>
          <cell r="Q530">
            <v>1.7222</v>
          </cell>
        </row>
        <row r="531">
          <cell r="K531">
            <v>122.82</v>
          </cell>
          <cell r="Q531">
            <v>1.7333000000000001</v>
          </cell>
        </row>
        <row r="532">
          <cell r="K532">
            <v>124.14</v>
          </cell>
          <cell r="Q532">
            <v>1.752</v>
          </cell>
        </row>
        <row r="533">
          <cell r="K533">
            <v>124.92</v>
          </cell>
          <cell r="Q533">
            <v>1.7629999999999999</v>
          </cell>
        </row>
        <row r="534">
          <cell r="K534">
            <v>124.06</v>
          </cell>
          <cell r="Q534">
            <v>1.7507999999999999</v>
          </cell>
        </row>
        <row r="535">
          <cell r="K535">
            <v>125.24</v>
          </cell>
          <cell r="Q535">
            <v>1.7675000000000001</v>
          </cell>
        </row>
        <row r="536">
          <cell r="K536">
            <v>126.58</v>
          </cell>
          <cell r="Q536">
            <v>1.7864</v>
          </cell>
        </row>
        <row r="537">
          <cell r="K537">
            <v>127.52</v>
          </cell>
          <cell r="Q537">
            <v>1.7997000000000001</v>
          </cell>
        </row>
        <row r="538">
          <cell r="K538">
            <v>128.46001000000001</v>
          </cell>
          <cell r="Q538">
            <v>1.8129</v>
          </cell>
        </row>
        <row r="539">
          <cell r="K539">
            <v>127.82</v>
          </cell>
          <cell r="Q539">
            <v>1.8039000000000001</v>
          </cell>
        </row>
        <row r="540">
          <cell r="K540">
            <v>126.49</v>
          </cell>
          <cell r="Q540">
            <v>1.7850999999999999</v>
          </cell>
        </row>
        <row r="541">
          <cell r="K541">
            <v>125.18</v>
          </cell>
          <cell r="Q541">
            <v>1.7665999999999999</v>
          </cell>
        </row>
        <row r="542">
          <cell r="K542">
            <v>123.62</v>
          </cell>
          <cell r="Q542">
            <v>1.7445999999999999</v>
          </cell>
        </row>
        <row r="543">
          <cell r="K543">
            <v>124.7</v>
          </cell>
          <cell r="Q543">
            <v>1.7599</v>
          </cell>
        </row>
        <row r="544">
          <cell r="K544">
            <v>124.2</v>
          </cell>
          <cell r="Q544">
            <v>1.7527999999999999</v>
          </cell>
        </row>
        <row r="545">
          <cell r="K545">
            <v>127.32</v>
          </cell>
          <cell r="Q545">
            <v>1.7968999999999999</v>
          </cell>
        </row>
        <row r="546">
          <cell r="K546">
            <v>129.54</v>
          </cell>
          <cell r="Q546">
            <v>1.8282</v>
          </cell>
        </row>
        <row r="547">
          <cell r="K547">
            <v>129.71001000000001</v>
          </cell>
          <cell r="Q547">
            <v>1.8306</v>
          </cell>
        </row>
        <row r="548">
          <cell r="K548">
            <v>129.43</v>
          </cell>
          <cell r="Q548">
            <v>1.8266</v>
          </cell>
        </row>
        <row r="549">
          <cell r="K549">
            <v>127.36</v>
          </cell>
          <cell r="Q549">
            <v>1.7974000000000001</v>
          </cell>
        </row>
        <row r="550">
          <cell r="K550">
            <v>127.84</v>
          </cell>
          <cell r="Q550">
            <v>1.8042</v>
          </cell>
        </row>
        <row r="551">
          <cell r="K551">
            <v>127.55</v>
          </cell>
          <cell r="Q551">
            <v>1.8001</v>
          </cell>
        </row>
        <row r="552">
          <cell r="K552">
            <v>128.47</v>
          </cell>
          <cell r="Q552">
            <v>1.8130999999999999</v>
          </cell>
        </row>
        <row r="553">
          <cell r="K553">
            <v>124.94</v>
          </cell>
          <cell r="Q553">
            <v>1.7633000000000001</v>
          </cell>
        </row>
        <row r="554">
          <cell r="K554">
            <v>125.86</v>
          </cell>
          <cell r="Q554">
            <v>1.7762</v>
          </cell>
        </row>
        <row r="555">
          <cell r="K555">
            <v>125.94</v>
          </cell>
          <cell r="Q555">
            <v>1.7774000000000001</v>
          </cell>
        </row>
        <row r="556">
          <cell r="K556">
            <v>123.25</v>
          </cell>
          <cell r="Q556">
            <v>1.7394000000000001</v>
          </cell>
        </row>
        <row r="557">
          <cell r="K557">
            <v>123.85</v>
          </cell>
          <cell r="Q557">
            <v>1.7479</v>
          </cell>
        </row>
        <row r="558">
          <cell r="K558">
            <v>126.15</v>
          </cell>
          <cell r="Q558">
            <v>1.7803</v>
          </cell>
        </row>
        <row r="559">
          <cell r="K559">
            <v>126.71</v>
          </cell>
          <cell r="Q559">
            <v>1.7882</v>
          </cell>
        </row>
        <row r="560">
          <cell r="K560">
            <v>125.1</v>
          </cell>
          <cell r="Q560">
            <v>1.7655000000000001</v>
          </cell>
        </row>
        <row r="561">
          <cell r="K561">
            <v>124.16</v>
          </cell>
          <cell r="Q561">
            <v>1.7523</v>
          </cell>
        </row>
        <row r="562">
          <cell r="K562">
            <v>125.02</v>
          </cell>
          <cell r="Q562">
            <v>1.7644</v>
          </cell>
        </row>
        <row r="563">
          <cell r="K563">
            <v>122.74</v>
          </cell>
          <cell r="Q563">
            <v>1.7322</v>
          </cell>
        </row>
        <row r="564">
          <cell r="K564">
            <v>123.46</v>
          </cell>
          <cell r="Q564">
            <v>1.7423999999999999</v>
          </cell>
        </row>
        <row r="565">
          <cell r="K565">
            <v>123.46</v>
          </cell>
          <cell r="Q565">
            <v>1.7423999999999999</v>
          </cell>
        </row>
        <row r="566">
          <cell r="K566">
            <v>124.58</v>
          </cell>
          <cell r="Q566">
            <v>1.7582</v>
          </cell>
        </row>
        <row r="567">
          <cell r="K567">
            <v>121.13</v>
          </cell>
          <cell r="Q567">
            <v>1.7095</v>
          </cell>
        </row>
        <row r="568">
          <cell r="K568">
            <v>120.05</v>
          </cell>
          <cell r="Q568">
            <v>1.6942999999999999</v>
          </cell>
        </row>
        <row r="569">
          <cell r="K569">
            <v>118.53</v>
          </cell>
          <cell r="Q569">
            <v>1.6072</v>
          </cell>
        </row>
        <row r="570">
          <cell r="K570">
            <v>119.27</v>
          </cell>
          <cell r="Q570">
            <v>1.6173</v>
          </cell>
        </row>
        <row r="571">
          <cell r="K571">
            <v>119.1</v>
          </cell>
          <cell r="Q571">
            <v>1.615</v>
          </cell>
        </row>
        <row r="572">
          <cell r="K572">
            <v>119.54</v>
          </cell>
          <cell r="Q572">
            <v>1.6209</v>
          </cell>
        </row>
        <row r="573">
          <cell r="K573">
            <v>121.5</v>
          </cell>
          <cell r="Q573">
            <v>1.6475</v>
          </cell>
        </row>
        <row r="574">
          <cell r="K574">
            <v>123.88</v>
          </cell>
          <cell r="Q574">
            <v>1.6798</v>
          </cell>
        </row>
        <row r="575">
          <cell r="K575">
            <v>120.4</v>
          </cell>
          <cell r="Q575">
            <v>1.6326000000000001</v>
          </cell>
        </row>
        <row r="576">
          <cell r="K576">
            <v>123.18</v>
          </cell>
          <cell r="Q576">
            <v>1.6702999999999999</v>
          </cell>
        </row>
        <row r="577">
          <cell r="K577">
            <v>122.12</v>
          </cell>
          <cell r="Q577">
            <v>1.6558999999999999</v>
          </cell>
        </row>
        <row r="578">
          <cell r="K578">
            <v>121.54</v>
          </cell>
          <cell r="Q578">
            <v>1.6480999999999999</v>
          </cell>
        </row>
        <row r="579">
          <cell r="K579">
            <v>123.2</v>
          </cell>
          <cell r="Q579">
            <v>1.6706000000000001</v>
          </cell>
        </row>
        <row r="580">
          <cell r="K580">
            <v>125.94</v>
          </cell>
          <cell r="Q580">
            <v>1.7077</v>
          </cell>
        </row>
        <row r="581">
          <cell r="K581">
            <v>126.52</v>
          </cell>
          <cell r="Q581">
            <v>1.7156</v>
          </cell>
        </row>
        <row r="582">
          <cell r="K582">
            <v>129.88999999999999</v>
          </cell>
          <cell r="Q582">
            <v>1.7613000000000001</v>
          </cell>
        </row>
        <row r="583">
          <cell r="K583">
            <v>128.66</v>
          </cell>
          <cell r="Q583">
            <v>1.7445999999999999</v>
          </cell>
        </row>
        <row r="584">
          <cell r="K584">
            <v>130</v>
          </cell>
          <cell r="Q584">
            <v>1.7627999999999999</v>
          </cell>
        </row>
        <row r="585">
          <cell r="K585">
            <v>129.52000000000001</v>
          </cell>
          <cell r="Q585">
            <v>1.7563</v>
          </cell>
        </row>
        <row r="586">
          <cell r="K586">
            <v>130</v>
          </cell>
          <cell r="Q586">
            <v>1.7627999999999999</v>
          </cell>
        </row>
        <row r="587">
          <cell r="K587">
            <v>128.53</v>
          </cell>
          <cell r="Q587">
            <v>1.7427999999999999</v>
          </cell>
        </row>
        <row r="588">
          <cell r="K588">
            <v>126.25</v>
          </cell>
          <cell r="Q588">
            <v>1.7119</v>
          </cell>
        </row>
        <row r="589">
          <cell r="K589">
            <v>127.66</v>
          </cell>
          <cell r="Q589">
            <v>1.7310000000000001</v>
          </cell>
        </row>
        <row r="590">
          <cell r="K590">
            <v>128.86000000000001</v>
          </cell>
          <cell r="Q590">
            <v>1.7473000000000001</v>
          </cell>
        </row>
        <row r="591">
          <cell r="K591">
            <v>127.98</v>
          </cell>
          <cell r="Q591">
            <v>1.7354000000000001</v>
          </cell>
        </row>
        <row r="592">
          <cell r="K592">
            <v>126.64</v>
          </cell>
          <cell r="Q592">
            <v>1.7172000000000001</v>
          </cell>
        </row>
        <row r="593">
          <cell r="K593">
            <v>127.56</v>
          </cell>
          <cell r="Q593">
            <v>1.7297</v>
          </cell>
        </row>
        <row r="594">
          <cell r="K594">
            <v>128.87</v>
          </cell>
          <cell r="Q594">
            <v>1.7474000000000001</v>
          </cell>
        </row>
        <row r="595">
          <cell r="K595">
            <v>129.16</v>
          </cell>
          <cell r="Q595">
            <v>1.7514000000000001</v>
          </cell>
        </row>
        <row r="596">
          <cell r="K596">
            <v>129.05000000000001</v>
          </cell>
          <cell r="Q596">
            <v>1.7499</v>
          </cell>
        </row>
        <row r="597">
          <cell r="K597">
            <v>128.81</v>
          </cell>
          <cell r="Q597">
            <v>1.7465999999999999</v>
          </cell>
        </row>
        <row r="598">
          <cell r="K598">
            <v>126.6</v>
          </cell>
          <cell r="Q598">
            <v>1.7166999999999999</v>
          </cell>
        </row>
        <row r="599">
          <cell r="K599">
            <v>125.22</v>
          </cell>
          <cell r="Q599">
            <v>1.698</v>
          </cell>
        </row>
        <row r="600">
          <cell r="K600">
            <v>125.8</v>
          </cell>
          <cell r="Q600">
            <v>1.7058</v>
          </cell>
        </row>
        <row r="601">
          <cell r="K601">
            <v>126.94</v>
          </cell>
          <cell r="Q601">
            <v>1.7213000000000001</v>
          </cell>
        </row>
        <row r="602">
          <cell r="K602">
            <v>126.36</v>
          </cell>
          <cell r="Q602">
            <v>1.7134</v>
          </cell>
        </row>
        <row r="603">
          <cell r="K603">
            <v>124.59</v>
          </cell>
          <cell r="Q603">
            <v>1.6894</v>
          </cell>
        </row>
        <row r="604">
          <cell r="K604">
            <v>122.56</v>
          </cell>
          <cell r="Q604">
            <v>1.6618999999999999</v>
          </cell>
        </row>
        <row r="605">
          <cell r="K605">
            <v>122.51</v>
          </cell>
          <cell r="Q605">
            <v>1.6612</v>
          </cell>
        </row>
        <row r="606">
          <cell r="K606">
            <v>122.99</v>
          </cell>
          <cell r="Q606">
            <v>1.6677</v>
          </cell>
        </row>
        <row r="607">
          <cell r="K607">
            <v>124.93</v>
          </cell>
          <cell r="Q607">
            <v>1.694</v>
          </cell>
        </row>
        <row r="608">
          <cell r="K608">
            <v>122.86</v>
          </cell>
          <cell r="Q608">
            <v>1.6659999999999999</v>
          </cell>
        </row>
        <row r="609">
          <cell r="K609">
            <v>122.5</v>
          </cell>
          <cell r="Q609">
            <v>1.6611</v>
          </cell>
        </row>
        <row r="610">
          <cell r="K610">
            <v>123.38</v>
          </cell>
          <cell r="Q610">
            <v>1.673</v>
          </cell>
        </row>
        <row r="611">
          <cell r="K611">
            <v>124.58</v>
          </cell>
          <cell r="Q611">
            <v>1.6893</v>
          </cell>
        </row>
        <row r="612">
          <cell r="K612">
            <v>121.73</v>
          </cell>
          <cell r="Q612">
            <v>1.6506000000000001</v>
          </cell>
        </row>
        <row r="613">
          <cell r="K613">
            <v>118.41</v>
          </cell>
          <cell r="Q613">
            <v>1.6055999999999999</v>
          </cell>
        </row>
        <row r="614">
          <cell r="K614">
            <v>118.34</v>
          </cell>
          <cell r="Q614">
            <v>1.6047</v>
          </cell>
        </row>
        <row r="615">
          <cell r="K615">
            <v>115</v>
          </cell>
          <cell r="Q615">
            <v>1.5593999999999999</v>
          </cell>
        </row>
        <row r="616">
          <cell r="K616">
            <v>114.33</v>
          </cell>
          <cell r="Q616">
            <v>1.5503</v>
          </cell>
        </row>
        <row r="617">
          <cell r="K617">
            <v>117.29</v>
          </cell>
          <cell r="Q617">
            <v>1.5904</v>
          </cell>
        </row>
        <row r="618">
          <cell r="K618">
            <v>115.04</v>
          </cell>
          <cell r="Q618">
            <v>1.5599000000000001</v>
          </cell>
        </row>
        <row r="619">
          <cell r="K619">
            <v>118.04</v>
          </cell>
          <cell r="Q619">
            <v>1.6006</v>
          </cell>
        </row>
        <row r="620">
          <cell r="K620">
            <v>119.2</v>
          </cell>
          <cell r="Q620">
            <v>1.6163000000000001</v>
          </cell>
        </row>
        <row r="621">
          <cell r="K621">
            <v>118.97</v>
          </cell>
          <cell r="Q621">
            <v>1.6132</v>
          </cell>
        </row>
        <row r="622">
          <cell r="K622">
            <v>115.19</v>
          </cell>
          <cell r="Q622">
            <v>1.5620000000000001</v>
          </cell>
        </row>
        <row r="623">
          <cell r="K623">
            <v>116.05</v>
          </cell>
          <cell r="Q623">
            <v>1.5736000000000001</v>
          </cell>
        </row>
        <row r="624">
          <cell r="K624">
            <v>111.47</v>
          </cell>
          <cell r="Q624">
            <v>1.5115000000000001</v>
          </cell>
        </row>
        <row r="625">
          <cell r="K625">
            <v>115.12</v>
          </cell>
          <cell r="Q625">
            <v>1.5609999999999999</v>
          </cell>
        </row>
        <row r="626">
          <cell r="K626">
            <v>118.85</v>
          </cell>
          <cell r="Q626">
            <v>1.6115999999999999</v>
          </cell>
        </row>
        <row r="627">
          <cell r="K627">
            <v>116.21</v>
          </cell>
          <cell r="Q627">
            <v>1.5758000000000001</v>
          </cell>
        </row>
        <row r="628">
          <cell r="K628">
            <v>115.36</v>
          </cell>
          <cell r="Q628">
            <v>1.5643</v>
          </cell>
        </row>
        <row r="629">
          <cell r="K629">
            <v>116.46</v>
          </cell>
          <cell r="Q629">
            <v>1.5791999999999999</v>
          </cell>
        </row>
        <row r="630">
          <cell r="K630">
            <v>120.11</v>
          </cell>
          <cell r="Q630">
            <v>1.6287</v>
          </cell>
        </row>
        <row r="631">
          <cell r="K631">
            <v>119.42</v>
          </cell>
          <cell r="Q631">
            <v>1.6193</v>
          </cell>
        </row>
        <row r="632">
          <cell r="K632">
            <v>114.46</v>
          </cell>
          <cell r="Q632">
            <v>1.5521</v>
          </cell>
        </row>
        <row r="633">
          <cell r="K633">
            <v>116.96</v>
          </cell>
          <cell r="Q633">
            <v>1.5622</v>
          </cell>
        </row>
        <row r="634">
          <cell r="K634">
            <v>110.13</v>
          </cell>
          <cell r="Q634">
            <v>1.4709000000000001</v>
          </cell>
        </row>
        <row r="635">
          <cell r="K635">
            <v>104.74</v>
          </cell>
          <cell r="Q635">
            <v>1.3989</v>
          </cell>
        </row>
        <row r="636">
          <cell r="K636">
            <v>103.44</v>
          </cell>
          <cell r="Q636">
            <v>1.3815999999999999</v>
          </cell>
        </row>
        <row r="637">
          <cell r="K637">
            <v>100.62</v>
          </cell>
          <cell r="Q637">
            <v>1.3439000000000001</v>
          </cell>
        </row>
        <row r="638">
          <cell r="K638">
            <v>95.65</v>
          </cell>
          <cell r="Q638">
            <v>1.2775000000000001</v>
          </cell>
        </row>
        <row r="639">
          <cell r="K639">
            <v>90.55</v>
          </cell>
          <cell r="Q639">
            <v>1.2094</v>
          </cell>
        </row>
        <row r="640">
          <cell r="K640">
            <v>89</v>
          </cell>
          <cell r="Q640">
            <v>1.1887000000000001</v>
          </cell>
        </row>
        <row r="641">
          <cell r="K641">
            <v>87.75</v>
          </cell>
          <cell r="Q641">
            <v>1.1719999999999999</v>
          </cell>
        </row>
        <row r="642">
          <cell r="K642">
            <v>92.21</v>
          </cell>
          <cell r="Q642">
            <v>1.2316</v>
          </cell>
        </row>
        <row r="643">
          <cell r="K643">
            <v>93.6</v>
          </cell>
          <cell r="Q643">
            <v>1.2501</v>
          </cell>
        </row>
        <row r="644">
          <cell r="K644">
            <v>88.29</v>
          </cell>
          <cell r="Q644">
            <v>1.1792</v>
          </cell>
        </row>
        <row r="645">
          <cell r="K645">
            <v>91.52</v>
          </cell>
          <cell r="Q645">
            <v>1.2223999999999999</v>
          </cell>
        </row>
        <row r="646">
          <cell r="K646">
            <v>90.78</v>
          </cell>
          <cell r="Q646">
            <v>1.2124999999999999</v>
          </cell>
        </row>
        <row r="647">
          <cell r="K647">
            <v>92.51</v>
          </cell>
          <cell r="Q647">
            <v>1.2356</v>
          </cell>
        </row>
        <row r="648">
          <cell r="K648">
            <v>88.86</v>
          </cell>
          <cell r="Q648">
            <v>1.1868000000000001</v>
          </cell>
        </row>
        <row r="649">
          <cell r="K649">
            <v>83.6</v>
          </cell>
          <cell r="Q649">
            <v>1.1166</v>
          </cell>
        </row>
        <row r="650">
          <cell r="K650">
            <v>84.35</v>
          </cell>
          <cell r="Q650">
            <v>1.1266</v>
          </cell>
        </row>
        <row r="651">
          <cell r="K651">
            <v>82.07</v>
          </cell>
          <cell r="Q651">
            <v>1.0962000000000001</v>
          </cell>
        </row>
        <row r="652">
          <cell r="K652">
            <v>79.66</v>
          </cell>
          <cell r="Q652">
            <v>1.0640000000000001</v>
          </cell>
        </row>
        <row r="653">
          <cell r="K653">
            <v>87.28</v>
          </cell>
          <cell r="Q653">
            <v>1.1657</v>
          </cell>
        </row>
        <row r="654">
          <cell r="K654">
            <v>88.2</v>
          </cell>
          <cell r="Q654">
            <v>1.1779999999999999</v>
          </cell>
        </row>
        <row r="655">
          <cell r="K655">
            <v>90.69</v>
          </cell>
          <cell r="Q655">
            <v>1.2113</v>
          </cell>
        </row>
        <row r="656">
          <cell r="K656">
            <v>92.97</v>
          </cell>
          <cell r="Q656">
            <v>1.2417</v>
          </cell>
        </row>
        <row r="657">
          <cell r="K657">
            <v>92.68</v>
          </cell>
          <cell r="Q657">
            <v>1.2379</v>
          </cell>
        </row>
        <row r="658">
          <cell r="K658">
            <v>93.4</v>
          </cell>
          <cell r="Q658">
            <v>1.2475000000000001</v>
          </cell>
        </row>
        <row r="659">
          <cell r="K659">
            <v>89.94</v>
          </cell>
          <cell r="Q659">
            <v>1.2013</v>
          </cell>
        </row>
        <row r="660">
          <cell r="K660">
            <v>85.15</v>
          </cell>
          <cell r="Q660">
            <v>1.1373</v>
          </cell>
        </row>
        <row r="661">
          <cell r="K661">
            <v>86.27</v>
          </cell>
          <cell r="Q661">
            <v>1.1521999999999999</v>
          </cell>
        </row>
        <row r="662">
          <cell r="K662">
            <v>83.87</v>
          </cell>
          <cell r="Q662">
            <v>1.1202000000000001</v>
          </cell>
        </row>
        <row r="663">
          <cell r="K663">
            <v>82.74</v>
          </cell>
          <cell r="Q663">
            <v>1.1051</v>
          </cell>
        </row>
        <row r="664">
          <cell r="K664">
            <v>79.739999999999995</v>
          </cell>
          <cell r="Q664">
            <v>1.0649999999999999</v>
          </cell>
        </row>
        <row r="665">
          <cell r="K665">
            <v>84.21</v>
          </cell>
          <cell r="Q665">
            <v>1.1247</v>
          </cell>
        </row>
        <row r="666">
          <cell r="K666">
            <v>80.33</v>
          </cell>
          <cell r="Q666">
            <v>1.0729</v>
          </cell>
        </row>
        <row r="667">
          <cell r="K667">
            <v>77.48</v>
          </cell>
          <cell r="Q667">
            <v>1.0347999999999999</v>
          </cell>
        </row>
        <row r="668">
          <cell r="K668">
            <v>80.08</v>
          </cell>
          <cell r="Q668">
            <v>1.0696000000000001</v>
          </cell>
        </row>
        <row r="669">
          <cell r="K669">
            <v>75.97</v>
          </cell>
          <cell r="Q669">
            <v>1.0146999999999999</v>
          </cell>
        </row>
        <row r="670">
          <cell r="K670">
            <v>71.739999999999995</v>
          </cell>
          <cell r="Q670">
            <v>0.95820000000000005</v>
          </cell>
        </row>
        <row r="671">
          <cell r="K671">
            <v>74.88</v>
          </cell>
          <cell r="Q671">
            <v>1.0001</v>
          </cell>
        </row>
        <row r="672">
          <cell r="K672">
            <v>79.89</v>
          </cell>
          <cell r="Q672">
            <v>1.0669999999999999</v>
          </cell>
        </row>
        <row r="673">
          <cell r="K673">
            <v>80.650000000000006</v>
          </cell>
          <cell r="Q673">
            <v>1.0771999999999999</v>
          </cell>
        </row>
        <row r="674">
          <cell r="K674">
            <v>81.67</v>
          </cell>
          <cell r="Q674">
            <v>1.0908</v>
          </cell>
        </row>
        <row r="675">
          <cell r="K675">
            <v>81.599999999999994</v>
          </cell>
          <cell r="Q675">
            <v>1.0899000000000001</v>
          </cell>
        </row>
        <row r="676">
          <cell r="K676">
            <v>76.900000000000006</v>
          </cell>
          <cell r="Q676">
            <v>1.0270999999999999</v>
          </cell>
        </row>
        <row r="677">
          <cell r="K677">
            <v>79.84</v>
          </cell>
          <cell r="Q677">
            <v>1.0664</v>
          </cell>
        </row>
        <row r="678">
          <cell r="K678">
            <v>80.67</v>
          </cell>
          <cell r="Q678">
            <v>1.0774999999999999</v>
          </cell>
        </row>
        <row r="679">
          <cell r="K679">
            <v>77.44</v>
          </cell>
          <cell r="Q679">
            <v>1.0343</v>
          </cell>
        </row>
        <row r="680">
          <cell r="K680">
            <v>80.59</v>
          </cell>
          <cell r="Q680">
            <v>1.0764</v>
          </cell>
        </row>
        <row r="681">
          <cell r="K681">
            <v>84.86</v>
          </cell>
          <cell r="Q681">
            <v>1.1334</v>
          </cell>
        </row>
        <row r="682">
          <cell r="K682">
            <v>82.69</v>
          </cell>
          <cell r="Q682">
            <v>1.1044</v>
          </cell>
        </row>
        <row r="683">
          <cell r="K683">
            <v>82.86</v>
          </cell>
          <cell r="Q683">
            <v>1.1067</v>
          </cell>
        </row>
        <row r="684">
          <cell r="K684">
            <v>80.58</v>
          </cell>
          <cell r="Q684">
            <v>1.0762</v>
          </cell>
        </row>
        <row r="685">
          <cell r="K685">
            <v>82.2</v>
          </cell>
          <cell r="Q685">
            <v>1.0979000000000001</v>
          </cell>
        </row>
        <row r="686">
          <cell r="K686">
            <v>82.77</v>
          </cell>
          <cell r="Q686">
            <v>1.1054999999999999</v>
          </cell>
        </row>
        <row r="687">
          <cell r="K687">
            <v>86.4</v>
          </cell>
          <cell r="Q687">
            <v>1.1539999999999999</v>
          </cell>
        </row>
        <row r="688">
          <cell r="K688">
            <v>85.84</v>
          </cell>
          <cell r="Q688">
            <v>1.1465000000000001</v>
          </cell>
        </row>
        <row r="689">
          <cell r="K689">
            <v>84</v>
          </cell>
          <cell r="Q689">
            <v>1.1218999999999999</v>
          </cell>
        </row>
        <row r="690">
          <cell r="K690">
            <v>83.52</v>
          </cell>
          <cell r="Q690">
            <v>1.1154999999999999</v>
          </cell>
        </row>
        <row r="691">
          <cell r="K691">
            <v>81.99</v>
          </cell>
          <cell r="Q691">
            <v>1.0951</v>
          </cell>
        </row>
        <row r="692">
          <cell r="K692">
            <v>80.599999999999994</v>
          </cell>
          <cell r="Q692">
            <v>1.0765</v>
          </cell>
        </row>
        <row r="693">
          <cell r="K693">
            <v>80.52</v>
          </cell>
          <cell r="Q693">
            <v>1.0753999999999999</v>
          </cell>
        </row>
        <row r="694">
          <cell r="K694">
            <v>81.33</v>
          </cell>
          <cell r="Q694">
            <v>1.0863</v>
          </cell>
        </row>
        <row r="695">
          <cell r="K695">
            <v>81.25</v>
          </cell>
          <cell r="Q695">
            <v>1.0851999999999999</v>
          </cell>
        </row>
        <row r="696">
          <cell r="K696">
            <v>83.55</v>
          </cell>
          <cell r="Q696">
            <v>1.1158999999999999</v>
          </cell>
        </row>
        <row r="697">
          <cell r="K697">
            <v>84.16</v>
          </cell>
          <cell r="Q697">
            <v>1.127</v>
          </cell>
        </row>
        <row r="698">
          <cell r="K698">
            <v>87.37</v>
          </cell>
          <cell r="Q698">
            <v>1.17</v>
          </cell>
        </row>
        <row r="699">
          <cell r="K699">
            <v>86.82</v>
          </cell>
          <cell r="Q699">
            <v>1.1627000000000001</v>
          </cell>
        </row>
        <row r="700">
          <cell r="K700">
            <v>89.23</v>
          </cell>
          <cell r="Q700">
            <v>1.1949000000000001</v>
          </cell>
        </row>
        <row r="701">
          <cell r="K701">
            <v>87.79</v>
          </cell>
          <cell r="Q701">
            <v>1.1757</v>
          </cell>
        </row>
        <row r="702">
          <cell r="K702">
            <v>87.18</v>
          </cell>
          <cell r="Q702">
            <v>1.1675</v>
          </cell>
        </row>
        <row r="703">
          <cell r="K703">
            <v>84.7</v>
          </cell>
          <cell r="Q703">
            <v>1.1343000000000001</v>
          </cell>
        </row>
        <row r="704">
          <cell r="K704">
            <v>85.71</v>
          </cell>
          <cell r="Q704">
            <v>1.1477999999999999</v>
          </cell>
        </row>
        <row r="705">
          <cell r="K705">
            <v>85.34</v>
          </cell>
          <cell r="Q705">
            <v>1.1428</v>
          </cell>
        </row>
        <row r="706">
          <cell r="K706">
            <v>83.19</v>
          </cell>
          <cell r="Q706">
            <v>1.1141000000000001</v>
          </cell>
        </row>
        <row r="707">
          <cell r="K707">
            <v>84.12</v>
          </cell>
          <cell r="Q707">
            <v>1.1265000000000001</v>
          </cell>
        </row>
        <row r="708">
          <cell r="K708">
            <v>84.92</v>
          </cell>
          <cell r="Q708">
            <v>1.1372</v>
          </cell>
        </row>
        <row r="709">
          <cell r="K709">
            <v>81.98</v>
          </cell>
          <cell r="Q709">
            <v>1.0979000000000001</v>
          </cell>
        </row>
        <row r="710">
          <cell r="K710">
            <v>91.42</v>
          </cell>
          <cell r="Q710">
            <v>1.2242999999999999</v>
          </cell>
        </row>
        <row r="711">
          <cell r="K711">
            <v>90.07</v>
          </cell>
          <cell r="Q711">
            <v>1.2061999999999999</v>
          </cell>
        </row>
        <row r="712">
          <cell r="K712">
            <v>89.49</v>
          </cell>
          <cell r="Q712">
            <v>1.1983999999999999</v>
          </cell>
        </row>
        <row r="713">
          <cell r="K713">
            <v>91.6</v>
          </cell>
          <cell r="Q713">
            <v>1.2266999999999999</v>
          </cell>
        </row>
        <row r="714">
          <cell r="K714">
            <v>91.66</v>
          </cell>
          <cell r="Q714">
            <v>1.2275</v>
          </cell>
        </row>
        <row r="715">
          <cell r="K715">
            <v>94.82</v>
          </cell>
          <cell r="Q715">
            <v>1.2698</v>
          </cell>
        </row>
        <row r="716">
          <cell r="K716">
            <v>92.51</v>
          </cell>
          <cell r="Q716">
            <v>1.2388999999999999</v>
          </cell>
        </row>
        <row r="717">
          <cell r="K717">
            <v>91.65</v>
          </cell>
          <cell r="Q717">
            <v>1.2274</v>
          </cell>
        </row>
        <row r="718">
          <cell r="K718">
            <v>90.93</v>
          </cell>
          <cell r="Q718">
            <v>1.2177</v>
          </cell>
        </row>
        <row r="719">
          <cell r="K719">
            <v>93.48</v>
          </cell>
          <cell r="Q719">
            <v>1.2519</v>
          </cell>
        </row>
        <row r="720">
          <cell r="K720">
            <v>92.83</v>
          </cell>
          <cell r="Q720">
            <v>1.2432000000000001</v>
          </cell>
        </row>
        <row r="721">
          <cell r="K721">
            <v>92.41</v>
          </cell>
          <cell r="Q721">
            <v>1.2375</v>
          </cell>
        </row>
        <row r="722">
          <cell r="K722">
            <v>96.14</v>
          </cell>
          <cell r="Q722">
            <v>1.2875000000000001</v>
          </cell>
        </row>
        <row r="723">
          <cell r="K723">
            <v>96.82</v>
          </cell>
          <cell r="Q723">
            <v>1.2966</v>
          </cell>
        </row>
        <row r="724">
          <cell r="K724">
            <v>93.27</v>
          </cell>
          <cell r="Q724">
            <v>1.2490000000000001</v>
          </cell>
        </row>
        <row r="725">
          <cell r="K725">
            <v>95.16</v>
          </cell>
          <cell r="Q725">
            <v>1.2744</v>
          </cell>
        </row>
        <row r="726">
          <cell r="K726">
            <v>95.07</v>
          </cell>
          <cell r="Q726">
            <v>1.2732000000000001</v>
          </cell>
        </row>
        <row r="727">
          <cell r="K727">
            <v>93.84</v>
          </cell>
          <cell r="Q727">
            <v>1.2566999999999999</v>
          </cell>
        </row>
        <row r="728">
          <cell r="K728">
            <v>90.67</v>
          </cell>
          <cell r="Q728">
            <v>1.2141999999999999</v>
          </cell>
        </row>
        <row r="729">
          <cell r="K729">
            <v>91.51</v>
          </cell>
          <cell r="Q729">
            <v>1.2255</v>
          </cell>
        </row>
        <row r="730">
          <cell r="K730">
            <v>88.93</v>
          </cell>
          <cell r="Q730">
            <v>1.1909000000000001</v>
          </cell>
        </row>
        <row r="731">
          <cell r="K731">
            <v>88.79</v>
          </cell>
          <cell r="Q731">
            <v>1.1891</v>
          </cell>
        </row>
        <row r="732">
          <cell r="K732">
            <v>84.37</v>
          </cell>
          <cell r="Q732">
            <v>1.1298999999999999</v>
          </cell>
        </row>
        <row r="733">
          <cell r="K733">
            <v>86.4</v>
          </cell>
          <cell r="Q733">
            <v>1.157</v>
          </cell>
        </row>
        <row r="734">
          <cell r="K734">
            <v>85.9</v>
          </cell>
          <cell r="Q734">
            <v>1.1503000000000001</v>
          </cell>
        </row>
        <row r="735">
          <cell r="K735">
            <v>88.97</v>
          </cell>
          <cell r="Q735">
            <v>1.1915</v>
          </cell>
        </row>
        <row r="736">
          <cell r="K736">
            <v>92.03</v>
          </cell>
          <cell r="Q736">
            <v>1.2323999999999999</v>
          </cell>
        </row>
        <row r="737">
          <cell r="K737">
            <v>89.05</v>
          </cell>
          <cell r="Q737">
            <v>1.1924999999999999</v>
          </cell>
        </row>
        <row r="738">
          <cell r="K738">
            <v>87.77</v>
          </cell>
          <cell r="Q738">
            <v>1.1754</v>
          </cell>
        </row>
        <row r="739">
          <cell r="K739">
            <v>89.49</v>
          </cell>
          <cell r="Q739">
            <v>1.1983999999999999</v>
          </cell>
        </row>
        <row r="740">
          <cell r="K740">
            <v>87.48</v>
          </cell>
          <cell r="Q740">
            <v>1.1715</v>
          </cell>
        </row>
        <row r="741">
          <cell r="K741">
            <v>85.81</v>
          </cell>
          <cell r="Q741">
            <v>1.1491</v>
          </cell>
        </row>
        <row r="742">
          <cell r="K742">
            <v>83.48</v>
          </cell>
          <cell r="Q742">
            <v>1.1178999999999999</v>
          </cell>
        </row>
        <row r="743">
          <cell r="K743">
            <v>87.25</v>
          </cell>
          <cell r="Q743">
            <v>1.1684000000000001</v>
          </cell>
        </row>
        <row r="744">
          <cell r="K744">
            <v>88.62</v>
          </cell>
          <cell r="Q744">
            <v>1.1868000000000001</v>
          </cell>
        </row>
        <row r="745">
          <cell r="K745">
            <v>90.4</v>
          </cell>
          <cell r="Q745">
            <v>1.2105999999999999</v>
          </cell>
        </row>
        <row r="746">
          <cell r="K746">
            <v>90.36</v>
          </cell>
          <cell r="Q746">
            <v>1.2101</v>
          </cell>
        </row>
        <row r="747">
          <cell r="K747">
            <v>91.22</v>
          </cell>
          <cell r="Q747">
            <v>1.2216</v>
          </cell>
        </row>
        <row r="748">
          <cell r="K748">
            <v>92.91</v>
          </cell>
          <cell r="Q748">
            <v>1.2442</v>
          </cell>
        </row>
        <row r="749">
          <cell r="K749">
            <v>91.95</v>
          </cell>
          <cell r="Q749">
            <v>1.2314000000000001</v>
          </cell>
        </row>
        <row r="750">
          <cell r="K750">
            <v>92.66</v>
          </cell>
          <cell r="Q750">
            <v>1.2408999999999999</v>
          </cell>
        </row>
        <row r="751">
          <cell r="K751">
            <v>92.51</v>
          </cell>
          <cell r="Q751">
            <v>1.2388999999999999</v>
          </cell>
        </row>
        <row r="752">
          <cell r="K752">
            <v>98.71</v>
          </cell>
          <cell r="Q752">
            <v>1.3219000000000001</v>
          </cell>
        </row>
        <row r="753">
          <cell r="K753">
            <v>98.3</v>
          </cell>
          <cell r="Q753">
            <v>1.3164</v>
          </cell>
        </row>
        <row r="754">
          <cell r="K754">
            <v>97.95</v>
          </cell>
          <cell r="Q754">
            <v>1.3117000000000001</v>
          </cell>
        </row>
        <row r="755">
          <cell r="K755">
            <v>98.78</v>
          </cell>
          <cell r="Q755">
            <v>1.3228</v>
          </cell>
        </row>
        <row r="756">
          <cell r="K756">
            <v>94.15</v>
          </cell>
          <cell r="Q756">
            <v>1.2607999999999999</v>
          </cell>
        </row>
        <row r="757">
          <cell r="K757">
            <v>94.52</v>
          </cell>
          <cell r="Q757">
            <v>1.2658</v>
          </cell>
        </row>
        <row r="758">
          <cell r="K758">
            <v>96.89</v>
          </cell>
          <cell r="Q758">
            <v>1.3186</v>
          </cell>
        </row>
        <row r="759">
          <cell r="K759">
            <v>97.61</v>
          </cell>
          <cell r="Q759">
            <v>1.3284</v>
          </cell>
        </row>
        <row r="760">
          <cell r="K760">
            <v>100.82</v>
          </cell>
          <cell r="Q760">
            <v>1.3720000000000001</v>
          </cell>
        </row>
        <row r="761">
          <cell r="K761">
            <v>102.22</v>
          </cell>
          <cell r="Q761">
            <v>1.3911</v>
          </cell>
        </row>
        <row r="762">
          <cell r="K762">
            <v>101.56</v>
          </cell>
          <cell r="Q762">
            <v>1.3821000000000001</v>
          </cell>
        </row>
        <row r="763">
          <cell r="K763">
            <v>98.75</v>
          </cell>
          <cell r="Q763">
            <v>1.3439000000000001</v>
          </cell>
        </row>
        <row r="764">
          <cell r="K764">
            <v>101.19</v>
          </cell>
          <cell r="Q764">
            <v>1.3771</v>
          </cell>
        </row>
        <row r="765">
          <cell r="K765">
            <v>101.7</v>
          </cell>
          <cell r="Q765">
            <v>1.3839999999999999</v>
          </cell>
        </row>
        <row r="766">
          <cell r="K766">
            <v>99.95</v>
          </cell>
          <cell r="Q766">
            <v>1.3602000000000001</v>
          </cell>
        </row>
        <row r="767">
          <cell r="K767">
            <v>99.27</v>
          </cell>
          <cell r="Q767">
            <v>1.351</v>
          </cell>
        </row>
        <row r="768">
          <cell r="K768">
            <v>98.85</v>
          </cell>
          <cell r="Q768">
            <v>1.3452</v>
          </cell>
        </row>
        <row r="769">
          <cell r="K769">
            <v>101.43</v>
          </cell>
          <cell r="Q769">
            <v>1.3804000000000001</v>
          </cell>
        </row>
        <row r="770">
          <cell r="K770">
            <v>101.27</v>
          </cell>
          <cell r="Q770">
            <v>1.3782000000000001</v>
          </cell>
        </row>
        <row r="771">
          <cell r="K771">
            <v>100.43</v>
          </cell>
          <cell r="Q771">
            <v>1.3667</v>
          </cell>
        </row>
        <row r="772">
          <cell r="K772">
            <v>102.31</v>
          </cell>
          <cell r="Q772">
            <v>1.3923000000000001</v>
          </cell>
        </row>
        <row r="773">
          <cell r="K773">
            <v>102.55</v>
          </cell>
          <cell r="Q773">
            <v>1.3956</v>
          </cell>
        </row>
        <row r="774">
          <cell r="K774">
            <v>101.42</v>
          </cell>
          <cell r="Q774">
            <v>1.3802000000000001</v>
          </cell>
        </row>
        <row r="775">
          <cell r="K775">
            <v>100.08</v>
          </cell>
          <cell r="Q775">
            <v>1.3620000000000001</v>
          </cell>
        </row>
        <row r="776">
          <cell r="K776">
            <v>99.95</v>
          </cell>
          <cell r="Q776">
            <v>1.3602000000000001</v>
          </cell>
        </row>
        <row r="777">
          <cell r="K777">
            <v>101.94</v>
          </cell>
          <cell r="Q777">
            <v>1.3873</v>
          </cell>
        </row>
        <row r="778">
          <cell r="K778">
            <v>104.04</v>
          </cell>
          <cell r="Q778">
            <v>1.4158999999999999</v>
          </cell>
        </row>
        <row r="779">
          <cell r="K779">
            <v>103.21</v>
          </cell>
          <cell r="Q779">
            <v>1.4046000000000001</v>
          </cell>
        </row>
        <row r="780">
          <cell r="K780">
            <v>104.61</v>
          </cell>
          <cell r="Q780">
            <v>1.4236</v>
          </cell>
        </row>
        <row r="781">
          <cell r="K781">
            <v>106.19</v>
          </cell>
          <cell r="Q781">
            <v>1.4451000000000001</v>
          </cell>
        </row>
        <row r="782">
          <cell r="K782">
            <v>105.85</v>
          </cell>
          <cell r="Q782">
            <v>1.4404999999999999</v>
          </cell>
        </row>
        <row r="783">
          <cell r="K783">
            <v>104.62</v>
          </cell>
          <cell r="Q783">
            <v>1.4238</v>
          </cell>
        </row>
        <row r="784">
          <cell r="K784">
            <v>102.59</v>
          </cell>
          <cell r="Q784">
            <v>1.3960999999999999</v>
          </cell>
        </row>
        <row r="785">
          <cell r="K785">
            <v>101.49</v>
          </cell>
          <cell r="Q785">
            <v>1.3812</v>
          </cell>
        </row>
        <row r="786">
          <cell r="K786">
            <v>102.9</v>
          </cell>
          <cell r="Q786">
            <v>1.4004000000000001</v>
          </cell>
        </row>
        <row r="787">
          <cell r="K787">
            <v>103.94</v>
          </cell>
          <cell r="Q787">
            <v>1.4145000000000001</v>
          </cell>
        </row>
        <row r="788">
          <cell r="K788">
            <v>102.26</v>
          </cell>
          <cell r="Q788">
            <v>1.3915999999999999</v>
          </cell>
        </row>
        <row r="789">
          <cell r="K789">
            <v>101.05</v>
          </cell>
          <cell r="Q789">
            <v>1.3752</v>
          </cell>
        </row>
        <row r="790">
          <cell r="K790">
            <v>101.37</v>
          </cell>
          <cell r="Q790">
            <v>1.3794999999999999</v>
          </cell>
        </row>
        <row r="791">
          <cell r="K791">
            <v>104.58</v>
          </cell>
          <cell r="Q791">
            <v>1.4232</v>
          </cell>
        </row>
        <row r="792">
          <cell r="K792">
            <v>105.51</v>
          </cell>
          <cell r="Q792">
            <v>1.4359</v>
          </cell>
        </row>
        <row r="793">
          <cell r="K793">
            <v>104.05</v>
          </cell>
          <cell r="Q793">
            <v>1.4159999999999999</v>
          </cell>
        </row>
        <row r="794">
          <cell r="K794">
            <v>102.82</v>
          </cell>
          <cell r="Q794">
            <v>1.3993</v>
          </cell>
        </row>
        <row r="795">
          <cell r="K795">
            <v>101.89</v>
          </cell>
          <cell r="Q795">
            <v>1.3866000000000001</v>
          </cell>
        </row>
        <row r="796">
          <cell r="K796">
            <v>105.02</v>
          </cell>
          <cell r="Q796">
            <v>1.4292</v>
          </cell>
        </row>
        <row r="797">
          <cell r="K797">
            <v>102.93</v>
          </cell>
          <cell r="Q797">
            <v>1.4008</v>
          </cell>
        </row>
        <row r="798">
          <cell r="K798">
            <v>104.69</v>
          </cell>
          <cell r="Q798">
            <v>1.4247000000000001</v>
          </cell>
        </row>
        <row r="799">
          <cell r="K799">
            <v>106.28</v>
          </cell>
          <cell r="Q799">
            <v>1.4463999999999999</v>
          </cell>
        </row>
        <row r="800">
          <cell r="K800">
            <v>108.37</v>
          </cell>
          <cell r="Q800">
            <v>1.4748000000000001</v>
          </cell>
        </row>
        <row r="801">
          <cell r="K801">
            <v>106.83</v>
          </cell>
          <cell r="Q801">
            <v>1.4538</v>
          </cell>
        </row>
        <row r="802">
          <cell r="K802">
            <v>106.49</v>
          </cell>
          <cell r="Q802">
            <v>1.4492</v>
          </cell>
        </row>
        <row r="803">
          <cell r="K803">
            <v>106.33</v>
          </cell>
          <cell r="Q803">
            <v>1.4470000000000001</v>
          </cell>
        </row>
        <row r="804">
          <cell r="K804">
            <v>107.24</v>
          </cell>
          <cell r="Q804">
            <v>1.4594</v>
          </cell>
        </row>
        <row r="805">
          <cell r="K805">
            <v>107.49</v>
          </cell>
          <cell r="Q805">
            <v>1.4628000000000001</v>
          </cell>
        </row>
        <row r="806">
          <cell r="K806">
            <v>108.14</v>
          </cell>
          <cell r="Q806">
            <v>1.4717</v>
          </cell>
        </row>
        <row r="807">
          <cell r="K807">
            <v>108.35</v>
          </cell>
          <cell r="Q807">
            <v>1.4744999999999999</v>
          </cell>
        </row>
        <row r="808">
          <cell r="K808">
            <v>109.4</v>
          </cell>
          <cell r="Q808">
            <v>1.4887999999999999</v>
          </cell>
        </row>
        <row r="809">
          <cell r="K809">
            <v>108.21</v>
          </cell>
          <cell r="Q809">
            <v>1.4725999999999999</v>
          </cell>
        </row>
        <row r="810">
          <cell r="K810">
            <v>107.62</v>
          </cell>
          <cell r="Q810">
            <v>1.4645999999999999</v>
          </cell>
        </row>
        <row r="811">
          <cell r="K811">
            <v>107.32</v>
          </cell>
          <cell r="Q811">
            <v>1.4604999999999999</v>
          </cell>
        </row>
        <row r="812">
          <cell r="K812">
            <v>107</v>
          </cell>
          <cell r="Q812">
            <v>1.4561999999999999</v>
          </cell>
        </row>
        <row r="813">
          <cell r="K813">
            <v>106.33</v>
          </cell>
          <cell r="Q813">
            <v>1.4470000000000001</v>
          </cell>
        </row>
        <row r="814">
          <cell r="K814">
            <v>105.89</v>
          </cell>
          <cell r="Q814">
            <v>1.4410000000000001</v>
          </cell>
        </row>
        <row r="815">
          <cell r="K815">
            <v>104.52</v>
          </cell>
          <cell r="Q815">
            <v>1.4224000000000001</v>
          </cell>
        </row>
        <row r="816">
          <cell r="K816">
            <v>104.44</v>
          </cell>
          <cell r="Q816">
            <v>1.4213</v>
          </cell>
        </row>
        <row r="817">
          <cell r="K817">
            <v>104.15</v>
          </cell>
          <cell r="Q817">
            <v>1.4174</v>
          </cell>
        </row>
        <row r="818">
          <cell r="K818">
            <v>106.06</v>
          </cell>
          <cell r="Q818">
            <v>1.4434</v>
          </cell>
        </row>
        <row r="819">
          <cell r="K819">
            <v>105.68</v>
          </cell>
          <cell r="Q819">
            <v>1.4381999999999999</v>
          </cell>
        </row>
        <row r="820">
          <cell r="K820">
            <v>105.83</v>
          </cell>
          <cell r="Q820">
            <v>1.4401999999999999</v>
          </cell>
        </row>
        <row r="821">
          <cell r="K821">
            <v>104.42</v>
          </cell>
          <cell r="Q821">
            <v>1.4557</v>
          </cell>
        </row>
        <row r="822">
          <cell r="K822">
            <v>104.84</v>
          </cell>
          <cell r="Q822">
            <v>1.4616</v>
          </cell>
        </row>
        <row r="823">
          <cell r="K823">
            <v>101.73</v>
          </cell>
          <cell r="Q823">
            <v>1.4181999999999999</v>
          </cell>
        </row>
        <row r="824">
          <cell r="K824">
            <v>101.65</v>
          </cell>
          <cell r="Q824">
            <v>1.4171</v>
          </cell>
        </row>
        <row r="825">
          <cell r="K825">
            <v>100.19</v>
          </cell>
          <cell r="Q825">
            <v>1.3967000000000001</v>
          </cell>
        </row>
        <row r="826">
          <cell r="K826">
            <v>100.68</v>
          </cell>
          <cell r="Q826">
            <v>1.4036</v>
          </cell>
        </row>
        <row r="827">
          <cell r="K827">
            <v>102.08</v>
          </cell>
          <cell r="Q827">
            <v>1.4231</v>
          </cell>
        </row>
        <row r="828">
          <cell r="K828">
            <v>100.83</v>
          </cell>
          <cell r="Q828">
            <v>1.4056999999999999</v>
          </cell>
        </row>
        <row r="829">
          <cell r="K829">
            <v>103.62</v>
          </cell>
          <cell r="Q829">
            <v>1.4444999999999999</v>
          </cell>
        </row>
        <row r="830">
          <cell r="K830">
            <v>103.25</v>
          </cell>
          <cell r="Q830">
            <v>1.4394</v>
          </cell>
        </row>
        <row r="831">
          <cell r="K831">
            <v>107.22</v>
          </cell>
          <cell r="Q831">
            <v>1.4946999999999999</v>
          </cell>
        </row>
        <row r="832">
          <cell r="K832">
            <v>110.64</v>
          </cell>
          <cell r="Q832">
            <v>1.5424</v>
          </cell>
        </row>
        <row r="833">
          <cell r="K833">
            <v>115.42</v>
          </cell>
          <cell r="Q833">
            <v>1.609</v>
          </cell>
        </row>
        <row r="834">
          <cell r="K834">
            <v>116.44</v>
          </cell>
          <cell r="Q834">
            <v>1.6233</v>
          </cell>
        </row>
        <row r="835">
          <cell r="K835">
            <v>117.04</v>
          </cell>
          <cell r="Q835">
            <v>1.6315999999999999</v>
          </cell>
        </row>
        <row r="836">
          <cell r="K836">
            <v>115.57</v>
          </cell>
          <cell r="Q836">
            <v>1.6111</v>
          </cell>
        </row>
        <row r="837">
          <cell r="K837">
            <v>117.06</v>
          </cell>
          <cell r="Q837">
            <v>1.6318999999999999</v>
          </cell>
        </row>
        <row r="838">
          <cell r="K838">
            <v>117.64</v>
          </cell>
          <cell r="Q838">
            <v>1.64</v>
          </cell>
        </row>
        <row r="839">
          <cell r="K839">
            <v>117.63</v>
          </cell>
          <cell r="Q839">
            <v>1.6398999999999999</v>
          </cell>
        </row>
        <row r="840">
          <cell r="K840">
            <v>117.28</v>
          </cell>
          <cell r="Q840">
            <v>1.635</v>
          </cell>
        </row>
        <row r="841">
          <cell r="K841">
            <v>117.26</v>
          </cell>
          <cell r="Q841">
            <v>1.6347</v>
          </cell>
        </row>
        <row r="842">
          <cell r="K842">
            <v>117.86</v>
          </cell>
          <cell r="Q842">
            <v>1.6431</v>
          </cell>
        </row>
        <row r="843">
          <cell r="K843">
            <v>117.93</v>
          </cell>
          <cell r="Q843">
            <v>1.6439999999999999</v>
          </cell>
        </row>
        <row r="844">
          <cell r="K844">
            <v>119.92</v>
          </cell>
          <cell r="Q844">
            <v>1.6718</v>
          </cell>
        </row>
        <row r="845">
          <cell r="K845">
            <v>119.6</v>
          </cell>
          <cell r="Q845">
            <v>1.6673</v>
          </cell>
        </row>
        <row r="846">
          <cell r="K846">
            <v>118.47</v>
          </cell>
          <cell r="Q846">
            <v>1.6516</v>
          </cell>
        </row>
        <row r="847">
          <cell r="K847">
            <v>117.38</v>
          </cell>
          <cell r="Q847">
            <v>1.6364000000000001</v>
          </cell>
        </row>
        <row r="848">
          <cell r="K848">
            <v>119.33</v>
          </cell>
          <cell r="Q848">
            <v>1.6636</v>
          </cell>
        </row>
        <row r="849">
          <cell r="K849">
            <v>118.7</v>
          </cell>
          <cell r="Q849">
            <v>1.6548</v>
          </cell>
        </row>
        <row r="850">
          <cell r="K850">
            <v>117.79</v>
          </cell>
          <cell r="Q850">
            <v>1.6420999999999999</v>
          </cell>
        </row>
        <row r="851">
          <cell r="K851">
            <v>119.29</v>
          </cell>
          <cell r="Q851">
            <v>1.663</v>
          </cell>
        </row>
        <row r="852">
          <cell r="K852">
            <v>119.58</v>
          </cell>
          <cell r="Q852">
            <v>1.667</v>
          </cell>
        </row>
        <row r="853">
          <cell r="K853">
            <v>118.57</v>
          </cell>
          <cell r="Q853">
            <v>1.653</v>
          </cell>
        </row>
        <row r="854">
          <cell r="K854">
            <v>116.86</v>
          </cell>
          <cell r="Q854">
            <v>1.6291</v>
          </cell>
        </row>
        <row r="855">
          <cell r="K855">
            <v>117.63</v>
          </cell>
          <cell r="Q855">
            <v>1.6398999999999999</v>
          </cell>
        </row>
        <row r="856">
          <cell r="K856">
            <v>118.57</v>
          </cell>
          <cell r="Q856">
            <v>1.653</v>
          </cell>
        </row>
        <row r="857">
          <cell r="K857">
            <v>118.95</v>
          </cell>
          <cell r="Q857">
            <v>1.6583000000000001</v>
          </cell>
        </row>
        <row r="858">
          <cell r="K858">
            <v>119.9</v>
          </cell>
          <cell r="Q858">
            <v>1.6715</v>
          </cell>
        </row>
        <row r="859">
          <cell r="K859">
            <v>119.32</v>
          </cell>
          <cell r="Q859">
            <v>1.6634</v>
          </cell>
        </row>
        <row r="860">
          <cell r="K860">
            <v>118.83</v>
          </cell>
          <cell r="Q860">
            <v>1.6566000000000001</v>
          </cell>
        </row>
        <row r="861">
          <cell r="K861">
            <v>119.47</v>
          </cell>
          <cell r="Q861">
            <v>1.6655</v>
          </cell>
        </row>
        <row r="862">
          <cell r="K862">
            <v>119.43</v>
          </cell>
          <cell r="Q862">
            <v>1.665</v>
          </cell>
        </row>
        <row r="863">
          <cell r="K863">
            <v>118.22</v>
          </cell>
          <cell r="Q863">
            <v>1.6480999999999999</v>
          </cell>
        </row>
        <row r="864">
          <cell r="K864">
            <v>118.05</v>
          </cell>
          <cell r="Q864">
            <v>1.6456999999999999</v>
          </cell>
        </row>
        <row r="865">
          <cell r="K865">
            <v>116.69</v>
          </cell>
          <cell r="Q865">
            <v>1.6268</v>
          </cell>
        </row>
        <row r="866">
          <cell r="K866">
            <v>116.09</v>
          </cell>
          <cell r="Q866">
            <v>1.6184000000000001</v>
          </cell>
        </row>
        <row r="867">
          <cell r="K867">
            <v>116.33</v>
          </cell>
          <cell r="Q867">
            <v>1.6216999999999999</v>
          </cell>
        </row>
        <row r="868">
          <cell r="K868">
            <v>117.46</v>
          </cell>
          <cell r="Q868">
            <v>1.6375</v>
          </cell>
        </row>
        <row r="869">
          <cell r="K869">
            <v>117.16</v>
          </cell>
          <cell r="Q869">
            <v>1.6333</v>
          </cell>
        </row>
        <row r="870">
          <cell r="K870">
            <v>116.76</v>
          </cell>
          <cell r="Q870">
            <v>1.6276999999999999</v>
          </cell>
        </row>
        <row r="871">
          <cell r="K871">
            <v>117.67</v>
          </cell>
          <cell r="Q871">
            <v>1.6404000000000001</v>
          </cell>
        </row>
        <row r="872">
          <cell r="K872">
            <v>118.05</v>
          </cell>
          <cell r="Q872">
            <v>1.6456999999999999</v>
          </cell>
        </row>
        <row r="873">
          <cell r="K873">
            <v>118.88</v>
          </cell>
          <cell r="Q873">
            <v>1.6573</v>
          </cell>
        </row>
        <row r="874">
          <cell r="K874">
            <v>119.35</v>
          </cell>
          <cell r="Q874">
            <v>1.6637999999999999</v>
          </cell>
        </row>
        <row r="875">
          <cell r="K875">
            <v>121.82</v>
          </cell>
          <cell r="Q875">
            <v>1.6982999999999999</v>
          </cell>
        </row>
        <row r="876">
          <cell r="K876">
            <v>121.88</v>
          </cell>
          <cell r="Q876">
            <v>1.6991000000000001</v>
          </cell>
        </row>
        <row r="877">
          <cell r="K877">
            <v>122.11</v>
          </cell>
          <cell r="Q877">
            <v>1.7022999999999999</v>
          </cell>
        </row>
        <row r="878">
          <cell r="K878">
            <v>121.57</v>
          </cell>
          <cell r="Q878">
            <v>1.6948000000000001</v>
          </cell>
        </row>
        <row r="879">
          <cell r="K879">
            <v>121.61</v>
          </cell>
          <cell r="Q879">
            <v>1.6953</v>
          </cell>
        </row>
        <row r="880">
          <cell r="K880">
            <v>120.82</v>
          </cell>
          <cell r="Q880">
            <v>1.6842999999999999</v>
          </cell>
        </row>
        <row r="881">
          <cell r="K881">
            <v>120.94</v>
          </cell>
          <cell r="Q881">
            <v>1.6859999999999999</v>
          </cell>
        </row>
        <row r="882">
          <cell r="K882">
            <v>121.08</v>
          </cell>
          <cell r="Q882">
            <v>1.6879999999999999</v>
          </cell>
        </row>
        <row r="883">
          <cell r="K883">
            <v>119.33</v>
          </cell>
          <cell r="Q883">
            <v>1.6636</v>
          </cell>
        </row>
        <row r="884">
          <cell r="K884">
            <v>118.81</v>
          </cell>
          <cell r="Q884">
            <v>1.6563000000000001</v>
          </cell>
        </row>
        <row r="885">
          <cell r="K885">
            <v>119.61</v>
          </cell>
          <cell r="Q885">
            <v>1.6834</v>
          </cell>
        </row>
        <row r="886">
          <cell r="K886">
            <v>117.9</v>
          </cell>
          <cell r="Q886">
            <v>1.6593</v>
          </cell>
        </row>
        <row r="887">
          <cell r="K887">
            <v>119.02</v>
          </cell>
          <cell r="Q887">
            <v>1.6751</v>
          </cell>
        </row>
        <row r="888">
          <cell r="K888">
            <v>119.75</v>
          </cell>
          <cell r="Q888">
            <v>1.6854</v>
          </cell>
        </row>
        <row r="889">
          <cell r="K889">
            <v>121.35</v>
          </cell>
          <cell r="Q889">
            <v>1.7079</v>
          </cell>
        </row>
        <row r="890">
          <cell r="K890">
            <v>122.78</v>
          </cell>
          <cell r="Q890">
            <v>1.728</v>
          </cell>
        </row>
        <row r="891">
          <cell r="K891">
            <v>122.29</v>
          </cell>
          <cell r="Q891">
            <v>1.7211000000000001</v>
          </cell>
        </row>
        <row r="892">
          <cell r="K892">
            <v>125.93</v>
          </cell>
          <cell r="Q892">
            <v>1.7723</v>
          </cell>
        </row>
        <row r="893">
          <cell r="K893">
            <v>127.04</v>
          </cell>
          <cell r="Q893">
            <v>1.788</v>
          </cell>
        </row>
        <row r="894">
          <cell r="K894">
            <v>127.02</v>
          </cell>
          <cell r="Q894">
            <v>1.7877000000000001</v>
          </cell>
        </row>
        <row r="895">
          <cell r="K895">
            <v>128.35001</v>
          </cell>
          <cell r="Q895">
            <v>1.8064</v>
          </cell>
        </row>
        <row r="896">
          <cell r="K896">
            <v>127.98</v>
          </cell>
          <cell r="Q896">
            <v>1.8011999999999999</v>
          </cell>
        </row>
        <row r="897">
          <cell r="K897">
            <v>121.64</v>
          </cell>
          <cell r="Q897">
            <v>1.712</v>
          </cell>
        </row>
        <row r="898">
          <cell r="K898">
            <v>123.06</v>
          </cell>
          <cell r="Q898">
            <v>1.7319</v>
          </cell>
        </row>
        <row r="899">
          <cell r="K899">
            <v>122.82</v>
          </cell>
          <cell r="Q899">
            <v>1.7285999999999999</v>
          </cell>
        </row>
        <row r="900">
          <cell r="K900">
            <v>120.87</v>
          </cell>
          <cell r="Q900">
            <v>1.7011000000000001</v>
          </cell>
        </row>
        <row r="901">
          <cell r="K901">
            <v>122.69</v>
          </cell>
          <cell r="Q901">
            <v>1.7266999999999999</v>
          </cell>
        </row>
        <row r="902">
          <cell r="K902">
            <v>120.36</v>
          </cell>
          <cell r="Q902">
            <v>1.6939</v>
          </cell>
        </row>
        <row r="903">
          <cell r="K903">
            <v>120.11</v>
          </cell>
          <cell r="Q903">
            <v>1.6903999999999999</v>
          </cell>
        </row>
        <row r="904">
          <cell r="K904">
            <v>120.65</v>
          </cell>
          <cell r="Q904">
            <v>1.698</v>
          </cell>
        </row>
        <row r="905">
          <cell r="K905">
            <v>121.5</v>
          </cell>
          <cell r="Q905">
            <v>1.71</v>
          </cell>
        </row>
        <row r="906">
          <cell r="K906">
            <v>122.87</v>
          </cell>
          <cell r="Q906">
            <v>1.7293000000000001</v>
          </cell>
        </row>
        <row r="907">
          <cell r="K907">
            <v>120.61</v>
          </cell>
          <cell r="Q907">
            <v>1.6975</v>
          </cell>
        </row>
        <row r="908">
          <cell r="K908">
            <v>120.56</v>
          </cell>
          <cell r="Q908">
            <v>1.6968000000000001</v>
          </cell>
        </row>
        <row r="909">
          <cell r="K909">
            <v>121.16</v>
          </cell>
          <cell r="Q909">
            <v>1.7052</v>
          </cell>
        </row>
        <row r="910">
          <cell r="K910">
            <v>121.29</v>
          </cell>
          <cell r="Q910">
            <v>1.7070000000000001</v>
          </cell>
        </row>
        <row r="911">
          <cell r="K911">
            <v>123.1</v>
          </cell>
          <cell r="Q911">
            <v>1.7324999999999999</v>
          </cell>
        </row>
        <row r="912">
          <cell r="K912">
            <v>123.49</v>
          </cell>
          <cell r="Q912">
            <v>1.738</v>
          </cell>
        </row>
        <row r="913">
          <cell r="K913">
            <v>126</v>
          </cell>
          <cell r="Q913">
            <v>1.7733000000000001</v>
          </cell>
        </row>
        <row r="914">
          <cell r="K914">
            <v>126.91</v>
          </cell>
          <cell r="Q914">
            <v>1.7861</v>
          </cell>
        </row>
        <row r="915">
          <cell r="K915">
            <v>127.19</v>
          </cell>
          <cell r="Q915">
            <v>1.7901</v>
          </cell>
        </row>
        <row r="916">
          <cell r="K916">
            <v>126.26</v>
          </cell>
          <cell r="Q916">
            <v>1.7769999999999999</v>
          </cell>
        </row>
        <row r="917">
          <cell r="K917">
            <v>127.03</v>
          </cell>
          <cell r="Q917">
            <v>1.7878000000000001</v>
          </cell>
        </row>
        <row r="918">
          <cell r="K918">
            <v>128.21001000000001</v>
          </cell>
          <cell r="Q918">
            <v>1.8044</v>
          </cell>
        </row>
        <row r="919">
          <cell r="K919">
            <v>128.63</v>
          </cell>
          <cell r="Q919">
            <v>1.8103</v>
          </cell>
        </row>
        <row r="920">
          <cell r="K920">
            <v>128.15</v>
          </cell>
          <cell r="Q920">
            <v>1.8036000000000001</v>
          </cell>
        </row>
        <row r="921">
          <cell r="K921">
            <v>127.54</v>
          </cell>
          <cell r="Q921">
            <v>1.7949999999999999</v>
          </cell>
        </row>
        <row r="922">
          <cell r="K922">
            <v>126.96</v>
          </cell>
          <cell r="Q922">
            <v>1.7867999999999999</v>
          </cell>
        </row>
        <row r="923">
          <cell r="K923">
            <v>128.19999999999999</v>
          </cell>
          <cell r="Q923">
            <v>1.8043</v>
          </cell>
        </row>
        <row r="924">
          <cell r="K924">
            <v>127.93</v>
          </cell>
          <cell r="Q924">
            <v>1.8005</v>
          </cell>
        </row>
        <row r="925">
          <cell r="K925">
            <v>127.28</v>
          </cell>
          <cell r="Q925">
            <v>1.7912999999999999</v>
          </cell>
        </row>
        <row r="926">
          <cell r="K926">
            <v>125.7</v>
          </cell>
          <cell r="Q926">
            <v>1.7690999999999999</v>
          </cell>
        </row>
        <row r="927">
          <cell r="K927">
            <v>126.35</v>
          </cell>
          <cell r="Q927">
            <v>1.7783</v>
          </cell>
        </row>
        <row r="928">
          <cell r="K928">
            <v>127.94</v>
          </cell>
          <cell r="Q928">
            <v>1.8006</v>
          </cell>
        </row>
        <row r="929">
          <cell r="K929">
            <v>127.21</v>
          </cell>
          <cell r="Q929">
            <v>1.7904</v>
          </cell>
        </row>
        <row r="930">
          <cell r="K930">
            <v>127.55</v>
          </cell>
          <cell r="Q930">
            <v>1.7950999999999999</v>
          </cell>
        </row>
        <row r="931">
          <cell r="K931">
            <v>127.25</v>
          </cell>
          <cell r="Q931">
            <v>1.7908999999999999</v>
          </cell>
        </row>
        <row r="932">
          <cell r="K932">
            <v>127.04</v>
          </cell>
          <cell r="Q932">
            <v>1.788</v>
          </cell>
        </row>
        <row r="933">
          <cell r="K933">
            <v>126.8</v>
          </cell>
          <cell r="Q933">
            <v>1.7846</v>
          </cell>
        </row>
        <row r="934">
          <cell r="K934">
            <v>128.38999999999999</v>
          </cell>
          <cell r="Q934">
            <v>1.8069999999999999</v>
          </cell>
        </row>
        <row r="935">
          <cell r="K935">
            <v>129.34</v>
          </cell>
          <cell r="Q935">
            <v>1.8203</v>
          </cell>
        </row>
        <row r="936">
          <cell r="K936">
            <v>129.68</v>
          </cell>
          <cell r="Q936">
            <v>1.8250999999999999</v>
          </cell>
        </row>
        <row r="937">
          <cell r="K937">
            <v>129.93</v>
          </cell>
          <cell r="Q937">
            <v>1.8286</v>
          </cell>
        </row>
        <row r="938">
          <cell r="K938">
            <v>128.49001000000001</v>
          </cell>
          <cell r="Q938">
            <v>1.8084</v>
          </cell>
        </row>
        <row r="939">
          <cell r="K939">
            <v>128.71001000000001</v>
          </cell>
          <cell r="Q939">
            <v>1.8115000000000001</v>
          </cell>
        </row>
        <row r="940">
          <cell r="K940">
            <v>127.4</v>
          </cell>
          <cell r="Q940">
            <v>1.7929999999999999</v>
          </cell>
        </row>
        <row r="941">
          <cell r="K941">
            <v>127.91</v>
          </cell>
          <cell r="Q941">
            <v>1.8002</v>
          </cell>
        </row>
        <row r="942">
          <cell r="K942">
            <v>128.65</v>
          </cell>
          <cell r="Q942">
            <v>1.8106</v>
          </cell>
        </row>
        <row r="943">
          <cell r="K943">
            <v>129.93</v>
          </cell>
          <cell r="Q943">
            <v>1.8286</v>
          </cell>
        </row>
        <row r="944">
          <cell r="K944">
            <v>130</v>
          </cell>
          <cell r="Q944">
            <v>1.8295999999999999</v>
          </cell>
        </row>
        <row r="945">
          <cell r="K945">
            <v>130.57001</v>
          </cell>
          <cell r="Q945">
            <v>1.8375999999999999</v>
          </cell>
        </row>
        <row r="946">
          <cell r="K946">
            <v>132.31</v>
          </cell>
          <cell r="Q946">
            <v>1.8621000000000001</v>
          </cell>
        </row>
        <row r="947">
          <cell r="K947">
            <v>131.85001</v>
          </cell>
          <cell r="Q947">
            <v>1.8556999999999999</v>
          </cell>
        </row>
        <row r="948">
          <cell r="K948">
            <v>132.57001</v>
          </cell>
          <cell r="Q948">
            <v>1.8657999999999999</v>
          </cell>
        </row>
        <row r="949">
          <cell r="K949">
            <v>130.9</v>
          </cell>
          <cell r="Q949">
            <v>1.8335999999999999</v>
          </cell>
        </row>
        <row r="950">
          <cell r="K950">
            <v>132.44999999999999</v>
          </cell>
          <cell r="Q950">
            <v>1.8552999999999999</v>
          </cell>
        </row>
        <row r="951">
          <cell r="K951">
            <v>130.85001</v>
          </cell>
          <cell r="Q951">
            <v>1.8329</v>
          </cell>
        </row>
        <row r="952">
          <cell r="K952">
            <v>130</v>
          </cell>
          <cell r="Q952">
            <v>1.821</v>
          </cell>
        </row>
        <row r="953">
          <cell r="K953">
            <v>129.55000000000001</v>
          </cell>
          <cell r="Q953">
            <v>1.8147</v>
          </cell>
        </row>
        <row r="954">
          <cell r="K954">
            <v>130.85001</v>
          </cell>
          <cell r="Q954">
            <v>1.8329</v>
          </cell>
        </row>
        <row r="955">
          <cell r="K955">
            <v>129.47999999999999</v>
          </cell>
          <cell r="Q955">
            <v>1.8137000000000001</v>
          </cell>
        </row>
        <row r="956">
          <cell r="K956">
            <v>130.51</v>
          </cell>
          <cell r="Q956">
            <v>1.8281000000000001</v>
          </cell>
        </row>
        <row r="957">
          <cell r="K957">
            <v>130.22999999999999</v>
          </cell>
          <cell r="Q957">
            <v>1.8242</v>
          </cell>
        </row>
        <row r="958">
          <cell r="K958">
            <v>132.31</v>
          </cell>
          <cell r="Q958">
            <v>1.8532999999999999</v>
          </cell>
        </row>
        <row r="959">
          <cell r="K959">
            <v>131.78</v>
          </cell>
          <cell r="Q959">
            <v>1.8459000000000001</v>
          </cell>
        </row>
        <row r="960">
          <cell r="K960">
            <v>134.13999999999999</v>
          </cell>
          <cell r="Q960">
            <v>1.8789</v>
          </cell>
        </row>
        <row r="961">
          <cell r="K961">
            <v>130.25</v>
          </cell>
          <cell r="Q961">
            <v>1.8245</v>
          </cell>
        </row>
        <row r="962">
          <cell r="K962">
            <v>129</v>
          </cell>
          <cell r="Q962">
            <v>1.8069</v>
          </cell>
        </row>
        <row r="963">
          <cell r="K963">
            <v>125.5</v>
          </cell>
          <cell r="Q963">
            <v>1.7579</v>
          </cell>
        </row>
        <row r="964">
          <cell r="K964">
            <v>126.12</v>
          </cell>
          <cell r="Q964">
            <v>1.7665999999999999</v>
          </cell>
        </row>
        <row r="965">
          <cell r="K965">
            <v>125.75</v>
          </cell>
          <cell r="Q965">
            <v>1.7614000000000001</v>
          </cell>
        </row>
        <row r="966">
          <cell r="K966">
            <v>126.33</v>
          </cell>
          <cell r="Q966">
            <v>1.7696000000000001</v>
          </cell>
        </row>
        <row r="967">
          <cell r="K967">
            <v>123.75</v>
          </cell>
          <cell r="Q967">
            <v>1.7334000000000001</v>
          </cell>
        </row>
        <row r="968">
          <cell r="K968">
            <v>122.39</v>
          </cell>
          <cell r="Q968">
            <v>1.7143999999999999</v>
          </cell>
        </row>
        <row r="969">
          <cell r="K969">
            <v>124.67</v>
          </cell>
          <cell r="Q969">
            <v>1.7463</v>
          </cell>
        </row>
        <row r="970">
          <cell r="K970">
            <v>125.53</v>
          </cell>
          <cell r="Q970">
            <v>1.7583</v>
          </cell>
        </row>
        <row r="971">
          <cell r="K971">
            <v>125.66</v>
          </cell>
          <cell r="Q971">
            <v>1.7602</v>
          </cell>
        </row>
        <row r="972">
          <cell r="K972">
            <v>123</v>
          </cell>
          <cell r="Q972">
            <v>1.7229000000000001</v>
          </cell>
        </row>
        <row r="973">
          <cell r="K973">
            <v>123.52</v>
          </cell>
          <cell r="Q973">
            <v>1.7302</v>
          </cell>
        </row>
        <row r="974">
          <cell r="K974">
            <v>121.88</v>
          </cell>
          <cell r="Q974">
            <v>1.7072000000000001</v>
          </cell>
        </row>
        <row r="975">
          <cell r="K975">
            <v>123.21</v>
          </cell>
          <cell r="Q975">
            <v>1.7258</v>
          </cell>
        </row>
        <row r="976">
          <cell r="K976">
            <v>122.81</v>
          </cell>
          <cell r="Q976">
            <v>1.7202</v>
          </cell>
        </row>
        <row r="977">
          <cell r="K977">
            <v>123.73</v>
          </cell>
          <cell r="Q977">
            <v>1.7331000000000001</v>
          </cell>
        </row>
        <row r="978">
          <cell r="K978">
            <v>124</v>
          </cell>
          <cell r="Q978">
            <v>1.7369000000000001</v>
          </cell>
        </row>
        <row r="979">
          <cell r="K979">
            <v>125.23</v>
          </cell>
          <cell r="Q979">
            <v>1.7541</v>
          </cell>
        </row>
        <row r="980">
          <cell r="K980">
            <v>126.33</v>
          </cell>
          <cell r="Q980">
            <v>1.7696000000000001</v>
          </cell>
        </row>
        <row r="981">
          <cell r="K981">
            <v>127.81</v>
          </cell>
          <cell r="Q981">
            <v>1.7903</v>
          </cell>
        </row>
        <row r="982">
          <cell r="K982">
            <v>127.19</v>
          </cell>
          <cell r="Q982">
            <v>1.7816000000000001</v>
          </cell>
        </row>
        <row r="983">
          <cell r="K983">
            <v>126.85</v>
          </cell>
          <cell r="Q983">
            <v>1.7767999999999999</v>
          </cell>
        </row>
        <row r="984">
          <cell r="K984">
            <v>126.46</v>
          </cell>
          <cell r="Q984">
            <v>1.7714000000000001</v>
          </cell>
        </row>
        <row r="985">
          <cell r="K985">
            <v>127.59</v>
          </cell>
          <cell r="Q985">
            <v>1.7871999999999999</v>
          </cell>
        </row>
        <row r="986">
          <cell r="K986">
            <v>127.07</v>
          </cell>
          <cell r="Q986">
            <v>1.7799</v>
          </cell>
        </row>
        <row r="987">
          <cell r="K987">
            <v>127.16</v>
          </cell>
          <cell r="Q987">
            <v>1.7811999999999999</v>
          </cell>
        </row>
        <row r="988">
          <cell r="K988">
            <v>128.57001</v>
          </cell>
          <cell r="Q988">
            <v>1.8008999999999999</v>
          </cell>
        </row>
        <row r="989">
          <cell r="K989">
            <v>127.42</v>
          </cell>
          <cell r="Q989">
            <v>1.7847999999999999</v>
          </cell>
        </row>
        <row r="990">
          <cell r="K990">
            <v>126.88</v>
          </cell>
          <cell r="Q990">
            <v>1.7773000000000001</v>
          </cell>
        </row>
        <row r="991">
          <cell r="K991">
            <v>126.72</v>
          </cell>
          <cell r="Q991">
            <v>1.7749999999999999</v>
          </cell>
        </row>
        <row r="992">
          <cell r="K992">
            <v>127.25</v>
          </cell>
          <cell r="Q992">
            <v>1.7824</v>
          </cell>
        </row>
        <row r="993">
          <cell r="K993">
            <v>126.41</v>
          </cell>
          <cell r="Q993">
            <v>1.7706999999999999</v>
          </cell>
        </row>
        <row r="994">
          <cell r="K994">
            <v>125.55</v>
          </cell>
          <cell r="Q994">
            <v>1.7585999999999999</v>
          </cell>
        </row>
        <row r="995">
          <cell r="K995">
            <v>125.62</v>
          </cell>
          <cell r="Q995">
            <v>1.7596000000000001</v>
          </cell>
        </row>
        <row r="996">
          <cell r="K996">
            <v>127.6</v>
          </cell>
          <cell r="Q996">
            <v>1.7873000000000001</v>
          </cell>
        </row>
        <row r="997">
          <cell r="K997">
            <v>127.94</v>
          </cell>
          <cell r="Q997">
            <v>1.7921</v>
          </cell>
        </row>
        <row r="998">
          <cell r="K998">
            <v>127.83</v>
          </cell>
          <cell r="Q998">
            <v>1.7906</v>
          </cell>
        </row>
        <row r="999">
          <cell r="K999">
            <v>128.66999999999999</v>
          </cell>
          <cell r="Q999">
            <v>1.8023</v>
          </cell>
        </row>
        <row r="1000">
          <cell r="K1000">
            <v>127.76</v>
          </cell>
          <cell r="Q1000">
            <v>1.7896000000000001</v>
          </cell>
        </row>
        <row r="1001">
          <cell r="K1001">
            <v>128.38</v>
          </cell>
          <cell r="Q1001">
            <v>1.7983</v>
          </cell>
        </row>
        <row r="1002">
          <cell r="K1002">
            <v>127.71</v>
          </cell>
          <cell r="Q1002">
            <v>1.7888999999999999</v>
          </cell>
        </row>
        <row r="1003">
          <cell r="K1003">
            <v>127.98</v>
          </cell>
          <cell r="Q1003">
            <v>1.7927</v>
          </cell>
        </row>
        <row r="1004">
          <cell r="K1004">
            <v>129.37</v>
          </cell>
          <cell r="Q1004">
            <v>1.8121</v>
          </cell>
        </row>
        <row r="1005">
          <cell r="K1005">
            <v>128.53</v>
          </cell>
          <cell r="Q1005">
            <v>1.8004</v>
          </cell>
        </row>
        <row r="1006">
          <cell r="K1006">
            <v>129.24001000000001</v>
          </cell>
          <cell r="Q1006">
            <v>1.8103</v>
          </cell>
        </row>
        <row r="1007">
          <cell r="K1007">
            <v>129.26</v>
          </cell>
          <cell r="Q1007">
            <v>1.8106</v>
          </cell>
        </row>
        <row r="1008">
          <cell r="K1008">
            <v>128.59</v>
          </cell>
          <cell r="Q1008">
            <v>1.8011999999999999</v>
          </cell>
        </row>
        <row r="1009">
          <cell r="K1009">
            <v>128.77000000000001</v>
          </cell>
          <cell r="Q1009">
            <v>1.8037000000000001</v>
          </cell>
        </row>
        <row r="1010">
          <cell r="K1010">
            <v>128.25</v>
          </cell>
          <cell r="Q1010">
            <v>1.7659</v>
          </cell>
        </row>
        <row r="1011">
          <cell r="K1011">
            <v>128.25</v>
          </cell>
          <cell r="Q1011">
            <v>1.7659</v>
          </cell>
        </row>
        <row r="1012">
          <cell r="K1012">
            <v>129.35001</v>
          </cell>
          <cell r="Q1012">
            <v>1.7810999999999999</v>
          </cell>
        </row>
        <row r="1013">
          <cell r="K1013">
            <v>128.93</v>
          </cell>
          <cell r="Q1013">
            <v>1.7753000000000001</v>
          </cell>
        </row>
        <row r="1014">
          <cell r="K1014">
            <v>128.47999999999999</v>
          </cell>
          <cell r="Q1014">
            <v>1.7690999999999999</v>
          </cell>
        </row>
        <row r="1015">
          <cell r="K1015">
            <v>127.61</v>
          </cell>
          <cell r="Q1015">
            <v>1.7571000000000001</v>
          </cell>
        </row>
        <row r="1016">
          <cell r="K1016">
            <v>128.76</v>
          </cell>
          <cell r="Q1016">
            <v>1.7729999999999999</v>
          </cell>
        </row>
        <row r="1017">
          <cell r="K1017">
            <v>128.36000000000001</v>
          </cell>
          <cell r="Q1017">
            <v>1.7675000000000001</v>
          </cell>
        </row>
        <row r="1018">
          <cell r="K1018">
            <v>129.03</v>
          </cell>
          <cell r="Q1018">
            <v>1.7766999999999999</v>
          </cell>
        </row>
        <row r="1019">
          <cell r="K1019">
            <v>131.25</v>
          </cell>
          <cell r="Q1019">
            <v>1.8072999999999999</v>
          </cell>
        </row>
        <row r="1020">
          <cell r="K1020">
            <v>130.88999999999999</v>
          </cell>
          <cell r="Q1020">
            <v>1.8023</v>
          </cell>
        </row>
        <row r="1021">
          <cell r="K1021">
            <v>130.63</v>
          </cell>
          <cell r="Q1021">
            <v>1.7987</v>
          </cell>
        </row>
        <row r="1022">
          <cell r="K1022">
            <v>132.22999999999999</v>
          </cell>
          <cell r="Q1022">
            <v>1.8208</v>
          </cell>
        </row>
        <row r="1023">
          <cell r="K1023">
            <v>129.69</v>
          </cell>
          <cell r="Q1023">
            <v>1.7858000000000001</v>
          </cell>
        </row>
        <row r="1024">
          <cell r="K1024">
            <v>128.99001000000001</v>
          </cell>
          <cell r="Q1024">
            <v>1.7761</v>
          </cell>
        </row>
        <row r="1025">
          <cell r="K1025">
            <v>129.13</v>
          </cell>
          <cell r="Q1025">
            <v>1.7781</v>
          </cell>
        </row>
        <row r="1026">
          <cell r="K1026">
            <v>129.99001000000001</v>
          </cell>
          <cell r="Q1026">
            <v>1.7899</v>
          </cell>
        </row>
        <row r="1027">
          <cell r="K1027">
            <v>130.72999999999999</v>
          </cell>
          <cell r="Q1027">
            <v>1.8001</v>
          </cell>
        </row>
        <row r="1028">
          <cell r="K1028">
            <v>128.82001</v>
          </cell>
          <cell r="Q1028">
            <v>1.7738</v>
          </cell>
        </row>
        <row r="1029">
          <cell r="K1029">
            <v>130.1</v>
          </cell>
          <cell r="Q1029">
            <v>1.7914000000000001</v>
          </cell>
        </row>
        <row r="1030">
          <cell r="K1030">
            <v>130.46001000000001</v>
          </cell>
          <cell r="Q1030">
            <v>1.7964</v>
          </cell>
        </row>
        <row r="1031">
          <cell r="K1031">
            <v>129</v>
          </cell>
          <cell r="Q1031">
            <v>1.7763</v>
          </cell>
        </row>
        <row r="1032">
          <cell r="K1032">
            <v>129.6</v>
          </cell>
          <cell r="Q1032">
            <v>1.7845</v>
          </cell>
        </row>
        <row r="1033">
          <cell r="K1033">
            <v>128.12</v>
          </cell>
          <cell r="Q1033">
            <v>1.7642</v>
          </cell>
        </row>
        <row r="1034">
          <cell r="K1034">
            <v>127.46</v>
          </cell>
          <cell r="Q1034">
            <v>1.7551000000000001</v>
          </cell>
        </row>
        <row r="1035">
          <cell r="K1035">
            <v>123.92</v>
          </cell>
          <cell r="Q1035">
            <v>1.7062999999999999</v>
          </cell>
        </row>
        <row r="1036">
          <cell r="K1036">
            <v>122.1</v>
          </cell>
          <cell r="Q1036">
            <v>1.6813</v>
          </cell>
        </row>
        <row r="1037">
          <cell r="K1037">
            <v>126.27</v>
          </cell>
          <cell r="Q1037">
            <v>1.7386999999999999</v>
          </cell>
        </row>
        <row r="1038">
          <cell r="K1038">
            <v>126.89</v>
          </cell>
          <cell r="Q1038">
            <v>1.7472000000000001</v>
          </cell>
        </row>
        <row r="1039">
          <cell r="K1039">
            <v>132.68</v>
          </cell>
          <cell r="Q1039">
            <v>1.8269</v>
          </cell>
        </row>
        <row r="1040">
          <cell r="K1040">
            <v>131.47999999999999</v>
          </cell>
          <cell r="Q1040">
            <v>1.8104</v>
          </cell>
        </row>
        <row r="1041">
          <cell r="K1041">
            <v>131.19</v>
          </cell>
          <cell r="Q1041">
            <v>1.8064</v>
          </cell>
        </row>
        <row r="1042">
          <cell r="K1042">
            <v>130.44</v>
          </cell>
          <cell r="Q1042">
            <v>1.7961</v>
          </cell>
        </row>
        <row r="1043">
          <cell r="K1043">
            <v>129.94999999999999</v>
          </cell>
          <cell r="Q1043">
            <v>1.7894000000000001</v>
          </cell>
        </row>
        <row r="1044">
          <cell r="K1044">
            <v>128.86000000000001</v>
          </cell>
          <cell r="Q1044">
            <v>1.7743</v>
          </cell>
        </row>
        <row r="1045">
          <cell r="K1045">
            <v>123.8</v>
          </cell>
          <cell r="Q1045">
            <v>1.7047000000000001</v>
          </cell>
        </row>
        <row r="1046">
          <cell r="K1046">
            <v>125.42</v>
          </cell>
          <cell r="Q1046">
            <v>1.7270000000000001</v>
          </cell>
        </row>
        <row r="1047">
          <cell r="K1047">
            <v>124.45</v>
          </cell>
          <cell r="Q1047">
            <v>1.7136</v>
          </cell>
        </row>
        <row r="1048">
          <cell r="K1048">
            <v>124.52</v>
          </cell>
          <cell r="Q1048">
            <v>1.7145999999999999</v>
          </cell>
        </row>
        <row r="1049">
          <cell r="K1049">
            <v>123.23</v>
          </cell>
          <cell r="Q1049">
            <v>1.6968000000000001</v>
          </cell>
        </row>
        <row r="1050">
          <cell r="K1050">
            <v>126.39</v>
          </cell>
          <cell r="Q1050">
            <v>1.7403</v>
          </cell>
        </row>
        <row r="1051">
          <cell r="K1051">
            <v>125.26</v>
          </cell>
          <cell r="Q1051">
            <v>1.7248000000000001</v>
          </cell>
        </row>
        <row r="1052">
          <cell r="K1052">
            <v>124.34</v>
          </cell>
          <cell r="Q1052">
            <v>1.7121</v>
          </cell>
        </row>
        <row r="1053">
          <cell r="K1053">
            <v>127.41</v>
          </cell>
          <cell r="Q1053">
            <v>1.7544</v>
          </cell>
        </row>
        <row r="1054">
          <cell r="K1054">
            <v>127.96</v>
          </cell>
          <cell r="Q1054">
            <v>1.762</v>
          </cell>
        </row>
        <row r="1055">
          <cell r="K1055">
            <v>125.28</v>
          </cell>
          <cell r="Q1055">
            <v>1.7251000000000001</v>
          </cell>
        </row>
        <row r="1056">
          <cell r="K1056">
            <v>124.13</v>
          </cell>
          <cell r="Q1056">
            <v>1.7092000000000001</v>
          </cell>
        </row>
        <row r="1057">
          <cell r="K1057">
            <v>123.72</v>
          </cell>
          <cell r="Q1057">
            <v>1.7036</v>
          </cell>
        </row>
        <row r="1058">
          <cell r="K1058">
            <v>123.9</v>
          </cell>
          <cell r="Q1058">
            <v>1.7060999999999999</v>
          </cell>
        </row>
        <row r="1059">
          <cell r="K1059">
            <v>127.68</v>
          </cell>
          <cell r="Q1059">
            <v>1.7581</v>
          </cell>
        </row>
        <row r="1060">
          <cell r="K1060">
            <v>128.44999999999999</v>
          </cell>
          <cell r="Q1060">
            <v>1.7686999999999999</v>
          </cell>
        </row>
        <row r="1061">
          <cell r="K1061">
            <v>128.5</v>
          </cell>
          <cell r="Q1061">
            <v>1.7694000000000001</v>
          </cell>
        </row>
        <row r="1062">
          <cell r="K1062">
            <v>129.79</v>
          </cell>
          <cell r="Q1062">
            <v>1.7871999999999999</v>
          </cell>
        </row>
        <row r="1063">
          <cell r="K1063">
            <v>130.35001</v>
          </cell>
          <cell r="Q1063">
            <v>1.7948999999999999</v>
          </cell>
        </row>
        <row r="1064">
          <cell r="K1064">
            <v>130.97999999999999</v>
          </cell>
          <cell r="Q1064">
            <v>1.8035000000000001</v>
          </cell>
        </row>
        <row r="1065">
          <cell r="K1065">
            <v>130.15</v>
          </cell>
          <cell r="Q1065">
            <v>1.7921</v>
          </cell>
        </row>
        <row r="1066">
          <cell r="K1066">
            <v>130.65</v>
          </cell>
          <cell r="Q1066">
            <v>1.7989999999999999</v>
          </cell>
        </row>
        <row r="1067">
          <cell r="K1067">
            <v>129.30000000000001</v>
          </cell>
          <cell r="Q1067">
            <v>1.7804</v>
          </cell>
        </row>
        <row r="1068">
          <cell r="K1068">
            <v>130.11000000000001</v>
          </cell>
          <cell r="Q1068">
            <v>1.7916000000000001</v>
          </cell>
        </row>
        <row r="1069">
          <cell r="K1069">
            <v>128.19</v>
          </cell>
          <cell r="Q1069">
            <v>1.7650999999999999</v>
          </cell>
        </row>
        <row r="1070">
          <cell r="K1070">
            <v>127.12</v>
          </cell>
          <cell r="Q1070">
            <v>1.7504</v>
          </cell>
        </row>
        <row r="1071">
          <cell r="K1071">
            <v>128.97999999999999</v>
          </cell>
          <cell r="Q1071">
            <v>1.776</v>
          </cell>
        </row>
        <row r="1072">
          <cell r="K1072">
            <v>125.09</v>
          </cell>
          <cell r="Q1072">
            <v>1.7223999999999999</v>
          </cell>
        </row>
        <row r="1073">
          <cell r="K1073">
            <v>123.48</v>
          </cell>
          <cell r="Q1073">
            <v>1.6793</v>
          </cell>
        </row>
        <row r="1074">
          <cell r="K1074">
            <v>122.57</v>
          </cell>
          <cell r="Q1074">
            <v>1.6669</v>
          </cell>
        </row>
        <row r="1075">
          <cell r="K1075">
            <v>121.86</v>
          </cell>
          <cell r="Q1075">
            <v>1.6572</v>
          </cell>
        </row>
        <row r="1076">
          <cell r="K1076">
            <v>123.46</v>
          </cell>
          <cell r="Q1076">
            <v>1.679</v>
          </cell>
        </row>
        <row r="1077">
          <cell r="K1077">
            <v>127</v>
          </cell>
          <cell r="Q1077">
            <v>1.7271000000000001</v>
          </cell>
        </row>
        <row r="1078">
          <cell r="K1078">
            <v>127.97</v>
          </cell>
          <cell r="Q1078">
            <v>1.7403</v>
          </cell>
        </row>
        <row r="1079">
          <cell r="K1079">
            <v>127.96</v>
          </cell>
          <cell r="Q1079">
            <v>1.7402</v>
          </cell>
        </row>
        <row r="1080">
          <cell r="K1080">
            <v>128.66999999999999</v>
          </cell>
          <cell r="Q1080">
            <v>1.7498</v>
          </cell>
        </row>
        <row r="1081">
          <cell r="K1081">
            <v>130.47999999999999</v>
          </cell>
          <cell r="Q1081">
            <v>1.7745</v>
          </cell>
        </row>
        <row r="1082">
          <cell r="K1082">
            <v>130.72</v>
          </cell>
          <cell r="Q1082">
            <v>1.7777000000000001</v>
          </cell>
        </row>
        <row r="1083">
          <cell r="K1083">
            <v>130.72</v>
          </cell>
          <cell r="Q1083">
            <v>1.7777000000000001</v>
          </cell>
        </row>
        <row r="1084">
          <cell r="K1084">
            <v>128.03</v>
          </cell>
          <cell r="Q1084">
            <v>1.7411000000000001</v>
          </cell>
        </row>
        <row r="1085">
          <cell r="K1085">
            <v>129.79</v>
          </cell>
          <cell r="Q1085">
            <v>1.7650999999999999</v>
          </cell>
        </row>
        <row r="1086">
          <cell r="K1086">
            <v>126.55</v>
          </cell>
          <cell r="Q1086">
            <v>1.7210000000000001</v>
          </cell>
        </row>
        <row r="1087">
          <cell r="K1087">
            <v>125.27</v>
          </cell>
          <cell r="Q1087">
            <v>1.7036</v>
          </cell>
        </row>
        <row r="1088">
          <cell r="K1088">
            <v>127.47</v>
          </cell>
          <cell r="Q1088">
            <v>1.7335</v>
          </cell>
        </row>
        <row r="1089">
          <cell r="K1089">
            <v>128.38</v>
          </cell>
          <cell r="Q1089">
            <v>1.7459</v>
          </cell>
        </row>
        <row r="1090">
          <cell r="K1090">
            <v>128.41</v>
          </cell>
          <cell r="Q1090">
            <v>1.7463</v>
          </cell>
        </row>
        <row r="1091">
          <cell r="K1091">
            <v>128.63</v>
          </cell>
          <cell r="Q1091">
            <v>1.7493000000000001</v>
          </cell>
        </row>
        <row r="1092">
          <cell r="K1092">
            <v>128.43</v>
          </cell>
          <cell r="Q1092">
            <v>1.7465999999999999</v>
          </cell>
        </row>
        <row r="1093">
          <cell r="K1093">
            <v>128.02000000000001</v>
          </cell>
          <cell r="Q1093">
            <v>1.7410000000000001</v>
          </cell>
        </row>
        <row r="1094">
          <cell r="K1094">
            <v>128.4</v>
          </cell>
          <cell r="Q1094">
            <v>1.7462</v>
          </cell>
        </row>
        <row r="1095">
          <cell r="K1095">
            <v>130.76</v>
          </cell>
          <cell r="Q1095">
            <v>1.7783</v>
          </cell>
        </row>
        <row r="1096">
          <cell r="K1096">
            <v>130.37</v>
          </cell>
          <cell r="Q1096">
            <v>1.7729999999999999</v>
          </cell>
        </row>
        <row r="1097">
          <cell r="K1097">
            <v>131.27000000000001</v>
          </cell>
          <cell r="Q1097">
            <v>1.7851999999999999</v>
          </cell>
        </row>
        <row r="1098">
          <cell r="K1098">
            <v>131.83000000000001</v>
          </cell>
          <cell r="Q1098">
            <v>1.7927999999999999</v>
          </cell>
        </row>
        <row r="1099">
          <cell r="K1099">
            <v>130.13999999999999</v>
          </cell>
          <cell r="Q1099">
            <v>1.7698</v>
          </cell>
        </row>
        <row r="1100">
          <cell r="K1100">
            <v>132</v>
          </cell>
          <cell r="Q1100">
            <v>1.7950999999999999</v>
          </cell>
        </row>
        <row r="1101">
          <cell r="K1101">
            <v>131.84</v>
          </cell>
          <cell r="Q1101">
            <v>1.7929999999999999</v>
          </cell>
        </row>
        <row r="1102">
          <cell r="K1102">
            <v>129.83000000000001</v>
          </cell>
          <cell r="Q1102">
            <v>1.7656000000000001</v>
          </cell>
        </row>
        <row r="1103">
          <cell r="K1103">
            <v>128.30000000000001</v>
          </cell>
          <cell r="Q1103">
            <v>1.7447999999999999</v>
          </cell>
        </row>
        <row r="1104">
          <cell r="K1104">
            <v>127.87</v>
          </cell>
          <cell r="Q1104">
            <v>1.7390000000000001</v>
          </cell>
        </row>
        <row r="1105">
          <cell r="K1105">
            <v>127.77</v>
          </cell>
          <cell r="Q1105">
            <v>1.7376</v>
          </cell>
        </row>
        <row r="1106">
          <cell r="K1106">
            <v>128.44999999999999</v>
          </cell>
          <cell r="Q1106">
            <v>1.7468999999999999</v>
          </cell>
        </row>
        <row r="1107">
          <cell r="K1107">
            <v>129.39250000000001</v>
          </cell>
          <cell r="Q1107">
            <v>1.7597</v>
          </cell>
        </row>
        <row r="1108">
          <cell r="K1108">
            <v>128.9</v>
          </cell>
          <cell r="Q1108">
            <v>1.7529999999999999</v>
          </cell>
        </row>
        <row r="1109">
          <cell r="K1109">
            <v>127.5</v>
          </cell>
          <cell r="Q1109">
            <v>1.7339</v>
          </cell>
        </row>
        <row r="1110">
          <cell r="K1110">
            <v>126.47</v>
          </cell>
          <cell r="Q1110">
            <v>1.7199</v>
          </cell>
        </row>
        <row r="1111">
          <cell r="K1111">
            <v>124.9</v>
          </cell>
          <cell r="Q1111">
            <v>1.6986000000000001</v>
          </cell>
        </row>
        <row r="1112">
          <cell r="K1112">
            <v>125.27</v>
          </cell>
          <cell r="Q1112">
            <v>1.7036</v>
          </cell>
        </row>
        <row r="1113">
          <cell r="K1113">
            <v>122.78</v>
          </cell>
          <cell r="Q1113">
            <v>1.6697</v>
          </cell>
        </row>
        <row r="1114">
          <cell r="K1114">
            <v>124.73</v>
          </cell>
          <cell r="Q1114">
            <v>1.6962999999999999</v>
          </cell>
        </row>
        <row r="1115">
          <cell r="K1115">
            <v>123.4</v>
          </cell>
          <cell r="Q1115">
            <v>1.6781999999999999</v>
          </cell>
        </row>
        <row r="1116">
          <cell r="K1116">
            <v>123.13</v>
          </cell>
          <cell r="Q1116">
            <v>1.6745000000000001</v>
          </cell>
        </row>
        <row r="1117">
          <cell r="K1117">
            <v>125.77</v>
          </cell>
          <cell r="Q1117">
            <v>1.7103999999999999</v>
          </cell>
        </row>
        <row r="1118">
          <cell r="K1118">
            <v>125.04</v>
          </cell>
          <cell r="Q1118">
            <v>1.7004999999999999</v>
          </cell>
        </row>
        <row r="1119">
          <cell r="K1119">
            <v>127.58</v>
          </cell>
          <cell r="Q1119">
            <v>1.7350000000000001</v>
          </cell>
        </row>
        <row r="1120">
          <cell r="K1120">
            <v>125.95</v>
          </cell>
          <cell r="Q1120">
            <v>1.7129000000000001</v>
          </cell>
        </row>
        <row r="1121">
          <cell r="K1121">
            <v>126.08</v>
          </cell>
          <cell r="Q1121">
            <v>1.7145999999999999</v>
          </cell>
        </row>
        <row r="1122">
          <cell r="K1122">
            <v>126.36</v>
          </cell>
          <cell r="Q1122">
            <v>1.7183999999999999</v>
          </cell>
        </row>
        <row r="1123">
          <cell r="K1123">
            <v>127.99</v>
          </cell>
          <cell r="Q1123">
            <v>1.7405999999999999</v>
          </cell>
        </row>
        <row r="1124">
          <cell r="K1124">
            <v>129.61000000000001</v>
          </cell>
          <cell r="Q1124">
            <v>1.7625999999999999</v>
          </cell>
        </row>
        <row r="1125">
          <cell r="K1125">
            <v>128.85001</v>
          </cell>
          <cell r="Q1125">
            <v>1.7523</v>
          </cell>
        </row>
        <row r="1126">
          <cell r="K1126">
            <v>129.43</v>
          </cell>
          <cell r="Q1126">
            <v>1.7602</v>
          </cell>
        </row>
        <row r="1127">
          <cell r="K1127">
            <v>129.66999999999999</v>
          </cell>
          <cell r="Q1127">
            <v>1.7634000000000001</v>
          </cell>
        </row>
        <row r="1128">
          <cell r="K1128">
            <v>130.19</v>
          </cell>
          <cell r="Q1128">
            <v>1.7705</v>
          </cell>
        </row>
        <row r="1129">
          <cell r="K1129">
            <v>131.79</v>
          </cell>
          <cell r="Q1129">
            <v>1.7923</v>
          </cell>
        </row>
        <row r="1130">
          <cell r="K1130">
            <v>131.97999999999999</v>
          </cell>
          <cell r="Q1130">
            <v>1.7948999999999999</v>
          </cell>
        </row>
        <row r="1131">
          <cell r="K1131">
            <v>132.57001</v>
          </cell>
          <cell r="Q1131">
            <v>1.8028999999999999</v>
          </cell>
        </row>
        <row r="1132">
          <cell r="K1132">
            <v>131.66999999999999</v>
          </cell>
          <cell r="Q1132">
            <v>1.7906</v>
          </cell>
        </row>
        <row r="1133">
          <cell r="K1133">
            <v>134.11000000000001</v>
          </cell>
          <cell r="Q1133">
            <v>1.8238000000000001</v>
          </cell>
        </row>
        <row r="1134">
          <cell r="K1134">
            <v>134.65</v>
          </cell>
          <cell r="Q1134">
            <v>1.8311999999999999</v>
          </cell>
        </row>
        <row r="1135">
          <cell r="K1135">
            <v>134.88999999999999</v>
          </cell>
          <cell r="Q1135">
            <v>1.8344</v>
          </cell>
        </row>
        <row r="1136">
          <cell r="K1136">
            <v>135.47999999999999</v>
          </cell>
          <cell r="Q1136">
            <v>1.8425</v>
          </cell>
        </row>
        <row r="1137">
          <cell r="K1137">
            <v>134.13999999999999</v>
          </cell>
          <cell r="Q1137">
            <v>1.7887999999999999</v>
          </cell>
        </row>
        <row r="1138">
          <cell r="K1138">
            <v>135.63999999999999</v>
          </cell>
          <cell r="Q1138">
            <v>1.8088</v>
          </cell>
        </row>
        <row r="1139">
          <cell r="K1139">
            <v>135.25</v>
          </cell>
          <cell r="Q1139">
            <v>1.8036000000000001</v>
          </cell>
        </row>
        <row r="1140">
          <cell r="K1140">
            <v>137.66</v>
          </cell>
          <cell r="Q1140">
            <v>1.8357000000000001</v>
          </cell>
        </row>
        <row r="1141">
          <cell r="K1141">
            <v>137.52000000000001</v>
          </cell>
          <cell r="Q1141">
            <v>1.8338000000000001</v>
          </cell>
        </row>
        <row r="1142">
          <cell r="K1142">
            <v>138.72</v>
          </cell>
          <cell r="Q1142">
            <v>1.8498000000000001</v>
          </cell>
        </row>
        <row r="1143">
          <cell r="K1143">
            <v>138.85001</v>
          </cell>
          <cell r="Q1143">
            <v>1.8515999999999999</v>
          </cell>
        </row>
        <row r="1144">
          <cell r="K1144">
            <v>139.66</v>
          </cell>
          <cell r="Q1144">
            <v>1.8624000000000001</v>
          </cell>
        </row>
        <row r="1145">
          <cell r="K1145">
            <v>139.85001</v>
          </cell>
          <cell r="Q1145">
            <v>1.8649</v>
          </cell>
        </row>
        <row r="1146">
          <cell r="K1146">
            <v>140.37</v>
          </cell>
          <cell r="Q1146">
            <v>1.8717999999999999</v>
          </cell>
        </row>
        <row r="1147">
          <cell r="K1147">
            <v>141.5</v>
          </cell>
          <cell r="Q1147">
            <v>1.8869</v>
          </cell>
        </row>
        <row r="1148">
          <cell r="K1148">
            <v>141.06</v>
          </cell>
          <cell r="Q1148">
            <v>1.881</v>
          </cell>
        </row>
        <row r="1149">
          <cell r="K1149">
            <v>142.83000000000001</v>
          </cell>
          <cell r="Q1149">
            <v>1.9046000000000001</v>
          </cell>
        </row>
        <row r="1150">
          <cell r="K1150">
            <v>138.03</v>
          </cell>
          <cell r="Q1150">
            <v>1.8406</v>
          </cell>
        </row>
        <row r="1151">
          <cell r="K1151">
            <v>139.07001</v>
          </cell>
          <cell r="Q1151">
            <v>1.8545</v>
          </cell>
        </row>
        <row r="1152">
          <cell r="K1152">
            <v>139.83000000000001</v>
          </cell>
          <cell r="Q1152">
            <v>1.8646</v>
          </cell>
        </row>
        <row r="1153">
          <cell r="K1153">
            <v>139.66999999999999</v>
          </cell>
          <cell r="Q1153">
            <v>1.8625</v>
          </cell>
        </row>
        <row r="1154">
          <cell r="K1154">
            <v>139.84</v>
          </cell>
          <cell r="Q1154">
            <v>1.8648</v>
          </cell>
        </row>
        <row r="1155">
          <cell r="K1155">
            <v>140.66999999999999</v>
          </cell>
          <cell r="Q1155">
            <v>1.8757999999999999</v>
          </cell>
        </row>
        <row r="1156">
          <cell r="K1156">
            <v>141.43</v>
          </cell>
          <cell r="Q1156">
            <v>1.8859999999999999</v>
          </cell>
        </row>
        <row r="1157">
          <cell r="K1157">
            <v>140.9</v>
          </cell>
          <cell r="Q1157">
            <v>1.8789</v>
          </cell>
        </row>
        <row r="1158">
          <cell r="K1158">
            <v>143.6</v>
          </cell>
          <cell r="Q1158">
            <v>1.9149</v>
          </cell>
        </row>
        <row r="1159">
          <cell r="K1159">
            <v>143.32001</v>
          </cell>
          <cell r="Q1159">
            <v>1.9112</v>
          </cell>
        </row>
        <row r="1160">
          <cell r="K1160">
            <v>143.84</v>
          </cell>
          <cell r="Q1160">
            <v>1.9180999999999999</v>
          </cell>
        </row>
        <row r="1161">
          <cell r="K1161">
            <v>144.16999999999999</v>
          </cell>
          <cell r="Q1161">
            <v>1.9225000000000001</v>
          </cell>
        </row>
        <row r="1162">
          <cell r="K1162">
            <v>146.79</v>
          </cell>
          <cell r="Q1162">
            <v>1.9575</v>
          </cell>
        </row>
        <row r="1163">
          <cell r="K1163">
            <v>146.91999999999999</v>
          </cell>
          <cell r="Q1163">
            <v>1.9592000000000001</v>
          </cell>
        </row>
        <row r="1164">
          <cell r="K1164">
            <v>146.46001000000001</v>
          </cell>
          <cell r="Q1164">
            <v>1.9531000000000001</v>
          </cell>
        </row>
        <row r="1165">
          <cell r="K1165">
            <v>146.13999999999999</v>
          </cell>
          <cell r="Q1165">
            <v>1.9488000000000001</v>
          </cell>
        </row>
        <row r="1166">
          <cell r="K1166">
            <v>146.55000000000001</v>
          </cell>
          <cell r="Q1166">
            <v>1.9542999999999999</v>
          </cell>
        </row>
        <row r="1167">
          <cell r="K1167">
            <v>145.43</v>
          </cell>
          <cell r="Q1167">
            <v>1.9393</v>
          </cell>
        </row>
        <row r="1168">
          <cell r="K1168">
            <v>143.74001000000001</v>
          </cell>
          <cell r="Q1168">
            <v>1.9168000000000001</v>
          </cell>
        </row>
        <row r="1169">
          <cell r="K1169">
            <v>143.63999999999999</v>
          </cell>
          <cell r="Q1169">
            <v>1.9154</v>
          </cell>
        </row>
        <row r="1170">
          <cell r="K1170">
            <v>142.24001000000001</v>
          </cell>
          <cell r="Q1170">
            <v>1.8968</v>
          </cell>
        </row>
        <row r="1171">
          <cell r="K1171">
            <v>141.94999999999999</v>
          </cell>
          <cell r="Q1171">
            <v>1.8929</v>
          </cell>
        </row>
        <row r="1172">
          <cell r="K1172">
            <v>144.36000000000001</v>
          </cell>
          <cell r="Q1172">
            <v>1.925</v>
          </cell>
        </row>
        <row r="1173">
          <cell r="K1173">
            <v>145.05000000000001</v>
          </cell>
          <cell r="Q1173">
            <v>1.9341999999999999</v>
          </cell>
        </row>
        <row r="1174">
          <cell r="K1174">
            <v>145.38999999999999</v>
          </cell>
          <cell r="Q1174">
            <v>1.9388000000000001</v>
          </cell>
        </row>
        <row r="1175">
          <cell r="K1175">
            <v>143.18</v>
          </cell>
          <cell r="Q1175">
            <v>1.9093</v>
          </cell>
        </row>
        <row r="1176">
          <cell r="K1176">
            <v>145.81</v>
          </cell>
          <cell r="Q1176">
            <v>1.9443999999999999</v>
          </cell>
        </row>
        <row r="1177">
          <cell r="K1177">
            <v>143.9</v>
          </cell>
          <cell r="Q1177">
            <v>1.9189000000000001</v>
          </cell>
        </row>
        <row r="1178">
          <cell r="K1178">
            <v>142.88999999999999</v>
          </cell>
          <cell r="Q1178">
            <v>1.9054</v>
          </cell>
        </row>
        <row r="1179">
          <cell r="K1179">
            <v>141.46001000000001</v>
          </cell>
          <cell r="Q1179">
            <v>1.8864000000000001</v>
          </cell>
        </row>
        <row r="1180">
          <cell r="K1180">
            <v>144.41</v>
          </cell>
          <cell r="Q1180">
            <v>1.9257</v>
          </cell>
        </row>
        <row r="1181">
          <cell r="K1181">
            <v>145.18</v>
          </cell>
          <cell r="Q1181">
            <v>1.9359999999999999</v>
          </cell>
        </row>
        <row r="1182">
          <cell r="K1182">
            <v>145.38</v>
          </cell>
          <cell r="Q1182">
            <v>1.9386000000000001</v>
          </cell>
        </row>
        <row r="1183">
          <cell r="K1183">
            <v>144.99001000000001</v>
          </cell>
          <cell r="Q1183">
            <v>1.9334</v>
          </cell>
        </row>
        <row r="1184">
          <cell r="K1184">
            <v>144.02000000000001</v>
          </cell>
          <cell r="Q1184">
            <v>1.9205000000000001</v>
          </cell>
        </row>
        <row r="1185">
          <cell r="K1185">
            <v>144.97999999999999</v>
          </cell>
          <cell r="Q1185">
            <v>1.9333</v>
          </cell>
        </row>
        <row r="1186">
          <cell r="K1186">
            <v>144.30000000000001</v>
          </cell>
          <cell r="Q1186">
            <v>1.9241999999999999</v>
          </cell>
        </row>
        <row r="1187">
          <cell r="K1187">
            <v>144.82001</v>
          </cell>
          <cell r="Q1187">
            <v>1.9312</v>
          </cell>
        </row>
        <row r="1188">
          <cell r="K1188">
            <v>144.28</v>
          </cell>
          <cell r="Q1188">
            <v>1.9239999999999999</v>
          </cell>
        </row>
        <row r="1189">
          <cell r="K1189">
            <v>145.82001</v>
          </cell>
          <cell r="Q1189">
            <v>1.9444999999999999</v>
          </cell>
        </row>
        <row r="1190">
          <cell r="K1190">
            <v>144.72</v>
          </cell>
          <cell r="Q1190">
            <v>1.9298</v>
          </cell>
        </row>
        <row r="1191">
          <cell r="K1191">
            <v>144.55000000000001</v>
          </cell>
          <cell r="Q1191">
            <v>1.9276</v>
          </cell>
        </row>
        <row r="1192">
          <cell r="K1192">
            <v>145</v>
          </cell>
          <cell r="Q1192">
            <v>1.9336</v>
          </cell>
        </row>
        <row r="1193">
          <cell r="K1193">
            <v>144.51</v>
          </cell>
          <cell r="Q1193">
            <v>1.927</v>
          </cell>
        </row>
        <row r="1194">
          <cell r="K1194">
            <v>145.74001000000001</v>
          </cell>
          <cell r="Q1194">
            <v>1.9434</v>
          </cell>
        </row>
        <row r="1195">
          <cell r="K1195">
            <v>145.94999999999999</v>
          </cell>
          <cell r="Q1195">
            <v>1.9461999999999999</v>
          </cell>
        </row>
        <row r="1196">
          <cell r="K1196">
            <v>145.88999999999999</v>
          </cell>
          <cell r="Q1196">
            <v>1.9454</v>
          </cell>
        </row>
        <row r="1197">
          <cell r="K1197">
            <v>145.34</v>
          </cell>
          <cell r="Q1197">
            <v>1.9380999999999999</v>
          </cell>
        </row>
        <row r="1198">
          <cell r="K1198">
            <v>145.71001000000001</v>
          </cell>
          <cell r="Q1198">
            <v>1.9430000000000001</v>
          </cell>
        </row>
        <row r="1199">
          <cell r="K1199">
            <v>146.52000000000001</v>
          </cell>
          <cell r="Q1199">
            <v>1.9539</v>
          </cell>
        </row>
        <row r="1200">
          <cell r="K1200">
            <v>146.66999999999999</v>
          </cell>
          <cell r="Q1200">
            <v>1.9559</v>
          </cell>
        </row>
        <row r="1201">
          <cell r="K1201">
            <v>146.76</v>
          </cell>
          <cell r="Q1201">
            <v>1.8917999999999999</v>
          </cell>
        </row>
        <row r="1202">
          <cell r="K1202">
            <v>147.47999999999999</v>
          </cell>
          <cell r="Q1202">
            <v>1.9011</v>
          </cell>
        </row>
        <row r="1203">
          <cell r="K1203">
            <v>147.63999999999999</v>
          </cell>
          <cell r="Q1203">
            <v>1.9031</v>
          </cell>
        </row>
        <row r="1204">
          <cell r="K1204">
            <v>147.05000000000001</v>
          </cell>
          <cell r="Q1204">
            <v>1.8955</v>
          </cell>
        </row>
        <row r="1205">
          <cell r="K1205">
            <v>148.66</v>
          </cell>
          <cell r="Q1205">
            <v>1.9162999999999999</v>
          </cell>
        </row>
        <row r="1206">
          <cell r="K1206">
            <v>147.93</v>
          </cell>
          <cell r="Q1206">
            <v>1.9069</v>
          </cell>
        </row>
        <row r="1207">
          <cell r="K1207">
            <v>147.63999999999999</v>
          </cell>
          <cell r="Q1207">
            <v>1.9031</v>
          </cell>
        </row>
        <row r="1208">
          <cell r="K1208">
            <v>147.28</v>
          </cell>
          <cell r="Q1208">
            <v>1.8985000000000001</v>
          </cell>
        </row>
        <row r="1209">
          <cell r="K1209">
            <v>149.1</v>
          </cell>
          <cell r="Q1209">
            <v>1.9219999999999999</v>
          </cell>
        </row>
        <row r="1210">
          <cell r="K1210">
            <v>148.82001</v>
          </cell>
          <cell r="Q1210">
            <v>1.9184000000000001</v>
          </cell>
        </row>
        <row r="1211">
          <cell r="K1211">
            <v>150</v>
          </cell>
          <cell r="Q1211">
            <v>1.9336</v>
          </cell>
        </row>
        <row r="1212">
          <cell r="K1212">
            <v>150.65</v>
          </cell>
          <cell r="Q1212">
            <v>1.9419</v>
          </cell>
        </row>
        <row r="1213">
          <cell r="K1213">
            <v>155.69</v>
          </cell>
          <cell r="Q1213">
            <v>2.0068999999999999</v>
          </cell>
        </row>
        <row r="1214">
          <cell r="K1214">
            <v>155.80000000000001</v>
          </cell>
          <cell r="Q1214">
            <v>2.0083000000000002</v>
          </cell>
        </row>
        <row r="1215">
          <cell r="K1215">
            <v>155.5</v>
          </cell>
          <cell r="Q1215">
            <v>2.0045000000000002</v>
          </cell>
        </row>
        <row r="1216">
          <cell r="K1216">
            <v>159.63</v>
          </cell>
          <cell r="Q1216">
            <v>2.0577000000000001</v>
          </cell>
        </row>
        <row r="1217">
          <cell r="K1217">
            <v>161.44</v>
          </cell>
          <cell r="Q1217">
            <v>2.081</v>
          </cell>
        </row>
        <row r="1218">
          <cell r="K1218">
            <v>161.04</v>
          </cell>
          <cell r="Q1218">
            <v>2.0758999999999999</v>
          </cell>
        </row>
        <row r="1219">
          <cell r="K1219">
            <v>161.07001</v>
          </cell>
          <cell r="Q1219">
            <v>2.0762999999999998</v>
          </cell>
        </row>
        <row r="1220">
          <cell r="K1220">
            <v>159.21001000000001</v>
          </cell>
          <cell r="Q1220">
            <v>2.0522999999999998</v>
          </cell>
        </row>
        <row r="1221">
          <cell r="K1221">
            <v>162</v>
          </cell>
          <cell r="Q1221">
            <v>2.0882000000000001</v>
          </cell>
        </row>
        <row r="1222">
          <cell r="K1222">
            <v>163.56</v>
          </cell>
          <cell r="Q1222">
            <v>2.1084000000000001</v>
          </cell>
        </row>
        <row r="1223">
          <cell r="K1223">
            <v>163.30000000000001</v>
          </cell>
          <cell r="Q1223">
            <v>2.105</v>
          </cell>
        </row>
        <row r="1224">
          <cell r="K1224">
            <v>163.53</v>
          </cell>
          <cell r="Q1224">
            <v>2.1080000000000001</v>
          </cell>
        </row>
        <row r="1225">
          <cell r="K1225">
            <v>164</v>
          </cell>
          <cell r="Q1225">
            <v>2.1139999999999999</v>
          </cell>
        </row>
        <row r="1226">
          <cell r="K1226">
            <v>164.82001</v>
          </cell>
          <cell r="Q1226">
            <v>2.1246</v>
          </cell>
        </row>
        <row r="1227">
          <cell r="K1227">
            <v>166.05</v>
          </cell>
          <cell r="Q1227">
            <v>2.1404999999999998</v>
          </cell>
        </row>
        <row r="1228">
          <cell r="K1228">
            <v>164.65</v>
          </cell>
          <cell r="Q1228">
            <v>2.1223999999999998</v>
          </cell>
        </row>
        <row r="1229">
          <cell r="K1229">
            <v>164.09</v>
          </cell>
          <cell r="Q1229">
            <v>2.1152000000000002</v>
          </cell>
        </row>
        <row r="1230">
          <cell r="K1230">
            <v>163.85001</v>
          </cell>
          <cell r="Q1230">
            <v>2.1120999999999999</v>
          </cell>
        </row>
        <row r="1231">
          <cell r="K1231">
            <v>163.22</v>
          </cell>
          <cell r="Q1231">
            <v>2.1040000000000001</v>
          </cell>
        </row>
        <row r="1232">
          <cell r="K1232">
            <v>162.84</v>
          </cell>
          <cell r="Q1232">
            <v>2.0991</v>
          </cell>
        </row>
        <row r="1233">
          <cell r="K1233">
            <v>163.4</v>
          </cell>
          <cell r="Q1233">
            <v>2.1063000000000001</v>
          </cell>
        </row>
        <row r="1234">
          <cell r="K1234">
            <v>164.24001000000001</v>
          </cell>
          <cell r="Q1234">
            <v>2.1171000000000002</v>
          </cell>
        </row>
        <row r="1235">
          <cell r="K1235">
            <v>164.84</v>
          </cell>
          <cell r="Q1235">
            <v>2.1248999999999998</v>
          </cell>
        </row>
        <row r="1236">
          <cell r="K1236">
            <v>161.94999999999999</v>
          </cell>
          <cell r="Q1236">
            <v>2.0876000000000001</v>
          </cell>
        </row>
        <row r="1237">
          <cell r="K1237">
            <v>160.18</v>
          </cell>
          <cell r="Q1237">
            <v>2.0648</v>
          </cell>
        </row>
        <row r="1238">
          <cell r="K1238">
            <v>160.77000000000001</v>
          </cell>
          <cell r="Q1238">
            <v>2.0724</v>
          </cell>
        </row>
        <row r="1239">
          <cell r="K1239">
            <v>162.28</v>
          </cell>
          <cell r="Q1239">
            <v>2.0918999999999999</v>
          </cell>
        </row>
        <row r="1240">
          <cell r="K1240">
            <v>161.88</v>
          </cell>
          <cell r="Q1240">
            <v>2.0867</v>
          </cell>
        </row>
        <row r="1241">
          <cell r="K1241">
            <v>159.97</v>
          </cell>
          <cell r="Q1241">
            <v>2.0621</v>
          </cell>
        </row>
        <row r="1242">
          <cell r="K1242">
            <v>160.16</v>
          </cell>
          <cell r="Q1242">
            <v>2.0644999999999998</v>
          </cell>
        </row>
        <row r="1243">
          <cell r="K1243">
            <v>163.47999999999999</v>
          </cell>
          <cell r="Q1243">
            <v>2.1073</v>
          </cell>
        </row>
        <row r="1244">
          <cell r="K1244">
            <v>161.83000000000001</v>
          </cell>
          <cell r="Q1244">
            <v>2.0861000000000001</v>
          </cell>
        </row>
        <row r="1245">
          <cell r="K1245">
            <v>159.93</v>
          </cell>
          <cell r="Q1245">
            <v>2.0615999999999999</v>
          </cell>
        </row>
        <row r="1246">
          <cell r="K1246">
            <v>162.28</v>
          </cell>
          <cell r="Q1246">
            <v>2.0918999999999999</v>
          </cell>
        </row>
        <row r="1247">
          <cell r="K1247">
            <v>165.86</v>
          </cell>
          <cell r="Q1247">
            <v>2.1379999999999999</v>
          </cell>
        </row>
        <row r="1248">
          <cell r="K1248">
            <v>162.02000000000001</v>
          </cell>
          <cell r="Q1248">
            <v>2.0884999999999998</v>
          </cell>
        </row>
        <row r="1249">
          <cell r="K1249">
            <v>162.43</v>
          </cell>
          <cell r="Q1249">
            <v>2.0937999999999999</v>
          </cell>
        </row>
        <row r="1250">
          <cell r="K1250">
            <v>161.38999999999999</v>
          </cell>
          <cell r="Q1250">
            <v>2.0804</v>
          </cell>
        </row>
        <row r="1251">
          <cell r="K1251">
            <v>159.02000000000001</v>
          </cell>
          <cell r="Q1251">
            <v>2.0497999999999998</v>
          </cell>
        </row>
        <row r="1252">
          <cell r="K1252">
            <v>153</v>
          </cell>
          <cell r="Q1252">
            <v>1.9722</v>
          </cell>
        </row>
        <row r="1253">
          <cell r="K1253">
            <v>154.18</v>
          </cell>
          <cell r="Q1253">
            <v>1.9874000000000001</v>
          </cell>
        </row>
        <row r="1254">
          <cell r="K1254">
            <v>155.88999999999999</v>
          </cell>
          <cell r="Q1254">
            <v>2.0095000000000001</v>
          </cell>
        </row>
        <row r="1255">
          <cell r="K1255">
            <v>157.68</v>
          </cell>
          <cell r="Q1255">
            <v>2.0326</v>
          </cell>
        </row>
        <row r="1256">
          <cell r="K1256">
            <v>158</v>
          </cell>
          <cell r="Q1256">
            <v>2.0367000000000002</v>
          </cell>
        </row>
        <row r="1257">
          <cell r="K1257">
            <v>159.53</v>
          </cell>
          <cell r="Q1257">
            <v>2.0564</v>
          </cell>
        </row>
        <row r="1258">
          <cell r="K1258">
            <v>160.04</v>
          </cell>
          <cell r="Q1258">
            <v>2.0630000000000002</v>
          </cell>
        </row>
        <row r="1259">
          <cell r="K1259">
            <v>162.18</v>
          </cell>
          <cell r="Q1259">
            <v>2.0905999999999998</v>
          </cell>
        </row>
        <row r="1260">
          <cell r="K1260">
            <v>161.37</v>
          </cell>
          <cell r="Q1260">
            <v>2.0800999999999998</v>
          </cell>
        </row>
        <row r="1261">
          <cell r="K1261">
            <v>162.88</v>
          </cell>
          <cell r="Q1261">
            <v>2.0996000000000001</v>
          </cell>
        </row>
        <row r="1262">
          <cell r="K1262">
            <v>163.6</v>
          </cell>
          <cell r="Q1262">
            <v>2.1089000000000002</v>
          </cell>
        </row>
        <row r="1263">
          <cell r="K1263">
            <v>163.07001</v>
          </cell>
          <cell r="Q1263">
            <v>2.0331000000000001</v>
          </cell>
        </row>
        <row r="1264">
          <cell r="K1264">
            <v>164.27</v>
          </cell>
          <cell r="Q1264">
            <v>2.0480999999999998</v>
          </cell>
        </row>
        <row r="1265">
          <cell r="K1265">
            <v>164.25</v>
          </cell>
          <cell r="Q1265">
            <v>2.0478000000000001</v>
          </cell>
        </row>
        <row r="1266">
          <cell r="K1266">
            <v>163.99001000000001</v>
          </cell>
          <cell r="Q1266">
            <v>2.0446</v>
          </cell>
        </row>
        <row r="1267">
          <cell r="K1267">
            <v>164.04</v>
          </cell>
          <cell r="Q1267">
            <v>2.0451999999999999</v>
          </cell>
        </row>
        <row r="1268">
          <cell r="K1268">
            <v>164.38</v>
          </cell>
          <cell r="Q1268">
            <v>2.0495000000000001</v>
          </cell>
        </row>
        <row r="1269">
          <cell r="K1269">
            <v>164.05</v>
          </cell>
          <cell r="Q1269">
            <v>2.0453000000000001</v>
          </cell>
        </row>
        <row r="1270">
          <cell r="K1270">
            <v>163.95</v>
          </cell>
          <cell r="Q1270">
            <v>2.0440999999999998</v>
          </cell>
        </row>
        <row r="1271">
          <cell r="K1271">
            <v>163.25</v>
          </cell>
          <cell r="Q1271">
            <v>2.0354000000000001</v>
          </cell>
        </row>
        <row r="1272">
          <cell r="K1272">
            <v>163.95</v>
          </cell>
          <cell r="Q1272">
            <v>2.0440999999999998</v>
          </cell>
        </row>
        <row r="1273">
          <cell r="K1273">
            <v>164.97</v>
          </cell>
          <cell r="Q1273">
            <v>2.0568</v>
          </cell>
        </row>
        <row r="1274">
          <cell r="K1274">
            <v>166.21001000000001</v>
          </cell>
          <cell r="Q1274">
            <v>2.0722999999999998</v>
          </cell>
        </row>
        <row r="1275">
          <cell r="K1275">
            <v>165.94</v>
          </cell>
          <cell r="Q1275">
            <v>2.0689000000000002</v>
          </cell>
        </row>
        <row r="1276">
          <cell r="K1276">
            <v>165.4</v>
          </cell>
          <cell r="Q1276">
            <v>2.0621999999999998</v>
          </cell>
        </row>
        <row r="1277">
          <cell r="K1277">
            <v>164.75</v>
          </cell>
          <cell r="Q1277">
            <v>2.0541</v>
          </cell>
        </row>
        <row r="1278">
          <cell r="K1278">
            <v>168.28</v>
          </cell>
          <cell r="Q1278">
            <v>2.0981000000000001</v>
          </cell>
        </row>
        <row r="1279">
          <cell r="K1279">
            <v>167.67</v>
          </cell>
          <cell r="Q1279">
            <v>2.0905</v>
          </cell>
        </row>
        <row r="1280">
          <cell r="K1280">
            <v>168.49001000000001</v>
          </cell>
          <cell r="Q1280">
            <v>2.1006999999999998</v>
          </cell>
        </row>
        <row r="1281">
          <cell r="K1281">
            <v>170.37</v>
          </cell>
          <cell r="Q1281">
            <v>2.1240999999999999</v>
          </cell>
        </row>
        <row r="1282">
          <cell r="K1282">
            <v>170.78</v>
          </cell>
          <cell r="Q1282">
            <v>2.1293000000000002</v>
          </cell>
        </row>
        <row r="1283">
          <cell r="K1283">
            <v>170.58</v>
          </cell>
          <cell r="Q1283">
            <v>2.1267999999999998</v>
          </cell>
        </row>
        <row r="1284">
          <cell r="K1284">
            <v>172.15</v>
          </cell>
          <cell r="Q1284">
            <v>2.1463000000000001</v>
          </cell>
        </row>
        <row r="1285">
          <cell r="K1285">
            <v>172.87</v>
          </cell>
          <cell r="Q1285">
            <v>2.1553</v>
          </cell>
        </row>
        <row r="1286">
          <cell r="K1286">
            <v>170.62</v>
          </cell>
          <cell r="Q1286">
            <v>2.1273</v>
          </cell>
        </row>
        <row r="1287">
          <cell r="K1287">
            <v>168.46001000000001</v>
          </cell>
          <cell r="Q1287">
            <v>2.1002999999999998</v>
          </cell>
        </row>
        <row r="1288">
          <cell r="K1288">
            <v>168.89</v>
          </cell>
          <cell r="Q1288">
            <v>2.1057000000000001</v>
          </cell>
        </row>
        <row r="1289">
          <cell r="K1289">
            <v>169.1</v>
          </cell>
          <cell r="Q1289">
            <v>2.1082999999999998</v>
          </cell>
        </row>
        <row r="1290">
          <cell r="K1290">
            <v>170.38</v>
          </cell>
          <cell r="Q1290">
            <v>2.1242999999999999</v>
          </cell>
        </row>
        <row r="1291">
          <cell r="K1291">
            <v>169.5</v>
          </cell>
          <cell r="Q1291">
            <v>2.1133000000000002</v>
          </cell>
        </row>
        <row r="1292">
          <cell r="K1292">
            <v>172.24001000000001</v>
          </cell>
          <cell r="Q1292">
            <v>2.1475</v>
          </cell>
        </row>
        <row r="1293">
          <cell r="K1293">
            <v>169.92</v>
          </cell>
          <cell r="Q1293">
            <v>2.1185</v>
          </cell>
        </row>
        <row r="1294">
          <cell r="K1294">
            <v>168.86</v>
          </cell>
          <cell r="Q1294">
            <v>2.1053000000000002</v>
          </cell>
        </row>
        <row r="1295">
          <cell r="K1295">
            <v>170.5</v>
          </cell>
          <cell r="Q1295">
            <v>2.1257999999999999</v>
          </cell>
        </row>
        <row r="1296">
          <cell r="K1296">
            <v>170.44</v>
          </cell>
          <cell r="Q1296">
            <v>2.125</v>
          </cell>
        </row>
        <row r="1297">
          <cell r="K1297">
            <v>170.59</v>
          </cell>
          <cell r="Q1297">
            <v>2.1269</v>
          </cell>
        </row>
        <row r="1298">
          <cell r="K1298">
            <v>170.16</v>
          </cell>
          <cell r="Q1298">
            <v>2.1215000000000002</v>
          </cell>
        </row>
        <row r="1299">
          <cell r="K1299">
            <v>168.26</v>
          </cell>
          <cell r="Q1299">
            <v>2.0977999999999999</v>
          </cell>
        </row>
        <row r="1300">
          <cell r="K1300">
            <v>167.99001000000001</v>
          </cell>
          <cell r="Q1300">
            <v>2.0945</v>
          </cell>
        </row>
        <row r="1301">
          <cell r="K1301">
            <v>167.75</v>
          </cell>
          <cell r="Q1301">
            <v>2.0914999999999999</v>
          </cell>
        </row>
        <row r="1302">
          <cell r="K1302">
            <v>167.18</v>
          </cell>
          <cell r="Q1302">
            <v>2.0844</v>
          </cell>
        </row>
        <row r="1303">
          <cell r="K1303">
            <v>167.5</v>
          </cell>
          <cell r="Q1303">
            <v>2.0884</v>
          </cell>
        </row>
        <row r="1304">
          <cell r="K1304">
            <v>168.93</v>
          </cell>
          <cell r="Q1304">
            <v>2.1061999999999999</v>
          </cell>
        </row>
        <row r="1305">
          <cell r="K1305">
            <v>166.56</v>
          </cell>
          <cell r="Q1305">
            <v>2.0766</v>
          </cell>
        </row>
        <row r="1306">
          <cell r="K1306">
            <v>166.09</v>
          </cell>
          <cell r="Q1306">
            <v>2.0708000000000002</v>
          </cell>
        </row>
        <row r="1307">
          <cell r="K1307">
            <v>165.05</v>
          </cell>
          <cell r="Q1307">
            <v>2.0577999999999999</v>
          </cell>
        </row>
        <row r="1308">
          <cell r="K1308">
            <v>164.75</v>
          </cell>
          <cell r="Q1308">
            <v>2.0541</v>
          </cell>
        </row>
        <row r="1309">
          <cell r="K1309">
            <v>163.69</v>
          </cell>
          <cell r="Q1309">
            <v>2.0409000000000002</v>
          </cell>
        </row>
        <row r="1310">
          <cell r="K1310">
            <v>164.34</v>
          </cell>
          <cell r="Q1310">
            <v>2.0489999999999999</v>
          </cell>
        </row>
        <row r="1311">
          <cell r="K1311">
            <v>164.84</v>
          </cell>
          <cell r="Q1311">
            <v>2.0552000000000001</v>
          </cell>
        </row>
        <row r="1312">
          <cell r="K1312">
            <v>163.18</v>
          </cell>
          <cell r="Q1312">
            <v>2.0345</v>
          </cell>
        </row>
        <row r="1313">
          <cell r="K1313">
            <v>163.16999999999999</v>
          </cell>
          <cell r="Q1313">
            <v>2.0344000000000002</v>
          </cell>
        </row>
        <row r="1314">
          <cell r="K1314">
            <v>164.12</v>
          </cell>
          <cell r="Q1314">
            <v>2.0461999999999998</v>
          </cell>
        </row>
        <row r="1315">
          <cell r="K1315">
            <v>162.33000000000001</v>
          </cell>
          <cell r="Q1315">
            <v>2.0238999999999998</v>
          </cell>
        </row>
        <row r="1316">
          <cell r="K1316">
            <v>162.66999999999999</v>
          </cell>
          <cell r="Q1316">
            <v>2.0280999999999998</v>
          </cell>
        </row>
        <row r="1317">
          <cell r="K1317">
            <v>164.44</v>
          </cell>
          <cell r="Q1317">
            <v>2.0501999999999998</v>
          </cell>
        </row>
        <row r="1318">
          <cell r="K1318">
            <v>165.02</v>
          </cell>
          <cell r="Q1318">
            <v>2.0573999999999999</v>
          </cell>
        </row>
        <row r="1319">
          <cell r="K1319">
            <v>166.22</v>
          </cell>
          <cell r="Q1319">
            <v>2.0724</v>
          </cell>
        </row>
        <row r="1320">
          <cell r="K1320">
            <v>165.68</v>
          </cell>
          <cell r="Q1320">
            <v>2.0657000000000001</v>
          </cell>
        </row>
        <row r="1321">
          <cell r="K1321">
            <v>166.12</v>
          </cell>
          <cell r="Q1321">
            <v>2.0712000000000002</v>
          </cell>
        </row>
        <row r="1322">
          <cell r="K1322">
            <v>165.07001</v>
          </cell>
          <cell r="Q1322">
            <v>2.0581</v>
          </cell>
        </row>
        <row r="1323">
          <cell r="K1323">
            <v>167.62</v>
          </cell>
          <cell r="Q1323">
            <v>2.0899000000000001</v>
          </cell>
        </row>
        <row r="1324">
          <cell r="K1324">
            <v>170.01</v>
          </cell>
          <cell r="Q1324">
            <v>2.1196999999999999</v>
          </cell>
        </row>
        <row r="1325">
          <cell r="K1325">
            <v>170.54</v>
          </cell>
          <cell r="Q1325">
            <v>2.1263000000000001</v>
          </cell>
        </row>
        <row r="1326">
          <cell r="K1326">
            <v>171.55</v>
          </cell>
          <cell r="Q1326">
            <v>2.0478000000000001</v>
          </cell>
        </row>
        <row r="1327">
          <cell r="K1327">
            <v>174.54</v>
          </cell>
          <cell r="Q1327">
            <v>2.0834000000000001</v>
          </cell>
        </row>
        <row r="1328">
          <cell r="K1328">
            <v>175.43</v>
          </cell>
          <cell r="Q1328">
            <v>2.0941000000000001</v>
          </cell>
        </row>
        <row r="1329">
          <cell r="K1329">
            <v>177.71001000000001</v>
          </cell>
          <cell r="Q1329">
            <v>2.1213000000000002</v>
          </cell>
        </row>
        <row r="1330">
          <cell r="K1330">
            <v>176.48</v>
          </cell>
          <cell r="Q1330">
            <v>2.1065999999999998</v>
          </cell>
        </row>
        <row r="1331">
          <cell r="K1331">
            <v>176.49001000000001</v>
          </cell>
          <cell r="Q1331">
            <v>2.1067</v>
          </cell>
        </row>
        <row r="1332">
          <cell r="K1332">
            <v>174.99001000000001</v>
          </cell>
          <cell r="Q1332">
            <v>2.0888</v>
          </cell>
        </row>
        <row r="1333">
          <cell r="K1333">
            <v>174.05</v>
          </cell>
          <cell r="Q1333">
            <v>2.0775999999999999</v>
          </cell>
        </row>
        <row r="1334">
          <cell r="K1334">
            <v>174.32001</v>
          </cell>
          <cell r="Q1334">
            <v>2.0808</v>
          </cell>
        </row>
        <row r="1335">
          <cell r="K1335">
            <v>174.23</v>
          </cell>
          <cell r="Q1335">
            <v>2.0796999999999999</v>
          </cell>
        </row>
        <row r="1336">
          <cell r="K1336">
            <v>175.54</v>
          </cell>
          <cell r="Q1336">
            <v>2.0954000000000002</v>
          </cell>
        </row>
        <row r="1337">
          <cell r="K1337">
            <v>175.28</v>
          </cell>
          <cell r="Q1337">
            <v>2.0922999999999998</v>
          </cell>
        </row>
        <row r="1338">
          <cell r="K1338">
            <v>185.21001000000001</v>
          </cell>
          <cell r="Q1338">
            <v>2.2107999999999999</v>
          </cell>
        </row>
        <row r="1339">
          <cell r="K1339">
            <v>183.65</v>
          </cell>
          <cell r="Q1339">
            <v>2.1922000000000001</v>
          </cell>
        </row>
        <row r="1340">
          <cell r="K1340">
            <v>184.9</v>
          </cell>
          <cell r="Q1340">
            <v>2.2071000000000001</v>
          </cell>
        </row>
        <row r="1341">
          <cell r="K1341">
            <v>185.18</v>
          </cell>
          <cell r="Q1341">
            <v>2.2103999999999999</v>
          </cell>
        </row>
        <row r="1342">
          <cell r="K1342">
            <v>183.7</v>
          </cell>
          <cell r="Q1342">
            <v>2.1928000000000001</v>
          </cell>
        </row>
        <row r="1343">
          <cell r="K1343">
            <v>182.93</v>
          </cell>
          <cell r="Q1343">
            <v>2.1836000000000002</v>
          </cell>
        </row>
        <row r="1344">
          <cell r="K1344">
            <v>181.35001</v>
          </cell>
          <cell r="Q1344">
            <v>2.1646999999999998</v>
          </cell>
        </row>
        <row r="1345">
          <cell r="K1345">
            <v>181.8</v>
          </cell>
          <cell r="Q1345">
            <v>2.1701000000000001</v>
          </cell>
        </row>
        <row r="1346">
          <cell r="K1346">
            <v>181.85001</v>
          </cell>
          <cell r="Q1346">
            <v>2.1707000000000001</v>
          </cell>
        </row>
        <row r="1347">
          <cell r="K1347">
            <v>180.75</v>
          </cell>
          <cell r="Q1347">
            <v>2.1576</v>
          </cell>
        </row>
        <row r="1348">
          <cell r="K1348">
            <v>178.05</v>
          </cell>
          <cell r="Q1348">
            <v>2.1253000000000002</v>
          </cell>
        </row>
        <row r="1349">
          <cell r="K1349">
            <v>178.83</v>
          </cell>
          <cell r="Q1349">
            <v>2.1347</v>
          </cell>
        </row>
        <row r="1350">
          <cell r="K1350">
            <v>171.48</v>
          </cell>
          <cell r="Q1350">
            <v>2.0468999999999999</v>
          </cell>
        </row>
        <row r="1351">
          <cell r="K1351">
            <v>172.98</v>
          </cell>
          <cell r="Q1351">
            <v>2.0648</v>
          </cell>
        </row>
        <row r="1352">
          <cell r="K1352">
            <v>166.22</v>
          </cell>
          <cell r="Q1352">
            <v>1.9841</v>
          </cell>
        </row>
        <row r="1353">
          <cell r="K1353">
            <v>170.61</v>
          </cell>
          <cell r="Q1353">
            <v>2.0365000000000002</v>
          </cell>
        </row>
        <row r="1354">
          <cell r="K1354">
            <v>162.54</v>
          </cell>
          <cell r="Q1354">
            <v>1.9401999999999999</v>
          </cell>
        </row>
        <row r="1355">
          <cell r="K1355">
            <v>166.73</v>
          </cell>
          <cell r="Q1355">
            <v>1.9902</v>
          </cell>
        </row>
        <row r="1356">
          <cell r="K1356">
            <v>168.2</v>
          </cell>
          <cell r="Q1356">
            <v>2.0078</v>
          </cell>
        </row>
        <row r="1357">
          <cell r="K1357">
            <v>172.99001000000001</v>
          </cell>
          <cell r="Q1357">
            <v>2.0649000000000002</v>
          </cell>
        </row>
        <row r="1358">
          <cell r="K1358">
            <v>171.24001000000001</v>
          </cell>
          <cell r="Q1358">
            <v>2.0440999999999998</v>
          </cell>
        </row>
        <row r="1359">
          <cell r="K1359">
            <v>171.48</v>
          </cell>
          <cell r="Q1359">
            <v>2.0468999999999999</v>
          </cell>
        </row>
        <row r="1360">
          <cell r="K1360">
            <v>163.83000000000001</v>
          </cell>
          <cell r="Q1360">
            <v>1.9556</v>
          </cell>
        </row>
        <row r="1361">
          <cell r="K1361">
            <v>157.54</v>
          </cell>
          <cell r="Q1361">
            <v>1.8805000000000001</v>
          </cell>
        </row>
        <row r="1362">
          <cell r="K1362">
            <v>158.97999999999999</v>
          </cell>
          <cell r="Q1362">
            <v>1.8976999999999999</v>
          </cell>
        </row>
        <row r="1363">
          <cell r="K1363">
            <v>164.32001</v>
          </cell>
          <cell r="Q1363">
            <v>1.9614</v>
          </cell>
        </row>
        <row r="1364">
          <cell r="K1364">
            <v>166.76</v>
          </cell>
          <cell r="Q1364">
            <v>1.9905999999999999</v>
          </cell>
        </row>
        <row r="1365">
          <cell r="K1365">
            <v>165.58</v>
          </cell>
          <cell r="Q1365">
            <v>1.9764999999999999</v>
          </cell>
        </row>
        <row r="1366">
          <cell r="K1366">
            <v>169.14</v>
          </cell>
          <cell r="Q1366">
            <v>2.0190000000000001</v>
          </cell>
        </row>
        <row r="1367">
          <cell r="K1367">
            <v>172.62</v>
          </cell>
          <cell r="Q1367">
            <v>2.0605000000000002</v>
          </cell>
        </row>
        <row r="1368">
          <cell r="K1368">
            <v>172.51</v>
          </cell>
          <cell r="Q1368">
            <v>2.0592000000000001</v>
          </cell>
        </row>
        <row r="1369">
          <cell r="K1369">
            <v>171.91</v>
          </cell>
          <cell r="Q1369">
            <v>2.052</v>
          </cell>
        </row>
        <row r="1370">
          <cell r="K1370">
            <v>170.33</v>
          </cell>
          <cell r="Q1370">
            <v>2.0331999999999999</v>
          </cell>
        </row>
        <row r="1371">
          <cell r="K1371">
            <v>166.98</v>
          </cell>
          <cell r="Q1371">
            <v>1.9932000000000001</v>
          </cell>
        </row>
        <row r="1372">
          <cell r="K1372">
            <v>165.11</v>
          </cell>
          <cell r="Q1372">
            <v>1.9709000000000001</v>
          </cell>
        </row>
        <row r="1373">
          <cell r="K1373">
            <v>167.31</v>
          </cell>
          <cell r="Q1373">
            <v>1.9971000000000001</v>
          </cell>
        </row>
        <row r="1374">
          <cell r="K1374">
            <v>165.25</v>
          </cell>
          <cell r="Q1374">
            <v>1.9725999999999999</v>
          </cell>
        </row>
        <row r="1375">
          <cell r="K1375">
            <v>161.37</v>
          </cell>
          <cell r="Q1375">
            <v>1.9261999999999999</v>
          </cell>
        </row>
        <row r="1376">
          <cell r="K1376">
            <v>162.41999999999999</v>
          </cell>
          <cell r="Q1376">
            <v>1.9388000000000001</v>
          </cell>
        </row>
        <row r="1377">
          <cell r="K1377">
            <v>163.43</v>
          </cell>
          <cell r="Q1377">
            <v>1.9508000000000001</v>
          </cell>
        </row>
        <row r="1378">
          <cell r="K1378">
            <v>167.24001000000001</v>
          </cell>
          <cell r="Q1378">
            <v>1.9963</v>
          </cell>
        </row>
        <row r="1379">
          <cell r="K1379">
            <v>170.09</v>
          </cell>
          <cell r="Q1379">
            <v>2.0303</v>
          </cell>
        </row>
        <row r="1380">
          <cell r="K1380">
            <v>172.99001000000001</v>
          </cell>
          <cell r="Q1380">
            <v>2.0649000000000002</v>
          </cell>
        </row>
        <row r="1381">
          <cell r="K1381">
            <v>173.13</v>
          </cell>
          <cell r="Q1381">
            <v>2.0666000000000002</v>
          </cell>
        </row>
        <row r="1382">
          <cell r="K1382">
            <v>174.72</v>
          </cell>
          <cell r="Q1382">
            <v>2.0855999999999999</v>
          </cell>
        </row>
        <row r="1383">
          <cell r="K1383">
            <v>173.02</v>
          </cell>
          <cell r="Q1383">
            <v>2.0653000000000001</v>
          </cell>
        </row>
        <row r="1384">
          <cell r="K1384">
            <v>168.62</v>
          </cell>
          <cell r="Q1384">
            <v>2.0127999999999999</v>
          </cell>
        </row>
        <row r="1385">
          <cell r="K1385">
            <v>169.34</v>
          </cell>
          <cell r="Q1385">
            <v>2.0213999999999999</v>
          </cell>
        </row>
        <row r="1386">
          <cell r="K1386">
            <v>174.51</v>
          </cell>
          <cell r="Q1386">
            <v>2.0831</v>
          </cell>
        </row>
        <row r="1387">
          <cell r="K1387">
            <v>177.71001000000001</v>
          </cell>
          <cell r="Q1387">
            <v>2.1213000000000002</v>
          </cell>
        </row>
        <row r="1388">
          <cell r="K1388">
            <v>177.55</v>
          </cell>
          <cell r="Q1388">
            <v>2.1194000000000002</v>
          </cell>
        </row>
        <row r="1389">
          <cell r="K1389">
            <v>179.17</v>
          </cell>
          <cell r="Q1389">
            <v>2.1387</v>
          </cell>
        </row>
        <row r="1390">
          <cell r="K1390">
            <v>174.87</v>
          </cell>
          <cell r="Q1390">
            <v>2.0225</v>
          </cell>
        </row>
        <row r="1391">
          <cell r="K1391">
            <v>173.29</v>
          </cell>
          <cell r="Q1391">
            <v>2.0042</v>
          </cell>
        </row>
        <row r="1392">
          <cell r="K1392">
            <v>174.74001000000001</v>
          </cell>
          <cell r="Q1392">
            <v>2.0209999999999999</v>
          </cell>
        </row>
        <row r="1393">
          <cell r="K1393">
            <v>176.85001</v>
          </cell>
          <cell r="Q1393">
            <v>2.0453999999999999</v>
          </cell>
        </row>
        <row r="1394">
          <cell r="K1394">
            <v>181.69</v>
          </cell>
          <cell r="Q1394">
            <v>2.1013999999999999</v>
          </cell>
        </row>
        <row r="1395">
          <cell r="K1395">
            <v>182.39</v>
          </cell>
          <cell r="Q1395">
            <v>2.1095000000000002</v>
          </cell>
        </row>
        <row r="1396">
          <cell r="K1396">
            <v>186.62</v>
          </cell>
          <cell r="Q1396">
            <v>2.1583999999999999</v>
          </cell>
        </row>
        <row r="1397">
          <cell r="K1397">
            <v>185</v>
          </cell>
          <cell r="Q1397">
            <v>2.1396999999999999</v>
          </cell>
        </row>
        <row r="1398">
          <cell r="K1398">
            <v>186.12</v>
          </cell>
          <cell r="Q1398">
            <v>2.1526000000000001</v>
          </cell>
        </row>
        <row r="1399">
          <cell r="K1399">
            <v>186.82001</v>
          </cell>
          <cell r="Q1399">
            <v>2.1606999999999998</v>
          </cell>
        </row>
        <row r="1400">
          <cell r="K1400">
            <v>190.53</v>
          </cell>
          <cell r="Q1400">
            <v>2.2035999999999998</v>
          </cell>
        </row>
        <row r="1401">
          <cell r="K1401">
            <v>186.59</v>
          </cell>
          <cell r="Q1401">
            <v>2.1581000000000001</v>
          </cell>
        </row>
        <row r="1402">
          <cell r="K1402">
            <v>178.9</v>
          </cell>
          <cell r="Q1402">
            <v>2.0691000000000002</v>
          </cell>
        </row>
        <row r="1403">
          <cell r="K1403">
            <v>177.39</v>
          </cell>
          <cell r="Q1403">
            <v>2.0516999999999999</v>
          </cell>
        </row>
        <row r="1404">
          <cell r="K1404">
            <v>177.25</v>
          </cell>
          <cell r="Q1404">
            <v>2.0499999999999998</v>
          </cell>
        </row>
        <row r="1405">
          <cell r="K1405">
            <v>181.63</v>
          </cell>
          <cell r="Q1405">
            <v>2.1006999999999998</v>
          </cell>
        </row>
        <row r="1406">
          <cell r="K1406">
            <v>182.25</v>
          </cell>
          <cell r="Q1406">
            <v>2.1078999999999999</v>
          </cell>
        </row>
        <row r="1407">
          <cell r="K1407">
            <v>180.36</v>
          </cell>
          <cell r="Q1407">
            <v>2.0859999999999999</v>
          </cell>
        </row>
        <row r="1408">
          <cell r="K1408">
            <v>181.97</v>
          </cell>
          <cell r="Q1408">
            <v>2.1046</v>
          </cell>
        </row>
        <row r="1409">
          <cell r="K1409">
            <v>186.34</v>
          </cell>
          <cell r="Q1409">
            <v>2.1551999999999998</v>
          </cell>
        </row>
        <row r="1410">
          <cell r="K1410">
            <v>187.45</v>
          </cell>
          <cell r="Q1410">
            <v>2.1680000000000001</v>
          </cell>
        </row>
        <row r="1411">
          <cell r="K1411">
            <v>184.63</v>
          </cell>
          <cell r="Q1411">
            <v>2.1354000000000002</v>
          </cell>
        </row>
        <row r="1412">
          <cell r="K1412">
            <v>181.35001</v>
          </cell>
          <cell r="Q1412">
            <v>2.0975000000000001</v>
          </cell>
        </row>
        <row r="1413">
          <cell r="K1413">
            <v>183.92</v>
          </cell>
          <cell r="Q1413">
            <v>2.1272000000000002</v>
          </cell>
        </row>
        <row r="1414">
          <cell r="K1414">
            <v>187.3</v>
          </cell>
          <cell r="Q1414">
            <v>2.1663000000000001</v>
          </cell>
        </row>
        <row r="1415">
          <cell r="K1415">
            <v>186.38</v>
          </cell>
          <cell r="Q1415">
            <v>2.1556000000000002</v>
          </cell>
        </row>
        <row r="1416">
          <cell r="K1416">
            <v>187.32001</v>
          </cell>
          <cell r="Q1416">
            <v>2.1665000000000001</v>
          </cell>
        </row>
        <row r="1417">
          <cell r="K1417">
            <v>187.25</v>
          </cell>
          <cell r="Q1417">
            <v>2.1657000000000002</v>
          </cell>
        </row>
        <row r="1418">
          <cell r="K1418">
            <v>182.24001000000001</v>
          </cell>
          <cell r="Q1418">
            <v>2.1078000000000001</v>
          </cell>
        </row>
        <row r="1419">
          <cell r="K1419">
            <v>183.35001</v>
          </cell>
          <cell r="Q1419">
            <v>2.1206</v>
          </cell>
        </row>
        <row r="1420">
          <cell r="K1420">
            <v>187.38</v>
          </cell>
          <cell r="Q1420">
            <v>2.1671999999999998</v>
          </cell>
        </row>
        <row r="1421">
          <cell r="K1421">
            <v>187.35001</v>
          </cell>
          <cell r="Q1421">
            <v>2.1669</v>
          </cell>
        </row>
        <row r="1422">
          <cell r="K1422">
            <v>188.75</v>
          </cell>
          <cell r="Q1422">
            <v>2.1829999999999998</v>
          </cell>
        </row>
        <row r="1423">
          <cell r="K1423">
            <v>186.62</v>
          </cell>
          <cell r="Q1423">
            <v>2.1583999999999999</v>
          </cell>
        </row>
        <row r="1424">
          <cell r="K1424">
            <v>185.73</v>
          </cell>
          <cell r="Q1424">
            <v>2.1480999999999999</v>
          </cell>
        </row>
        <row r="1425">
          <cell r="K1425">
            <v>185.24001000000001</v>
          </cell>
          <cell r="Q1425">
            <v>2.1425000000000001</v>
          </cell>
        </row>
        <row r="1426">
          <cell r="K1426">
            <v>181.48</v>
          </cell>
          <cell r="Q1426">
            <v>2.0990000000000002</v>
          </cell>
        </row>
        <row r="1427">
          <cell r="K1427">
            <v>181.31</v>
          </cell>
          <cell r="Q1427">
            <v>2.097</v>
          </cell>
        </row>
        <row r="1428">
          <cell r="K1428">
            <v>177.95</v>
          </cell>
          <cell r="Q1428">
            <v>2.0581</v>
          </cell>
        </row>
        <row r="1429">
          <cell r="K1429">
            <v>177.06</v>
          </cell>
          <cell r="Q1429">
            <v>2.0478000000000001</v>
          </cell>
        </row>
        <row r="1430">
          <cell r="K1430">
            <v>182.21001000000001</v>
          </cell>
          <cell r="Q1430">
            <v>2.1074000000000002</v>
          </cell>
        </row>
        <row r="1431">
          <cell r="K1431">
            <v>180.94</v>
          </cell>
          <cell r="Q1431">
            <v>2.0926999999999998</v>
          </cell>
        </row>
        <row r="1432">
          <cell r="K1432">
            <v>188</v>
          </cell>
          <cell r="Q1432">
            <v>2.1743999999999999</v>
          </cell>
        </row>
        <row r="1433">
          <cell r="K1433">
            <v>189.45</v>
          </cell>
          <cell r="Q1433">
            <v>2.1911</v>
          </cell>
        </row>
        <row r="1434">
          <cell r="K1434">
            <v>189.66</v>
          </cell>
          <cell r="Q1434">
            <v>2.1936</v>
          </cell>
        </row>
        <row r="1435">
          <cell r="K1435">
            <v>190.84</v>
          </cell>
          <cell r="Q1435">
            <v>2.2071999999999998</v>
          </cell>
        </row>
        <row r="1436">
          <cell r="K1436">
            <v>192.94</v>
          </cell>
          <cell r="Q1436">
            <v>2.2315</v>
          </cell>
        </row>
        <row r="1437">
          <cell r="K1437">
            <v>194.05</v>
          </cell>
          <cell r="Q1437">
            <v>2.2443</v>
          </cell>
        </row>
        <row r="1438">
          <cell r="K1438">
            <v>191.58</v>
          </cell>
          <cell r="Q1438">
            <v>2.2158000000000002</v>
          </cell>
        </row>
        <row r="1439">
          <cell r="K1439">
            <v>194.56</v>
          </cell>
          <cell r="Q1439">
            <v>2.2502</v>
          </cell>
        </row>
        <row r="1440">
          <cell r="K1440">
            <v>192.18</v>
          </cell>
          <cell r="Q1440">
            <v>2.2227000000000001</v>
          </cell>
        </row>
        <row r="1441">
          <cell r="K1441">
            <v>191.15</v>
          </cell>
          <cell r="Q1441">
            <v>2.2107999999999999</v>
          </cell>
        </row>
        <row r="1442">
          <cell r="K1442">
            <v>188.72</v>
          </cell>
          <cell r="Q1442">
            <v>2.1827000000000001</v>
          </cell>
        </row>
        <row r="1443">
          <cell r="K1443">
            <v>187.48</v>
          </cell>
          <cell r="Q1443">
            <v>2.1684000000000001</v>
          </cell>
        </row>
        <row r="1444">
          <cell r="K1444">
            <v>183.57001</v>
          </cell>
          <cell r="Q1444">
            <v>2.1231</v>
          </cell>
        </row>
        <row r="1445">
          <cell r="K1445">
            <v>182.89</v>
          </cell>
          <cell r="Q1445">
            <v>2.1153</v>
          </cell>
        </row>
        <row r="1446">
          <cell r="K1446">
            <v>187.24001000000001</v>
          </cell>
          <cell r="Q1446">
            <v>2.1656</v>
          </cell>
        </row>
        <row r="1447">
          <cell r="K1447">
            <v>181.47</v>
          </cell>
          <cell r="Q1447">
            <v>2.0988000000000002</v>
          </cell>
        </row>
        <row r="1448">
          <cell r="K1448">
            <v>182.04</v>
          </cell>
          <cell r="Q1448">
            <v>2.1053999999999999</v>
          </cell>
        </row>
        <row r="1449">
          <cell r="K1449">
            <v>184.75</v>
          </cell>
          <cell r="Q1449">
            <v>2.1368</v>
          </cell>
        </row>
        <row r="1450">
          <cell r="K1450">
            <v>184.95</v>
          </cell>
          <cell r="Q1450">
            <v>2.1391</v>
          </cell>
        </row>
        <row r="1451">
          <cell r="K1451">
            <v>183.99001000000001</v>
          </cell>
          <cell r="Q1451">
            <v>2.1280000000000001</v>
          </cell>
        </row>
        <row r="1452">
          <cell r="K1452">
            <v>186.18</v>
          </cell>
          <cell r="Q1452">
            <v>2.1533000000000002</v>
          </cell>
        </row>
        <row r="1453">
          <cell r="K1453">
            <v>183.88</v>
          </cell>
          <cell r="Q1453">
            <v>2.1267</v>
          </cell>
        </row>
        <row r="1454">
          <cell r="K1454">
            <v>186.3</v>
          </cell>
          <cell r="Q1454">
            <v>2.1150000000000002</v>
          </cell>
        </row>
        <row r="1455">
          <cell r="K1455">
            <v>185.54</v>
          </cell>
          <cell r="Q1455">
            <v>2.1063000000000001</v>
          </cell>
        </row>
        <row r="1456">
          <cell r="K1456">
            <v>184.66</v>
          </cell>
          <cell r="Q1456">
            <v>2.0962999999999998</v>
          </cell>
        </row>
        <row r="1457">
          <cell r="K1457">
            <v>182.54</v>
          </cell>
          <cell r="Q1457">
            <v>2.0722999999999998</v>
          </cell>
        </row>
        <row r="1458">
          <cell r="K1458">
            <v>181.59</v>
          </cell>
          <cell r="Q1458">
            <v>2.0615000000000001</v>
          </cell>
        </row>
        <row r="1459">
          <cell r="K1459">
            <v>181.31</v>
          </cell>
          <cell r="Q1459">
            <v>2.0583</v>
          </cell>
        </row>
        <row r="1460">
          <cell r="K1460">
            <v>182.32001</v>
          </cell>
          <cell r="Q1460">
            <v>2.0697999999999999</v>
          </cell>
        </row>
        <row r="1461">
          <cell r="K1461">
            <v>180.55</v>
          </cell>
          <cell r="Q1461">
            <v>2.0497000000000001</v>
          </cell>
        </row>
        <row r="1462">
          <cell r="K1462">
            <v>179.16</v>
          </cell>
          <cell r="Q1462">
            <v>2.0339</v>
          </cell>
        </row>
        <row r="1463">
          <cell r="K1463">
            <v>180</v>
          </cell>
          <cell r="Q1463">
            <v>2.0434000000000001</v>
          </cell>
        </row>
        <row r="1464">
          <cell r="K1464">
            <v>181.07001</v>
          </cell>
          <cell r="Q1464">
            <v>2.0556000000000001</v>
          </cell>
        </row>
        <row r="1465">
          <cell r="K1465">
            <v>180.52</v>
          </cell>
          <cell r="Q1465">
            <v>2.0493000000000001</v>
          </cell>
        </row>
        <row r="1466">
          <cell r="K1466">
            <v>188.52</v>
          </cell>
          <cell r="Q1466">
            <v>2.1402000000000001</v>
          </cell>
        </row>
        <row r="1467">
          <cell r="K1467">
            <v>189.98</v>
          </cell>
          <cell r="Q1467">
            <v>2.1566999999999998</v>
          </cell>
        </row>
        <row r="1468">
          <cell r="K1468">
            <v>191.93</v>
          </cell>
          <cell r="Q1468">
            <v>2.1789000000000001</v>
          </cell>
        </row>
        <row r="1469">
          <cell r="K1469">
            <v>191.73</v>
          </cell>
          <cell r="Q1469">
            <v>2.1766000000000001</v>
          </cell>
        </row>
        <row r="1470">
          <cell r="K1470">
            <v>190.98</v>
          </cell>
          <cell r="Q1470">
            <v>2.1680999999999999</v>
          </cell>
        </row>
        <row r="1471">
          <cell r="K1471">
            <v>190.46001000000001</v>
          </cell>
          <cell r="Q1471">
            <v>2.1621999999999999</v>
          </cell>
        </row>
        <row r="1472">
          <cell r="K1472">
            <v>192.5</v>
          </cell>
          <cell r="Q1472">
            <v>2.1852999999999998</v>
          </cell>
        </row>
        <row r="1473">
          <cell r="K1473">
            <v>192.6</v>
          </cell>
          <cell r="Q1473">
            <v>2.1865000000000001</v>
          </cell>
        </row>
        <row r="1474">
          <cell r="K1474">
            <v>192.62</v>
          </cell>
          <cell r="Q1474">
            <v>2.1867000000000001</v>
          </cell>
        </row>
        <row r="1475">
          <cell r="K1475">
            <v>191.53</v>
          </cell>
          <cell r="Q1475">
            <v>2.1743000000000001</v>
          </cell>
        </row>
        <row r="1476">
          <cell r="K1476">
            <v>193.64</v>
          </cell>
          <cell r="Q1476">
            <v>2.1983000000000001</v>
          </cell>
        </row>
        <row r="1477">
          <cell r="K1477">
            <v>192.82001</v>
          </cell>
          <cell r="Q1477">
            <v>2.1890000000000001</v>
          </cell>
        </row>
        <row r="1478">
          <cell r="K1478">
            <v>193.35001</v>
          </cell>
          <cell r="Q1478">
            <v>2.1949999999999998</v>
          </cell>
        </row>
        <row r="1479">
          <cell r="K1479">
            <v>192.95</v>
          </cell>
          <cell r="Q1479">
            <v>2.1905000000000001</v>
          </cell>
        </row>
        <row r="1480">
          <cell r="K1480">
            <v>193.13</v>
          </cell>
          <cell r="Q1480">
            <v>2.1924999999999999</v>
          </cell>
        </row>
        <row r="1481">
          <cell r="K1481">
            <v>192.42</v>
          </cell>
          <cell r="Q1481">
            <v>2.1844000000000001</v>
          </cell>
        </row>
        <row r="1482">
          <cell r="K1482">
            <v>192.62</v>
          </cell>
          <cell r="Q1482">
            <v>2.1867000000000001</v>
          </cell>
        </row>
        <row r="1483">
          <cell r="K1483">
            <v>192.22</v>
          </cell>
          <cell r="Q1483">
            <v>2.1821999999999999</v>
          </cell>
        </row>
        <row r="1484">
          <cell r="K1484">
            <v>192.25</v>
          </cell>
          <cell r="Q1484">
            <v>2.1825000000000001</v>
          </cell>
        </row>
        <row r="1485">
          <cell r="K1485">
            <v>193.02</v>
          </cell>
          <cell r="Q1485">
            <v>2.1911999999999998</v>
          </cell>
        </row>
        <row r="1486">
          <cell r="K1486">
            <v>193.42</v>
          </cell>
          <cell r="Q1486">
            <v>2.1958000000000002</v>
          </cell>
        </row>
        <row r="1487">
          <cell r="K1487">
            <v>193.39</v>
          </cell>
          <cell r="Q1487">
            <v>2.1953999999999998</v>
          </cell>
        </row>
        <row r="1488">
          <cell r="K1488">
            <v>193.87</v>
          </cell>
          <cell r="Q1488">
            <v>2.2008999999999999</v>
          </cell>
        </row>
        <row r="1489">
          <cell r="K1489">
            <v>197.61</v>
          </cell>
          <cell r="Q1489">
            <v>2.2433999999999998</v>
          </cell>
        </row>
        <row r="1490">
          <cell r="K1490">
            <v>197.76</v>
          </cell>
          <cell r="Q1490">
            <v>2.2450999999999999</v>
          </cell>
        </row>
        <row r="1491">
          <cell r="K1491">
            <v>197.53</v>
          </cell>
          <cell r="Q1491">
            <v>2.2423999999999999</v>
          </cell>
        </row>
        <row r="1492">
          <cell r="K1492">
            <v>197.98</v>
          </cell>
          <cell r="Q1492">
            <v>2.2475999999999998</v>
          </cell>
        </row>
        <row r="1493">
          <cell r="K1493">
            <v>196.73</v>
          </cell>
          <cell r="Q1493">
            <v>2.2334000000000001</v>
          </cell>
        </row>
        <row r="1494">
          <cell r="K1494">
            <v>197.53</v>
          </cell>
          <cell r="Q1494">
            <v>2.2423999999999999</v>
          </cell>
        </row>
        <row r="1495">
          <cell r="K1495">
            <v>198.81</v>
          </cell>
          <cell r="Q1495">
            <v>2.2570000000000001</v>
          </cell>
        </row>
        <row r="1496">
          <cell r="K1496">
            <v>200.66</v>
          </cell>
          <cell r="Q1496">
            <v>2.278</v>
          </cell>
        </row>
        <row r="1497">
          <cell r="K1497">
            <v>197.26</v>
          </cell>
          <cell r="Q1497">
            <v>2.2393999999999998</v>
          </cell>
        </row>
        <row r="1498">
          <cell r="K1498">
            <v>197.77</v>
          </cell>
          <cell r="Q1498">
            <v>2.2452000000000001</v>
          </cell>
        </row>
        <row r="1499">
          <cell r="K1499">
            <v>199.81</v>
          </cell>
          <cell r="Q1499">
            <v>2.2683</v>
          </cell>
        </row>
        <row r="1500">
          <cell r="K1500">
            <v>200.62</v>
          </cell>
          <cell r="Q1500">
            <v>2.2774999999999999</v>
          </cell>
        </row>
        <row r="1501">
          <cell r="K1501">
            <v>201</v>
          </cell>
          <cell r="Q1501">
            <v>2.2818000000000001</v>
          </cell>
        </row>
        <row r="1502">
          <cell r="K1502">
            <v>203.78</v>
          </cell>
          <cell r="Q1502">
            <v>2.3134000000000001</v>
          </cell>
        </row>
        <row r="1503">
          <cell r="K1503">
            <v>204.72</v>
          </cell>
          <cell r="Q1503">
            <v>2.3241000000000001</v>
          </cell>
        </row>
        <row r="1504">
          <cell r="K1504">
            <v>206</v>
          </cell>
          <cell r="Q1504">
            <v>2.3386</v>
          </cell>
        </row>
        <row r="1505">
          <cell r="K1505">
            <v>206.01</v>
          </cell>
          <cell r="Q1505">
            <v>2.3386999999999998</v>
          </cell>
        </row>
        <row r="1506">
          <cell r="K1506">
            <v>205.72</v>
          </cell>
          <cell r="Q1506">
            <v>2.3353999999999999</v>
          </cell>
        </row>
        <row r="1507">
          <cell r="K1507">
            <v>204.25</v>
          </cell>
          <cell r="Q1507">
            <v>2.3187000000000002</v>
          </cell>
        </row>
        <row r="1508">
          <cell r="K1508">
            <v>204.69</v>
          </cell>
          <cell r="Q1508">
            <v>2.3237000000000001</v>
          </cell>
        </row>
        <row r="1509">
          <cell r="K1509">
            <v>205.49001000000001</v>
          </cell>
          <cell r="Q1509">
            <v>2.3328000000000002</v>
          </cell>
        </row>
        <row r="1510">
          <cell r="K1510">
            <v>205.48</v>
          </cell>
          <cell r="Q1510">
            <v>2.3327</v>
          </cell>
        </row>
        <row r="1511">
          <cell r="K1511">
            <v>207.77</v>
          </cell>
          <cell r="Q1511">
            <v>2.3586999999999998</v>
          </cell>
        </row>
        <row r="1512">
          <cell r="K1512">
            <v>207.18</v>
          </cell>
          <cell r="Q1512">
            <v>2.3519999999999999</v>
          </cell>
        </row>
        <row r="1513">
          <cell r="K1513">
            <v>207.29</v>
          </cell>
          <cell r="Q1513">
            <v>2.3532000000000002</v>
          </cell>
        </row>
        <row r="1514">
          <cell r="K1514">
            <v>208.27</v>
          </cell>
          <cell r="Q1514">
            <v>2.3643999999999998</v>
          </cell>
        </row>
        <row r="1515">
          <cell r="K1515">
            <v>208.65</v>
          </cell>
          <cell r="Q1515">
            <v>2.3687</v>
          </cell>
        </row>
        <row r="1516">
          <cell r="K1516">
            <v>209.47</v>
          </cell>
          <cell r="Q1516">
            <v>2.3443000000000001</v>
          </cell>
        </row>
        <row r="1517">
          <cell r="K1517">
            <v>209.5</v>
          </cell>
          <cell r="Q1517">
            <v>2.3447</v>
          </cell>
        </row>
        <row r="1518">
          <cell r="K1518">
            <v>206.05</v>
          </cell>
          <cell r="Q1518">
            <v>2.306</v>
          </cell>
        </row>
        <row r="1519">
          <cell r="K1519">
            <v>205.47</v>
          </cell>
          <cell r="Q1519">
            <v>2.2995999999999999</v>
          </cell>
        </row>
        <row r="1520">
          <cell r="K1520">
            <v>204.94</v>
          </cell>
          <cell r="Q1520">
            <v>2.2936000000000001</v>
          </cell>
        </row>
        <row r="1521">
          <cell r="K1521">
            <v>202.33</v>
          </cell>
          <cell r="Q1521">
            <v>2.2644000000000002</v>
          </cell>
        </row>
        <row r="1522">
          <cell r="K1522">
            <v>202.58</v>
          </cell>
          <cell r="Q1522">
            <v>2.2671999999999999</v>
          </cell>
        </row>
        <row r="1523">
          <cell r="K1523">
            <v>205.32001</v>
          </cell>
          <cell r="Q1523">
            <v>2.2978999999999998</v>
          </cell>
        </row>
        <row r="1524">
          <cell r="K1524">
            <v>202.8</v>
          </cell>
          <cell r="Q1524">
            <v>2.2696999999999998</v>
          </cell>
        </row>
        <row r="1525">
          <cell r="K1525">
            <v>202.72</v>
          </cell>
          <cell r="Q1525">
            <v>2.2688000000000001</v>
          </cell>
        </row>
        <row r="1526">
          <cell r="K1526">
            <v>207.45</v>
          </cell>
          <cell r="Q1526">
            <v>2.3216999999999999</v>
          </cell>
        </row>
        <row r="1527">
          <cell r="K1527">
            <v>200.13</v>
          </cell>
          <cell r="Q1527">
            <v>2.2397999999999998</v>
          </cell>
        </row>
        <row r="1528">
          <cell r="K1528">
            <v>199.51</v>
          </cell>
          <cell r="Q1528">
            <v>2.2328000000000001</v>
          </cell>
        </row>
        <row r="1529">
          <cell r="K1529">
            <v>199.6</v>
          </cell>
          <cell r="Q1529">
            <v>2.2339000000000002</v>
          </cell>
        </row>
        <row r="1530">
          <cell r="K1530">
            <v>198.62</v>
          </cell>
          <cell r="Q1530">
            <v>2.2229000000000001</v>
          </cell>
        </row>
        <row r="1531">
          <cell r="K1531">
            <v>200</v>
          </cell>
          <cell r="Q1531">
            <v>2.2383000000000002</v>
          </cell>
        </row>
        <row r="1532">
          <cell r="K1532">
            <v>203.57001</v>
          </cell>
          <cell r="Q1532">
            <v>2.2783000000000002</v>
          </cell>
        </row>
        <row r="1533">
          <cell r="K1533">
            <v>205.58</v>
          </cell>
          <cell r="Q1533">
            <v>2.3008000000000002</v>
          </cell>
        </row>
        <row r="1534">
          <cell r="K1534">
            <v>206.81</v>
          </cell>
          <cell r="Q1534">
            <v>2.3144999999999998</v>
          </cell>
        </row>
        <row r="1535">
          <cell r="K1535">
            <v>207.08</v>
          </cell>
          <cell r="Q1535">
            <v>2.3176000000000001</v>
          </cell>
        </row>
        <row r="1536">
          <cell r="K1536">
            <v>208</v>
          </cell>
          <cell r="Q1536">
            <v>2.3279000000000001</v>
          </cell>
        </row>
        <row r="1537">
          <cell r="K1537">
            <v>208.06</v>
          </cell>
          <cell r="Q1537">
            <v>2.3285</v>
          </cell>
        </row>
        <row r="1538">
          <cell r="K1538">
            <v>207.24001000000001</v>
          </cell>
          <cell r="Q1538">
            <v>2.3193999999999999</v>
          </cell>
        </row>
        <row r="1539">
          <cell r="K1539">
            <v>204.99001000000001</v>
          </cell>
          <cell r="Q1539">
            <v>2.2942</v>
          </cell>
        </row>
        <row r="1540">
          <cell r="K1540">
            <v>203.75</v>
          </cell>
          <cell r="Q1540">
            <v>2.2803</v>
          </cell>
        </row>
        <row r="1541">
          <cell r="K1541">
            <v>201.48</v>
          </cell>
          <cell r="Q1541">
            <v>2.2549000000000001</v>
          </cell>
        </row>
        <row r="1542">
          <cell r="K1542">
            <v>201.23</v>
          </cell>
          <cell r="Q1542">
            <v>2.2521</v>
          </cell>
        </row>
        <row r="1543">
          <cell r="K1543">
            <v>200.6</v>
          </cell>
          <cell r="Q1543">
            <v>2.2450000000000001</v>
          </cell>
        </row>
        <row r="1544">
          <cell r="K1544">
            <v>201.17</v>
          </cell>
          <cell r="Q1544">
            <v>2.2513999999999998</v>
          </cell>
        </row>
        <row r="1545">
          <cell r="K1545">
            <v>199.44</v>
          </cell>
          <cell r="Q1545">
            <v>2.2321</v>
          </cell>
        </row>
        <row r="1546">
          <cell r="K1546">
            <v>199.04</v>
          </cell>
          <cell r="Q1546">
            <v>2.2275999999999998</v>
          </cell>
        </row>
        <row r="1547">
          <cell r="K1547">
            <v>199.73</v>
          </cell>
          <cell r="Q1547">
            <v>2.2353000000000001</v>
          </cell>
        </row>
        <row r="1548">
          <cell r="K1548">
            <v>197.89</v>
          </cell>
          <cell r="Q1548">
            <v>2.2147000000000001</v>
          </cell>
        </row>
        <row r="1549">
          <cell r="K1549">
            <v>195.88</v>
          </cell>
          <cell r="Q1549">
            <v>2.1922000000000001</v>
          </cell>
        </row>
        <row r="1550">
          <cell r="K1550">
            <v>197.76</v>
          </cell>
          <cell r="Q1550">
            <v>2.2132999999999998</v>
          </cell>
        </row>
        <row r="1551">
          <cell r="K1551">
            <v>196.82001</v>
          </cell>
          <cell r="Q1551">
            <v>2.2027000000000001</v>
          </cell>
        </row>
        <row r="1552">
          <cell r="K1552">
            <v>196.82001</v>
          </cell>
          <cell r="Q1552">
            <v>2.2027000000000001</v>
          </cell>
        </row>
        <row r="1553">
          <cell r="K1553">
            <v>196.09</v>
          </cell>
          <cell r="Q1553">
            <v>2.1945999999999999</v>
          </cell>
        </row>
        <row r="1554">
          <cell r="K1554">
            <v>194.3</v>
          </cell>
          <cell r="Q1554">
            <v>2.1745000000000001</v>
          </cell>
        </row>
        <row r="1555">
          <cell r="K1555">
            <v>196.46001000000001</v>
          </cell>
          <cell r="Q1555">
            <v>2.1987000000000001</v>
          </cell>
        </row>
        <row r="1556">
          <cell r="K1556">
            <v>194.53</v>
          </cell>
          <cell r="Q1556">
            <v>2.1770999999999998</v>
          </cell>
        </row>
        <row r="1557">
          <cell r="K1557">
            <v>192.9</v>
          </cell>
          <cell r="Q1557">
            <v>2.1589</v>
          </cell>
        </row>
        <row r="1558">
          <cell r="K1558">
            <v>189.08</v>
          </cell>
          <cell r="Q1558">
            <v>2.1160999999999999</v>
          </cell>
        </row>
        <row r="1559">
          <cell r="K1559">
            <v>188.54</v>
          </cell>
          <cell r="Q1559">
            <v>2.1101000000000001</v>
          </cell>
        </row>
        <row r="1560">
          <cell r="K1560">
            <v>189.2</v>
          </cell>
          <cell r="Q1560">
            <v>2.1175000000000002</v>
          </cell>
        </row>
        <row r="1561">
          <cell r="K1561">
            <v>193.99001000000001</v>
          </cell>
          <cell r="Q1561">
            <v>2.1711</v>
          </cell>
        </row>
        <row r="1562">
          <cell r="K1562">
            <v>194.44</v>
          </cell>
          <cell r="Q1562">
            <v>2.1760999999999999</v>
          </cell>
        </row>
        <row r="1563">
          <cell r="K1563">
            <v>195.14</v>
          </cell>
          <cell r="Q1563">
            <v>2.1839</v>
          </cell>
        </row>
        <row r="1564">
          <cell r="K1564">
            <v>192.51</v>
          </cell>
          <cell r="Q1564">
            <v>2.1545000000000001</v>
          </cell>
        </row>
        <row r="1565">
          <cell r="K1565">
            <v>194.55</v>
          </cell>
          <cell r="Q1565">
            <v>2.1772999999999998</v>
          </cell>
        </row>
        <row r="1566">
          <cell r="K1566">
            <v>193.1</v>
          </cell>
          <cell r="Q1566">
            <v>2.1610999999999998</v>
          </cell>
        </row>
        <row r="1567">
          <cell r="K1567">
            <v>195.1</v>
          </cell>
          <cell r="Q1567">
            <v>2.1835</v>
          </cell>
        </row>
        <row r="1568">
          <cell r="K1568">
            <v>199.1</v>
          </cell>
          <cell r="Q1568">
            <v>2.2282999999999999</v>
          </cell>
        </row>
        <row r="1569">
          <cell r="K1569">
            <v>198.29</v>
          </cell>
          <cell r="Q1569">
            <v>2.2191999999999998</v>
          </cell>
        </row>
        <row r="1570">
          <cell r="K1570">
            <v>198.93</v>
          </cell>
          <cell r="Q1570">
            <v>2.2263999999999999</v>
          </cell>
        </row>
        <row r="1571">
          <cell r="K1571">
            <v>198.78</v>
          </cell>
          <cell r="Q1571">
            <v>2.2246999999999999</v>
          </cell>
        </row>
        <row r="1572">
          <cell r="K1572">
            <v>193.39</v>
          </cell>
          <cell r="Q1572">
            <v>2.1644000000000001</v>
          </cell>
        </row>
        <row r="1573">
          <cell r="K1573">
            <v>193.7</v>
          </cell>
          <cell r="Q1573">
            <v>2.1678000000000002</v>
          </cell>
        </row>
        <row r="1574">
          <cell r="K1574">
            <v>192.86</v>
          </cell>
          <cell r="Q1574">
            <v>2.1583999999999999</v>
          </cell>
        </row>
        <row r="1575">
          <cell r="K1575">
            <v>191.95</v>
          </cell>
          <cell r="Q1575">
            <v>2.1482000000000001</v>
          </cell>
        </row>
        <row r="1576">
          <cell r="K1576">
            <v>193</v>
          </cell>
          <cell r="Q1576">
            <v>2.16</v>
          </cell>
        </row>
        <row r="1577">
          <cell r="K1577">
            <v>191.4</v>
          </cell>
          <cell r="Q1577">
            <v>2.1421000000000001</v>
          </cell>
        </row>
        <row r="1578">
          <cell r="K1578">
            <v>195.58</v>
          </cell>
          <cell r="Q1578">
            <v>2.1888999999999998</v>
          </cell>
        </row>
        <row r="1579">
          <cell r="K1579">
            <v>195.83</v>
          </cell>
          <cell r="Q1579">
            <v>2.1825000000000001</v>
          </cell>
        </row>
        <row r="1580">
          <cell r="K1580">
            <v>195.93</v>
          </cell>
          <cell r="Q1580">
            <v>2.1836000000000002</v>
          </cell>
        </row>
        <row r="1581">
          <cell r="K1581">
            <v>195.29</v>
          </cell>
          <cell r="Q1581">
            <v>2.1764999999999999</v>
          </cell>
        </row>
        <row r="1582">
          <cell r="K1582">
            <v>191.41</v>
          </cell>
          <cell r="Q1582">
            <v>2.1332</v>
          </cell>
        </row>
        <row r="1583">
          <cell r="K1583">
            <v>189.67</v>
          </cell>
          <cell r="Q1583">
            <v>2.1137999999999999</v>
          </cell>
        </row>
        <row r="1584">
          <cell r="K1584">
            <v>186.26</v>
          </cell>
          <cell r="Q1584">
            <v>2.0758000000000001</v>
          </cell>
        </row>
        <row r="1585">
          <cell r="K1585">
            <v>185.25</v>
          </cell>
          <cell r="Q1585">
            <v>2.0646</v>
          </cell>
        </row>
        <row r="1586">
          <cell r="K1586">
            <v>183.09</v>
          </cell>
          <cell r="Q1586">
            <v>2.0405000000000002</v>
          </cell>
        </row>
        <row r="1587">
          <cell r="K1587">
            <v>186.01</v>
          </cell>
          <cell r="Q1587">
            <v>2.073</v>
          </cell>
        </row>
        <row r="1588">
          <cell r="K1588">
            <v>184.79</v>
          </cell>
          <cell r="Q1588">
            <v>2.0594000000000001</v>
          </cell>
        </row>
        <row r="1589">
          <cell r="K1589">
            <v>183.65</v>
          </cell>
          <cell r="Q1589">
            <v>2.0467</v>
          </cell>
        </row>
        <row r="1590">
          <cell r="K1590">
            <v>188.25</v>
          </cell>
          <cell r="Q1590">
            <v>2.0979999999999999</v>
          </cell>
        </row>
        <row r="1591">
          <cell r="K1591">
            <v>195.34</v>
          </cell>
          <cell r="Q1591">
            <v>2.177</v>
          </cell>
        </row>
        <row r="1592">
          <cell r="K1592">
            <v>192.45</v>
          </cell>
          <cell r="Q1592">
            <v>2.1448</v>
          </cell>
        </row>
        <row r="1593">
          <cell r="K1593">
            <v>190.83</v>
          </cell>
          <cell r="Q1593">
            <v>2.1267</v>
          </cell>
        </row>
        <row r="1594">
          <cell r="K1594">
            <v>190.34</v>
          </cell>
          <cell r="Q1594">
            <v>2.1213000000000002</v>
          </cell>
        </row>
        <row r="1595">
          <cell r="K1595">
            <v>191.08</v>
          </cell>
          <cell r="Q1595">
            <v>2.1295000000000002</v>
          </cell>
        </row>
        <row r="1596">
          <cell r="K1596">
            <v>193.95</v>
          </cell>
          <cell r="Q1596">
            <v>2.1615000000000002</v>
          </cell>
        </row>
        <row r="1597">
          <cell r="K1597">
            <v>196.39</v>
          </cell>
          <cell r="Q1597">
            <v>2.1886999999999999</v>
          </cell>
        </row>
        <row r="1598">
          <cell r="K1598">
            <v>196.68</v>
          </cell>
          <cell r="Q1598">
            <v>2.1919</v>
          </cell>
        </row>
        <row r="1599">
          <cell r="K1599">
            <v>195.98</v>
          </cell>
          <cell r="Q1599">
            <v>2.1840999999999999</v>
          </cell>
        </row>
        <row r="1600">
          <cell r="K1600">
            <v>195.18</v>
          </cell>
          <cell r="Q1600">
            <v>2.1751999999999998</v>
          </cell>
        </row>
        <row r="1601">
          <cell r="K1601">
            <v>194.45</v>
          </cell>
          <cell r="Q1601">
            <v>2.1671</v>
          </cell>
        </row>
        <row r="1602">
          <cell r="K1602">
            <v>198.52</v>
          </cell>
          <cell r="Q1602">
            <v>2.2124000000000001</v>
          </cell>
        </row>
        <row r="1603">
          <cell r="K1603">
            <v>198.76</v>
          </cell>
          <cell r="Q1603">
            <v>2.2151000000000001</v>
          </cell>
        </row>
        <row r="1604">
          <cell r="K1604">
            <v>199.93</v>
          </cell>
          <cell r="Q1604">
            <v>2.2282000000000002</v>
          </cell>
        </row>
        <row r="1605">
          <cell r="K1605">
            <v>199.03</v>
          </cell>
          <cell r="Q1605">
            <v>2.2181000000000002</v>
          </cell>
        </row>
        <row r="1606">
          <cell r="K1606">
            <v>198.42</v>
          </cell>
          <cell r="Q1606">
            <v>2.2113</v>
          </cell>
        </row>
        <row r="1607">
          <cell r="K1607">
            <v>199.29</v>
          </cell>
          <cell r="Q1607">
            <v>2.2210000000000001</v>
          </cell>
        </row>
        <row r="1608">
          <cell r="K1608">
            <v>199.01</v>
          </cell>
          <cell r="Q1608">
            <v>2.2179000000000002</v>
          </cell>
        </row>
        <row r="1609">
          <cell r="K1609">
            <v>198.29</v>
          </cell>
          <cell r="Q1609">
            <v>2.2099000000000002</v>
          </cell>
        </row>
        <row r="1610">
          <cell r="K1610">
            <v>198.4</v>
          </cell>
          <cell r="Q1610">
            <v>2.2111000000000001</v>
          </cell>
        </row>
        <row r="1611">
          <cell r="K1611">
            <v>200.84</v>
          </cell>
          <cell r="Q1611">
            <v>2.2383000000000002</v>
          </cell>
        </row>
        <row r="1612">
          <cell r="K1612">
            <v>201.22</v>
          </cell>
          <cell r="Q1612">
            <v>2.2425000000000002</v>
          </cell>
        </row>
        <row r="1613">
          <cell r="K1613">
            <v>200.5</v>
          </cell>
          <cell r="Q1613">
            <v>2.2345000000000002</v>
          </cell>
        </row>
        <row r="1614">
          <cell r="K1614">
            <v>198.65</v>
          </cell>
          <cell r="Q1614">
            <v>2.2139000000000002</v>
          </cell>
        </row>
        <row r="1615">
          <cell r="K1615">
            <v>197.25</v>
          </cell>
          <cell r="Q1615">
            <v>2.1983000000000001</v>
          </cell>
        </row>
        <row r="1616">
          <cell r="K1616">
            <v>195.7</v>
          </cell>
          <cell r="Q1616">
            <v>2.181</v>
          </cell>
        </row>
        <row r="1617">
          <cell r="K1617">
            <v>197.77</v>
          </cell>
          <cell r="Q1617">
            <v>2.2040999999999999</v>
          </cell>
        </row>
        <row r="1618">
          <cell r="K1618">
            <v>195.69</v>
          </cell>
          <cell r="Q1618">
            <v>2.1808999999999998</v>
          </cell>
        </row>
        <row r="1619">
          <cell r="K1619">
            <v>194.87</v>
          </cell>
          <cell r="Q1619">
            <v>2.1718000000000002</v>
          </cell>
        </row>
        <row r="1620">
          <cell r="K1620">
            <v>195.08</v>
          </cell>
          <cell r="Q1620">
            <v>2.1741000000000001</v>
          </cell>
        </row>
        <row r="1621">
          <cell r="K1621">
            <v>193.37</v>
          </cell>
          <cell r="Q1621">
            <v>2.1551</v>
          </cell>
        </row>
        <row r="1622">
          <cell r="K1622">
            <v>194.85001</v>
          </cell>
          <cell r="Q1622">
            <v>2.1715</v>
          </cell>
        </row>
        <row r="1623">
          <cell r="K1623">
            <v>194.54</v>
          </cell>
          <cell r="Q1623">
            <v>2.1680999999999999</v>
          </cell>
        </row>
        <row r="1624">
          <cell r="K1624">
            <v>195.04</v>
          </cell>
          <cell r="Q1624">
            <v>2.1737000000000002</v>
          </cell>
        </row>
        <row r="1625">
          <cell r="K1625">
            <v>199.1</v>
          </cell>
          <cell r="Q1625">
            <v>2.2189000000000001</v>
          </cell>
        </row>
        <row r="1626">
          <cell r="K1626">
            <v>199.5</v>
          </cell>
          <cell r="Q1626">
            <v>2.2233999999999998</v>
          </cell>
        </row>
        <row r="1627">
          <cell r="K1627">
            <v>200.95</v>
          </cell>
          <cell r="Q1627">
            <v>2.2395</v>
          </cell>
        </row>
        <row r="1628">
          <cell r="K1628">
            <v>203.27</v>
          </cell>
          <cell r="Q1628">
            <v>2.2654000000000001</v>
          </cell>
        </row>
        <row r="1629">
          <cell r="K1629">
            <v>203.77</v>
          </cell>
          <cell r="Q1629">
            <v>2.2709999999999999</v>
          </cell>
        </row>
        <row r="1630">
          <cell r="K1630">
            <v>206.36</v>
          </cell>
          <cell r="Q1630">
            <v>2.2997999999999998</v>
          </cell>
        </row>
        <row r="1631">
          <cell r="K1631">
            <v>206.81</v>
          </cell>
          <cell r="Q1631">
            <v>2.3048000000000002</v>
          </cell>
        </row>
        <row r="1632">
          <cell r="K1632">
            <v>207.15</v>
          </cell>
          <cell r="Q1632">
            <v>2.3086000000000002</v>
          </cell>
        </row>
        <row r="1633">
          <cell r="K1633">
            <v>207.07001</v>
          </cell>
          <cell r="Q1633">
            <v>2.3077000000000001</v>
          </cell>
        </row>
        <row r="1634">
          <cell r="K1634">
            <v>206.43</v>
          </cell>
          <cell r="Q1634">
            <v>2.3006000000000002</v>
          </cell>
        </row>
        <row r="1635">
          <cell r="K1635">
            <v>206.18</v>
          </cell>
          <cell r="Q1635">
            <v>2.2978000000000001</v>
          </cell>
        </row>
        <row r="1636">
          <cell r="K1636">
            <v>205.98</v>
          </cell>
          <cell r="Q1636">
            <v>2.2955999999999999</v>
          </cell>
        </row>
        <row r="1637">
          <cell r="K1637">
            <v>205.29</v>
          </cell>
          <cell r="Q1637">
            <v>2.2879</v>
          </cell>
        </row>
        <row r="1638">
          <cell r="K1638">
            <v>204.98</v>
          </cell>
          <cell r="Q1638">
            <v>2.2844000000000002</v>
          </cell>
        </row>
        <row r="1639">
          <cell r="K1639">
            <v>204</v>
          </cell>
          <cell r="Q1639">
            <v>2.2734999999999999</v>
          </cell>
        </row>
        <row r="1640">
          <cell r="K1640">
            <v>205.91</v>
          </cell>
          <cell r="Q1640">
            <v>2.2948</v>
          </cell>
        </row>
        <row r="1641">
          <cell r="K1641">
            <v>207.45</v>
          </cell>
          <cell r="Q1641">
            <v>2.3119999999999998</v>
          </cell>
        </row>
        <row r="1642">
          <cell r="K1642">
            <v>210.47</v>
          </cell>
          <cell r="Q1642">
            <v>2.3492999999999999</v>
          </cell>
        </row>
        <row r="1643">
          <cell r="K1643">
            <v>209.84</v>
          </cell>
          <cell r="Q1643">
            <v>2.3422000000000001</v>
          </cell>
        </row>
        <row r="1644">
          <cell r="K1644">
            <v>210.51</v>
          </cell>
          <cell r="Q1644">
            <v>2.3496999999999999</v>
          </cell>
        </row>
        <row r="1645">
          <cell r="K1645">
            <v>210.39</v>
          </cell>
          <cell r="Q1645">
            <v>2.3483999999999998</v>
          </cell>
        </row>
        <row r="1646">
          <cell r="K1646">
            <v>210.59</v>
          </cell>
          <cell r="Q1646">
            <v>2.3506</v>
          </cell>
        </row>
        <row r="1647">
          <cell r="K1647">
            <v>209.82001</v>
          </cell>
          <cell r="Q1647">
            <v>2.3420000000000001</v>
          </cell>
        </row>
        <row r="1648">
          <cell r="K1648">
            <v>207.99001000000001</v>
          </cell>
          <cell r="Q1648">
            <v>2.3216000000000001</v>
          </cell>
        </row>
        <row r="1649">
          <cell r="K1649">
            <v>205.82001</v>
          </cell>
          <cell r="Q1649">
            <v>2.2974000000000001</v>
          </cell>
        </row>
        <row r="1650">
          <cell r="K1650">
            <v>205.76</v>
          </cell>
          <cell r="Q1650">
            <v>2.2967</v>
          </cell>
        </row>
        <row r="1651">
          <cell r="K1651">
            <v>207.8</v>
          </cell>
          <cell r="Q1651">
            <v>2.3195000000000001</v>
          </cell>
        </row>
        <row r="1652">
          <cell r="K1652">
            <v>208.93</v>
          </cell>
          <cell r="Q1652">
            <v>2.3321000000000001</v>
          </cell>
        </row>
        <row r="1653">
          <cell r="K1653">
            <v>211</v>
          </cell>
          <cell r="Q1653">
            <v>2.3552</v>
          </cell>
        </row>
        <row r="1654">
          <cell r="K1654">
            <v>200.63</v>
          </cell>
          <cell r="Q1654">
            <v>2.2393999999999998</v>
          </cell>
        </row>
        <row r="1655">
          <cell r="K1655">
            <v>194.96001000000001</v>
          </cell>
          <cell r="Q1655">
            <v>2.1762000000000001</v>
          </cell>
        </row>
        <row r="1656">
          <cell r="K1656">
            <v>193.36</v>
          </cell>
          <cell r="Q1656">
            <v>2.1583000000000001</v>
          </cell>
        </row>
        <row r="1657">
          <cell r="K1657">
            <v>194.4</v>
          </cell>
          <cell r="Q1657">
            <v>2.1699000000000002</v>
          </cell>
        </row>
        <row r="1658">
          <cell r="K1658">
            <v>191.25</v>
          </cell>
          <cell r="Q1658">
            <v>2.1347</v>
          </cell>
        </row>
        <row r="1659">
          <cell r="K1659">
            <v>190.72</v>
          </cell>
          <cell r="Q1659">
            <v>2.1288</v>
          </cell>
        </row>
        <row r="1660">
          <cell r="K1660">
            <v>191.6</v>
          </cell>
          <cell r="Q1660">
            <v>2.1385999999999998</v>
          </cell>
        </row>
        <row r="1661">
          <cell r="K1661">
            <v>193.27</v>
          </cell>
          <cell r="Q1661">
            <v>2.1573000000000002</v>
          </cell>
        </row>
        <row r="1662">
          <cell r="K1662">
            <v>194.53</v>
          </cell>
          <cell r="Q1662">
            <v>2.1714000000000002</v>
          </cell>
        </row>
        <row r="1663">
          <cell r="K1663">
            <v>197.15</v>
          </cell>
          <cell r="Q1663">
            <v>2.2006000000000001</v>
          </cell>
        </row>
        <row r="1664">
          <cell r="K1664">
            <v>193.43</v>
          </cell>
          <cell r="Q1664">
            <v>2.1591</v>
          </cell>
        </row>
        <row r="1665">
          <cell r="K1665">
            <v>194.14</v>
          </cell>
          <cell r="Q1665">
            <v>2.1669999999999998</v>
          </cell>
        </row>
        <row r="1666">
          <cell r="K1666">
            <v>195.07001</v>
          </cell>
          <cell r="Q1666">
            <v>2.1774</v>
          </cell>
        </row>
        <row r="1667">
          <cell r="K1667">
            <v>191.16</v>
          </cell>
          <cell r="Q1667">
            <v>2.1337000000000002</v>
          </cell>
        </row>
        <row r="1668">
          <cell r="K1668">
            <v>190.1</v>
          </cell>
          <cell r="Q1668">
            <v>2.1219000000000001</v>
          </cell>
        </row>
        <row r="1669">
          <cell r="K1669">
            <v>189.64</v>
          </cell>
          <cell r="Q1669">
            <v>2.1168</v>
          </cell>
        </row>
        <row r="1670">
          <cell r="K1670">
            <v>189.25</v>
          </cell>
          <cell r="Q1670">
            <v>2.1124000000000001</v>
          </cell>
        </row>
        <row r="1671">
          <cell r="K1671">
            <v>188.32001</v>
          </cell>
          <cell r="Q1671">
            <v>2.1019999999999999</v>
          </cell>
        </row>
        <row r="1672">
          <cell r="K1672">
            <v>185.51</v>
          </cell>
          <cell r="Q1672">
            <v>2.0707</v>
          </cell>
        </row>
        <row r="1673">
          <cell r="K1673">
            <v>185.85001</v>
          </cell>
          <cell r="Q1673">
            <v>2.0745</v>
          </cell>
        </row>
        <row r="1674">
          <cell r="K1674">
            <v>186.94</v>
          </cell>
          <cell r="Q1674">
            <v>2.0865999999999998</v>
          </cell>
        </row>
        <row r="1675">
          <cell r="K1675">
            <v>190.35001</v>
          </cell>
          <cell r="Q1675">
            <v>2.1246999999999998</v>
          </cell>
        </row>
        <row r="1676">
          <cell r="K1676">
            <v>189.2</v>
          </cell>
          <cell r="Q1676">
            <v>2.1118999999999999</v>
          </cell>
        </row>
        <row r="1677">
          <cell r="K1677">
            <v>190.29</v>
          </cell>
          <cell r="Q1677">
            <v>2.1240000000000001</v>
          </cell>
        </row>
        <row r="1678">
          <cell r="K1678">
            <v>193.49001000000001</v>
          </cell>
          <cell r="Q1678">
            <v>2.1597</v>
          </cell>
        </row>
        <row r="1679">
          <cell r="K1679">
            <v>192.88</v>
          </cell>
          <cell r="Q1679">
            <v>2.1528999999999998</v>
          </cell>
        </row>
        <row r="1680">
          <cell r="K1680">
            <v>191.23</v>
          </cell>
          <cell r="Q1680">
            <v>2.1345000000000001</v>
          </cell>
        </row>
        <row r="1681">
          <cell r="K1681">
            <v>191.98</v>
          </cell>
          <cell r="Q1681">
            <v>2.1429</v>
          </cell>
        </row>
        <row r="1682">
          <cell r="K1682">
            <v>191.53</v>
          </cell>
          <cell r="Q1682">
            <v>2.1379000000000001</v>
          </cell>
        </row>
        <row r="1683">
          <cell r="K1683">
            <v>190.07001</v>
          </cell>
          <cell r="Q1683">
            <v>2.1215999999999999</v>
          </cell>
        </row>
        <row r="1684">
          <cell r="K1684">
            <v>189.48</v>
          </cell>
          <cell r="Q1684">
            <v>2.1150000000000002</v>
          </cell>
        </row>
        <row r="1685">
          <cell r="K1685">
            <v>189.36</v>
          </cell>
          <cell r="Q1685">
            <v>2.1135999999999999</v>
          </cell>
        </row>
        <row r="1686">
          <cell r="K1686">
            <v>188.65</v>
          </cell>
          <cell r="Q1686">
            <v>2.1057000000000001</v>
          </cell>
        </row>
        <row r="1687">
          <cell r="K1687">
            <v>189.7</v>
          </cell>
          <cell r="Q1687">
            <v>2.1173999999999999</v>
          </cell>
        </row>
        <row r="1688">
          <cell r="K1688">
            <v>191.95</v>
          </cell>
          <cell r="Q1688">
            <v>2.1425999999999998</v>
          </cell>
        </row>
        <row r="1689">
          <cell r="K1689">
            <v>192.62</v>
          </cell>
          <cell r="Q1689">
            <v>2.15</v>
          </cell>
        </row>
        <row r="1690">
          <cell r="K1690">
            <v>194.2</v>
          </cell>
          <cell r="Q1690">
            <v>2.1677</v>
          </cell>
        </row>
        <row r="1691">
          <cell r="K1691">
            <v>192.95</v>
          </cell>
          <cell r="Q1691">
            <v>2.1537000000000002</v>
          </cell>
        </row>
        <row r="1692">
          <cell r="K1692">
            <v>191.99001000000001</v>
          </cell>
          <cell r="Q1692">
            <v>2.1429999999999998</v>
          </cell>
        </row>
        <row r="1693">
          <cell r="K1693">
            <v>191.76</v>
          </cell>
          <cell r="Q1693">
            <v>2.1404000000000001</v>
          </cell>
        </row>
        <row r="1694">
          <cell r="K1694">
            <v>193.62</v>
          </cell>
          <cell r="Q1694">
            <v>2.1612</v>
          </cell>
        </row>
        <row r="1695">
          <cell r="K1695">
            <v>195.69</v>
          </cell>
          <cell r="Q1695">
            <v>2.1842999999999999</v>
          </cell>
        </row>
        <row r="1696">
          <cell r="K1696">
            <v>195.08</v>
          </cell>
          <cell r="Q1696">
            <v>2.1775000000000002</v>
          </cell>
        </row>
        <row r="1697">
          <cell r="K1697">
            <v>194.77</v>
          </cell>
          <cell r="Q1697">
            <v>2.1739999999999999</v>
          </cell>
        </row>
        <row r="1698">
          <cell r="K1698">
            <v>193.42</v>
          </cell>
          <cell r="Q1698">
            <v>2.1589999999999998</v>
          </cell>
        </row>
        <row r="1699">
          <cell r="K1699">
            <v>192.4</v>
          </cell>
          <cell r="Q1699">
            <v>2.1476000000000002</v>
          </cell>
        </row>
        <row r="1700">
          <cell r="K1700">
            <v>191.95</v>
          </cell>
          <cell r="Q1700">
            <v>2.1425999999999998</v>
          </cell>
        </row>
        <row r="1701">
          <cell r="K1701">
            <v>192.71001000000001</v>
          </cell>
          <cell r="Q1701">
            <v>2.1509999999999998</v>
          </cell>
        </row>
        <row r="1702">
          <cell r="K1702">
            <v>189.83</v>
          </cell>
          <cell r="Q1702">
            <v>2.1189</v>
          </cell>
        </row>
        <row r="1703">
          <cell r="K1703">
            <v>191.55</v>
          </cell>
          <cell r="Q1703">
            <v>2.1514000000000002</v>
          </cell>
        </row>
        <row r="1704">
          <cell r="K1704">
            <v>196.35001</v>
          </cell>
          <cell r="Q1704">
            <v>2.2052999999999998</v>
          </cell>
        </row>
        <row r="1705">
          <cell r="K1705">
            <v>195.27</v>
          </cell>
          <cell r="Q1705">
            <v>2.1932</v>
          </cell>
        </row>
        <row r="1706">
          <cell r="K1706">
            <v>193.99001000000001</v>
          </cell>
          <cell r="Q1706">
            <v>2.1787999999999998</v>
          </cell>
        </row>
        <row r="1707">
          <cell r="K1707">
            <v>193.14</v>
          </cell>
          <cell r="Q1707">
            <v>2.1692999999999998</v>
          </cell>
        </row>
        <row r="1708">
          <cell r="K1708">
            <v>192.87</v>
          </cell>
          <cell r="Q1708">
            <v>2.1663000000000001</v>
          </cell>
        </row>
        <row r="1709">
          <cell r="K1709">
            <v>192.32001</v>
          </cell>
          <cell r="Q1709">
            <v>2.1600999999999999</v>
          </cell>
        </row>
        <row r="1710">
          <cell r="K1710">
            <v>192.88</v>
          </cell>
          <cell r="Q1710">
            <v>2.1663999999999999</v>
          </cell>
        </row>
        <row r="1711">
          <cell r="K1711">
            <v>194.45</v>
          </cell>
          <cell r="Q1711">
            <v>2.1840000000000002</v>
          </cell>
        </row>
        <row r="1712">
          <cell r="K1712">
            <v>192.62</v>
          </cell>
          <cell r="Q1712">
            <v>2.1634000000000002</v>
          </cell>
        </row>
        <row r="1713">
          <cell r="K1713">
            <v>192.5</v>
          </cell>
          <cell r="Q1713">
            <v>2.1621000000000001</v>
          </cell>
        </row>
        <row r="1714">
          <cell r="K1714">
            <v>192.59</v>
          </cell>
          <cell r="Q1714">
            <v>2.1631</v>
          </cell>
        </row>
        <row r="1715">
          <cell r="K1715">
            <v>193.65</v>
          </cell>
          <cell r="Q1715">
            <v>2.1749999999999998</v>
          </cell>
        </row>
        <row r="1716">
          <cell r="K1716">
            <v>194.47</v>
          </cell>
          <cell r="Q1716">
            <v>2.1842000000000001</v>
          </cell>
        </row>
        <row r="1717">
          <cell r="K1717">
            <v>196.08</v>
          </cell>
          <cell r="Q1717">
            <v>2.2023000000000001</v>
          </cell>
        </row>
        <row r="1718">
          <cell r="K1718">
            <v>204.72</v>
          </cell>
          <cell r="Q1718">
            <v>2.2993999999999999</v>
          </cell>
        </row>
        <row r="1719">
          <cell r="K1719">
            <v>204.42</v>
          </cell>
          <cell r="Q1719">
            <v>2.2959999999999998</v>
          </cell>
        </row>
        <row r="1720">
          <cell r="K1720">
            <v>204.97</v>
          </cell>
          <cell r="Q1720">
            <v>2.3022</v>
          </cell>
        </row>
        <row r="1721">
          <cell r="K1721">
            <v>204.93</v>
          </cell>
          <cell r="Q1721">
            <v>2.3016999999999999</v>
          </cell>
        </row>
        <row r="1722">
          <cell r="K1722">
            <v>203.9</v>
          </cell>
          <cell r="Q1722">
            <v>2.2900999999999998</v>
          </cell>
        </row>
        <row r="1723">
          <cell r="K1723">
            <v>203.52</v>
          </cell>
          <cell r="Q1723">
            <v>2.2858999999999998</v>
          </cell>
        </row>
        <row r="1724">
          <cell r="K1724">
            <v>203.07001</v>
          </cell>
          <cell r="Q1724">
            <v>2.2808000000000002</v>
          </cell>
        </row>
        <row r="1725">
          <cell r="K1725">
            <v>205.18</v>
          </cell>
          <cell r="Q1725">
            <v>2.3045</v>
          </cell>
        </row>
        <row r="1726">
          <cell r="K1726">
            <v>203.79</v>
          </cell>
          <cell r="Q1726">
            <v>2.2888999999999999</v>
          </cell>
        </row>
        <row r="1727">
          <cell r="K1727">
            <v>202.79</v>
          </cell>
          <cell r="Q1727">
            <v>2.2776999999999998</v>
          </cell>
        </row>
        <row r="1728">
          <cell r="K1728">
            <v>201.02</v>
          </cell>
          <cell r="Q1728">
            <v>2.2578</v>
          </cell>
        </row>
        <row r="1729">
          <cell r="K1729">
            <v>199.74001000000001</v>
          </cell>
          <cell r="Q1729">
            <v>2.2433999999999998</v>
          </cell>
        </row>
        <row r="1730">
          <cell r="K1730">
            <v>201.68</v>
          </cell>
          <cell r="Q1730">
            <v>2.2652000000000001</v>
          </cell>
        </row>
        <row r="1731">
          <cell r="K1731">
            <v>200.16</v>
          </cell>
          <cell r="Q1731">
            <v>2.2481</v>
          </cell>
        </row>
        <row r="1732">
          <cell r="K1732">
            <v>200.04</v>
          </cell>
          <cell r="Q1732">
            <v>2.2467999999999999</v>
          </cell>
        </row>
        <row r="1733">
          <cell r="K1733">
            <v>200.09</v>
          </cell>
          <cell r="Q1733">
            <v>2.2473999999999998</v>
          </cell>
        </row>
        <row r="1734">
          <cell r="K1734">
            <v>199.65</v>
          </cell>
          <cell r="Q1734">
            <v>2.2423999999999999</v>
          </cell>
        </row>
        <row r="1735">
          <cell r="K1735">
            <v>200.98</v>
          </cell>
          <cell r="Q1735">
            <v>2.2572999999999999</v>
          </cell>
        </row>
        <row r="1736">
          <cell r="K1736">
            <v>200.32001</v>
          </cell>
          <cell r="Q1736">
            <v>2.2498999999999998</v>
          </cell>
        </row>
        <row r="1737">
          <cell r="K1737">
            <v>199.31</v>
          </cell>
          <cell r="Q1737">
            <v>2.2385999999999999</v>
          </cell>
        </row>
        <row r="1738">
          <cell r="K1738">
            <v>198.33</v>
          </cell>
          <cell r="Q1738">
            <v>2.2275999999999998</v>
          </cell>
        </row>
        <row r="1739">
          <cell r="K1739">
            <v>201.09</v>
          </cell>
          <cell r="Q1739">
            <v>2.2585999999999999</v>
          </cell>
        </row>
        <row r="1740">
          <cell r="K1740">
            <v>197.51</v>
          </cell>
          <cell r="Q1740">
            <v>2.2183999999999999</v>
          </cell>
        </row>
        <row r="1741">
          <cell r="K1741">
            <v>199.14</v>
          </cell>
          <cell r="Q1741">
            <v>2.2366999999999999</v>
          </cell>
        </row>
        <row r="1742">
          <cell r="K1742">
            <v>202.33</v>
          </cell>
          <cell r="Q1742">
            <v>2.2725</v>
          </cell>
        </row>
        <row r="1743">
          <cell r="K1743">
            <v>200.83</v>
          </cell>
          <cell r="Q1743">
            <v>2.2557</v>
          </cell>
        </row>
        <row r="1744">
          <cell r="K1744">
            <v>202.91</v>
          </cell>
          <cell r="Q1744">
            <v>2.2789999999999999</v>
          </cell>
        </row>
        <row r="1745">
          <cell r="K1745">
            <v>205.19</v>
          </cell>
          <cell r="Q1745">
            <v>2.3046000000000002</v>
          </cell>
        </row>
        <row r="1746">
          <cell r="K1746">
            <v>206.53</v>
          </cell>
          <cell r="Q1746">
            <v>2.3197000000000001</v>
          </cell>
        </row>
        <row r="1747">
          <cell r="K1747">
            <v>208.38</v>
          </cell>
          <cell r="Q1747">
            <v>2.3405</v>
          </cell>
        </row>
        <row r="1748">
          <cell r="K1748">
            <v>209.42</v>
          </cell>
          <cell r="Q1748">
            <v>2.3521000000000001</v>
          </cell>
        </row>
        <row r="1749">
          <cell r="K1749">
            <v>210.38</v>
          </cell>
          <cell r="Q1749">
            <v>2.3628999999999998</v>
          </cell>
        </row>
        <row r="1750">
          <cell r="K1750">
            <v>210.08</v>
          </cell>
          <cell r="Q1750">
            <v>2.3595999999999999</v>
          </cell>
        </row>
        <row r="1751">
          <cell r="K1751">
            <v>210.55</v>
          </cell>
          <cell r="Q1751">
            <v>2.3647999999999998</v>
          </cell>
        </row>
        <row r="1752">
          <cell r="K1752">
            <v>212.06</v>
          </cell>
          <cell r="Q1752">
            <v>2.3818000000000001</v>
          </cell>
        </row>
        <row r="1753">
          <cell r="K1753">
            <v>215.8</v>
          </cell>
          <cell r="Q1753">
            <v>2.4238</v>
          </cell>
        </row>
        <row r="1754">
          <cell r="K1754">
            <v>214.92</v>
          </cell>
          <cell r="Q1754">
            <v>2.4138999999999999</v>
          </cell>
        </row>
        <row r="1755">
          <cell r="K1755">
            <v>213.21001000000001</v>
          </cell>
          <cell r="Q1755">
            <v>2.3946999999999998</v>
          </cell>
        </row>
        <row r="1756">
          <cell r="K1756">
            <v>213.44</v>
          </cell>
          <cell r="Q1756">
            <v>2.3973</v>
          </cell>
        </row>
        <row r="1757">
          <cell r="K1757">
            <v>215.06</v>
          </cell>
          <cell r="Q1757">
            <v>2.4155000000000002</v>
          </cell>
        </row>
        <row r="1758">
          <cell r="K1758">
            <v>212.26</v>
          </cell>
          <cell r="Q1758">
            <v>2.3839999999999999</v>
          </cell>
        </row>
        <row r="1759">
          <cell r="K1759">
            <v>212.08</v>
          </cell>
          <cell r="Q1759">
            <v>2.3820000000000001</v>
          </cell>
        </row>
        <row r="1760">
          <cell r="K1760">
            <v>210.74001000000001</v>
          </cell>
          <cell r="Q1760">
            <v>2.367</v>
          </cell>
        </row>
        <row r="1761">
          <cell r="K1761">
            <v>212.36</v>
          </cell>
          <cell r="Q1761">
            <v>2.3852000000000002</v>
          </cell>
        </row>
        <row r="1762">
          <cell r="K1762">
            <v>210.89</v>
          </cell>
          <cell r="Q1762">
            <v>2.3687</v>
          </cell>
        </row>
        <row r="1763">
          <cell r="K1763">
            <v>213.3</v>
          </cell>
          <cell r="Q1763">
            <v>2.3957000000000002</v>
          </cell>
        </row>
        <row r="1764">
          <cell r="K1764">
            <v>212.38</v>
          </cell>
          <cell r="Q1764">
            <v>2.3889</v>
          </cell>
        </row>
        <row r="1765">
          <cell r="K1765">
            <v>214.36</v>
          </cell>
          <cell r="Q1765">
            <v>2.4110999999999998</v>
          </cell>
        </row>
        <row r="1766">
          <cell r="K1766">
            <v>212.66</v>
          </cell>
          <cell r="Q1766">
            <v>2.3919999999999999</v>
          </cell>
        </row>
        <row r="1767">
          <cell r="K1767">
            <v>211.31</v>
          </cell>
          <cell r="Q1767">
            <v>2.3767999999999998</v>
          </cell>
        </row>
        <row r="1768">
          <cell r="K1768">
            <v>209.41</v>
          </cell>
          <cell r="Q1768">
            <v>2.3553999999999999</v>
          </cell>
        </row>
        <row r="1769">
          <cell r="K1769">
            <v>209.32001</v>
          </cell>
          <cell r="Q1769">
            <v>2.3544</v>
          </cell>
        </row>
        <row r="1770">
          <cell r="K1770">
            <v>209.22</v>
          </cell>
          <cell r="Q1770">
            <v>2.3532999999999999</v>
          </cell>
        </row>
        <row r="1771">
          <cell r="K1771">
            <v>212</v>
          </cell>
          <cell r="Q1771">
            <v>2.3845999999999998</v>
          </cell>
        </row>
        <row r="1772">
          <cell r="K1772">
            <v>212.92</v>
          </cell>
          <cell r="Q1772">
            <v>2.3948999999999998</v>
          </cell>
        </row>
        <row r="1773">
          <cell r="K1773">
            <v>211.38</v>
          </cell>
          <cell r="Q1773">
            <v>2.3776000000000002</v>
          </cell>
        </row>
        <row r="1774">
          <cell r="K1774">
            <v>209.26</v>
          </cell>
          <cell r="Q1774">
            <v>2.3538000000000001</v>
          </cell>
        </row>
        <row r="1775">
          <cell r="K1775">
            <v>212</v>
          </cell>
          <cell r="Q1775">
            <v>2.3845999999999998</v>
          </cell>
        </row>
        <row r="1776">
          <cell r="K1776">
            <v>209.67</v>
          </cell>
          <cell r="Q1776">
            <v>2.3584000000000001</v>
          </cell>
        </row>
        <row r="1777">
          <cell r="K1777">
            <v>207.15</v>
          </cell>
          <cell r="Q1777">
            <v>2.33</v>
          </cell>
        </row>
        <row r="1778">
          <cell r="K1778">
            <v>190</v>
          </cell>
          <cell r="Q1778">
            <v>2.1371000000000002</v>
          </cell>
        </row>
        <row r="1779">
          <cell r="K1779">
            <v>187.83</v>
          </cell>
          <cell r="Q1779">
            <v>2.1126999999999998</v>
          </cell>
        </row>
        <row r="1780">
          <cell r="K1780">
            <v>191.61</v>
          </cell>
          <cell r="Q1780">
            <v>2.1551999999999998</v>
          </cell>
        </row>
        <row r="1781">
          <cell r="K1781">
            <v>191.71001000000001</v>
          </cell>
          <cell r="Q1781">
            <v>2.1564000000000001</v>
          </cell>
        </row>
        <row r="1782">
          <cell r="K1782">
            <v>193.95</v>
          </cell>
          <cell r="Q1782">
            <v>2.1816</v>
          </cell>
        </row>
        <row r="1783">
          <cell r="K1783">
            <v>194.31</v>
          </cell>
          <cell r="Q1783">
            <v>2.1856</v>
          </cell>
        </row>
        <row r="1784">
          <cell r="K1784">
            <v>199.15</v>
          </cell>
          <cell r="Q1784">
            <v>2.2400000000000002</v>
          </cell>
        </row>
        <row r="1785">
          <cell r="K1785">
            <v>202.54</v>
          </cell>
          <cell r="Q1785">
            <v>2.2782</v>
          </cell>
        </row>
        <row r="1786">
          <cell r="K1786">
            <v>199.63</v>
          </cell>
          <cell r="Q1786">
            <v>2.2454000000000001</v>
          </cell>
        </row>
        <row r="1787">
          <cell r="K1787">
            <v>202.39</v>
          </cell>
          <cell r="Q1787">
            <v>2.2765</v>
          </cell>
        </row>
        <row r="1788">
          <cell r="K1788">
            <v>204.51</v>
          </cell>
          <cell r="Q1788">
            <v>2.3003</v>
          </cell>
        </row>
        <row r="1789">
          <cell r="K1789">
            <v>202.78</v>
          </cell>
          <cell r="Q1789">
            <v>2.2808999999999999</v>
          </cell>
        </row>
        <row r="1790">
          <cell r="K1790">
            <v>203.63</v>
          </cell>
          <cell r="Q1790">
            <v>2.2904</v>
          </cell>
        </row>
        <row r="1791">
          <cell r="K1791">
            <v>204.82001</v>
          </cell>
          <cell r="Q1791">
            <v>2.3037999999999998</v>
          </cell>
        </row>
        <row r="1792">
          <cell r="K1792">
            <v>203.24001000000001</v>
          </cell>
          <cell r="Q1792">
            <v>2.286</v>
          </cell>
        </row>
        <row r="1793">
          <cell r="K1793">
            <v>204.47</v>
          </cell>
          <cell r="Q1793">
            <v>2.2999000000000001</v>
          </cell>
        </row>
        <row r="1794">
          <cell r="K1794">
            <v>202.47</v>
          </cell>
          <cell r="Q1794">
            <v>2.2774000000000001</v>
          </cell>
        </row>
        <row r="1795">
          <cell r="K1795">
            <v>203.21001000000001</v>
          </cell>
          <cell r="Q1795">
            <v>2.2856999999999998</v>
          </cell>
        </row>
        <row r="1796">
          <cell r="K1796">
            <v>203.32001</v>
          </cell>
          <cell r="Q1796">
            <v>2.2869000000000002</v>
          </cell>
        </row>
        <row r="1797">
          <cell r="K1797">
            <v>204.69</v>
          </cell>
          <cell r="Q1797">
            <v>2.3024</v>
          </cell>
        </row>
        <row r="1798">
          <cell r="K1798">
            <v>208.44</v>
          </cell>
          <cell r="Q1798">
            <v>2.3445</v>
          </cell>
        </row>
        <row r="1799">
          <cell r="K1799">
            <v>207.6</v>
          </cell>
          <cell r="Q1799">
            <v>2.3351000000000002</v>
          </cell>
        </row>
        <row r="1800">
          <cell r="K1800">
            <v>208.65</v>
          </cell>
          <cell r="Q1800">
            <v>2.3469000000000002</v>
          </cell>
        </row>
        <row r="1801">
          <cell r="K1801">
            <v>206.99001000000001</v>
          </cell>
          <cell r="Q1801">
            <v>2.3281999999999998</v>
          </cell>
        </row>
        <row r="1802">
          <cell r="K1802">
            <v>206.16</v>
          </cell>
          <cell r="Q1802">
            <v>2.3189000000000002</v>
          </cell>
        </row>
        <row r="1803">
          <cell r="K1803">
            <v>205.72</v>
          </cell>
          <cell r="Q1803">
            <v>2.3138999999999998</v>
          </cell>
        </row>
        <row r="1804">
          <cell r="K1804">
            <v>207.78</v>
          </cell>
          <cell r="Q1804">
            <v>2.3371</v>
          </cell>
        </row>
        <row r="1805">
          <cell r="K1805">
            <v>207.92</v>
          </cell>
          <cell r="Q1805">
            <v>2.3386999999999998</v>
          </cell>
        </row>
        <row r="1806">
          <cell r="K1806">
            <v>209.36</v>
          </cell>
          <cell r="Q1806">
            <v>2.3549000000000002</v>
          </cell>
        </row>
        <row r="1807">
          <cell r="K1807">
            <v>208.02</v>
          </cell>
          <cell r="Q1807">
            <v>2.3397999999999999</v>
          </cell>
        </row>
        <row r="1808">
          <cell r="K1808">
            <v>208.95</v>
          </cell>
          <cell r="Q1808">
            <v>2.3502999999999998</v>
          </cell>
        </row>
        <row r="1809">
          <cell r="K1809">
            <v>206.19</v>
          </cell>
          <cell r="Q1809">
            <v>2.3191999999999999</v>
          </cell>
        </row>
        <row r="1810">
          <cell r="K1810">
            <v>202.74001000000001</v>
          </cell>
          <cell r="Q1810">
            <v>2.2804000000000002</v>
          </cell>
        </row>
        <row r="1811">
          <cell r="K1811">
            <v>203.8</v>
          </cell>
          <cell r="Q1811">
            <v>2.2923</v>
          </cell>
        </row>
        <row r="1812">
          <cell r="K1812">
            <v>206.35001</v>
          </cell>
          <cell r="Q1812">
            <v>2.3210000000000002</v>
          </cell>
        </row>
        <row r="1813">
          <cell r="K1813">
            <v>205.02</v>
          </cell>
          <cell r="Q1813">
            <v>2.3060999999999998</v>
          </cell>
        </row>
        <row r="1814">
          <cell r="K1814">
            <v>203.98</v>
          </cell>
          <cell r="Q1814">
            <v>2.2944</v>
          </cell>
        </row>
        <row r="1815">
          <cell r="K1815">
            <v>201.2</v>
          </cell>
          <cell r="Q1815">
            <v>2.2631000000000001</v>
          </cell>
        </row>
        <row r="1816">
          <cell r="K1816">
            <v>203.77</v>
          </cell>
          <cell r="Q1816">
            <v>2.2919999999999998</v>
          </cell>
        </row>
        <row r="1817">
          <cell r="K1817">
            <v>202.2</v>
          </cell>
          <cell r="Q1817">
            <v>2.2743000000000002</v>
          </cell>
        </row>
        <row r="1818">
          <cell r="K1818">
            <v>203.04</v>
          </cell>
          <cell r="Q1818">
            <v>2.2837999999999998</v>
          </cell>
        </row>
        <row r="1819">
          <cell r="K1819">
            <v>204.87</v>
          </cell>
          <cell r="Q1819">
            <v>2.3043999999999998</v>
          </cell>
        </row>
        <row r="1820">
          <cell r="K1820">
            <v>201.94</v>
          </cell>
          <cell r="Q1820">
            <v>2.2713999999999999</v>
          </cell>
        </row>
        <row r="1821">
          <cell r="K1821">
            <v>197.35001</v>
          </cell>
          <cell r="Q1821">
            <v>2.2198000000000002</v>
          </cell>
        </row>
        <row r="1822">
          <cell r="K1822">
            <v>195.46001000000001</v>
          </cell>
          <cell r="Q1822">
            <v>2.1985000000000001</v>
          </cell>
        </row>
        <row r="1823">
          <cell r="K1823">
            <v>193.54</v>
          </cell>
          <cell r="Q1823">
            <v>2.1768999999999998</v>
          </cell>
        </row>
        <row r="1824">
          <cell r="K1824">
            <v>194.98</v>
          </cell>
          <cell r="Q1824">
            <v>2.1930999999999998</v>
          </cell>
        </row>
        <row r="1825">
          <cell r="K1825">
            <v>194.86</v>
          </cell>
          <cell r="Q1825">
            <v>2.1918000000000002</v>
          </cell>
        </row>
        <row r="1826">
          <cell r="K1826">
            <v>195.65</v>
          </cell>
          <cell r="Q1826">
            <v>2.2006999999999999</v>
          </cell>
        </row>
        <row r="1827">
          <cell r="K1827">
            <v>191.11</v>
          </cell>
          <cell r="Q1827">
            <v>2.1496</v>
          </cell>
        </row>
        <row r="1828">
          <cell r="K1828">
            <v>191.28</v>
          </cell>
          <cell r="Q1828">
            <v>2.1448999999999998</v>
          </cell>
        </row>
        <row r="1829">
          <cell r="K1829">
            <v>191.5</v>
          </cell>
          <cell r="Q1829">
            <v>2.1474000000000002</v>
          </cell>
        </row>
        <row r="1830">
          <cell r="K1830">
            <v>193.25</v>
          </cell>
          <cell r="Q1830">
            <v>2.1669999999999998</v>
          </cell>
        </row>
        <row r="1831">
          <cell r="K1831">
            <v>194.93</v>
          </cell>
          <cell r="Q1831">
            <v>2.1859000000000002</v>
          </cell>
        </row>
        <row r="1832">
          <cell r="K1832">
            <v>194.98</v>
          </cell>
          <cell r="Q1832">
            <v>2.1863999999999999</v>
          </cell>
        </row>
        <row r="1833">
          <cell r="K1833">
            <v>191.3</v>
          </cell>
          <cell r="Q1833">
            <v>2.1452</v>
          </cell>
        </row>
        <row r="1834">
          <cell r="K1834">
            <v>192.25</v>
          </cell>
          <cell r="Q1834">
            <v>2.1558000000000002</v>
          </cell>
        </row>
        <row r="1835">
          <cell r="K1835">
            <v>192.8</v>
          </cell>
          <cell r="Q1835">
            <v>2.1619999999999999</v>
          </cell>
        </row>
        <row r="1836">
          <cell r="K1836">
            <v>192.07001</v>
          </cell>
          <cell r="Q1836">
            <v>2.1537999999999999</v>
          </cell>
        </row>
        <row r="1837">
          <cell r="K1837">
            <v>194</v>
          </cell>
          <cell r="Q1837">
            <v>2.1753999999999998</v>
          </cell>
        </row>
        <row r="1838">
          <cell r="K1838">
            <v>193.85001</v>
          </cell>
          <cell r="Q1838">
            <v>2.1738</v>
          </cell>
        </row>
        <row r="1839">
          <cell r="K1839">
            <v>194.55</v>
          </cell>
          <cell r="Q1839">
            <v>2.1816</v>
          </cell>
        </row>
        <row r="1840">
          <cell r="K1840">
            <v>197.99001000000001</v>
          </cell>
          <cell r="Q1840">
            <v>2.2202000000000002</v>
          </cell>
        </row>
        <row r="1841">
          <cell r="K1841">
            <v>193.54</v>
          </cell>
          <cell r="Q1841">
            <v>2.1703000000000001</v>
          </cell>
        </row>
        <row r="1842">
          <cell r="K1842">
            <v>194.09</v>
          </cell>
          <cell r="Q1842">
            <v>2.1764999999999999</v>
          </cell>
        </row>
        <row r="1843">
          <cell r="K1843">
            <v>194.98</v>
          </cell>
          <cell r="Q1843">
            <v>2.1863999999999999</v>
          </cell>
        </row>
        <row r="1844">
          <cell r="K1844">
            <v>196.61</v>
          </cell>
          <cell r="Q1844">
            <v>2.2046999999999999</v>
          </cell>
        </row>
        <row r="1845">
          <cell r="K1845">
            <v>197.22</v>
          </cell>
          <cell r="Q1845">
            <v>2.2115999999999998</v>
          </cell>
        </row>
        <row r="1846">
          <cell r="K1846">
            <v>197.35001</v>
          </cell>
          <cell r="Q1846">
            <v>2.2130000000000001</v>
          </cell>
        </row>
        <row r="1847">
          <cell r="K1847">
            <v>196.21001000000001</v>
          </cell>
          <cell r="Q1847">
            <v>2.2002000000000002</v>
          </cell>
        </row>
        <row r="1848">
          <cell r="K1848">
            <v>196.01</v>
          </cell>
          <cell r="Q1848">
            <v>2.198</v>
          </cell>
        </row>
        <row r="1849">
          <cell r="K1849">
            <v>195.04</v>
          </cell>
          <cell r="Q1849">
            <v>2.1871</v>
          </cell>
        </row>
        <row r="1850">
          <cell r="K1850">
            <v>195.81</v>
          </cell>
          <cell r="Q1850">
            <v>2.1957</v>
          </cell>
        </row>
        <row r="1851">
          <cell r="K1851">
            <v>195.16</v>
          </cell>
          <cell r="Q1851">
            <v>2.1884999999999999</v>
          </cell>
        </row>
        <row r="1852">
          <cell r="K1852">
            <v>195.5</v>
          </cell>
          <cell r="Q1852">
            <v>2.1922999999999999</v>
          </cell>
        </row>
        <row r="1853">
          <cell r="K1853">
            <v>190.99001000000001</v>
          </cell>
          <cell r="Q1853">
            <v>2.1417000000000002</v>
          </cell>
        </row>
        <row r="1854">
          <cell r="K1854">
            <v>188.56</v>
          </cell>
          <cell r="Q1854">
            <v>2.1143999999999998</v>
          </cell>
        </row>
        <row r="1855">
          <cell r="K1855">
            <v>187.93</v>
          </cell>
          <cell r="Q1855">
            <v>2.1074000000000002</v>
          </cell>
        </row>
        <row r="1856">
          <cell r="K1856">
            <v>187.82001</v>
          </cell>
          <cell r="Q1856">
            <v>2.1061000000000001</v>
          </cell>
        </row>
        <row r="1857">
          <cell r="K1857">
            <v>189.09</v>
          </cell>
          <cell r="Q1857">
            <v>2.1204000000000001</v>
          </cell>
        </row>
        <row r="1858">
          <cell r="K1858">
            <v>188.42</v>
          </cell>
          <cell r="Q1858">
            <v>2.1128999999999998</v>
          </cell>
        </row>
        <row r="1859">
          <cell r="K1859">
            <v>187.53</v>
          </cell>
          <cell r="Q1859">
            <v>2.1029</v>
          </cell>
        </row>
        <row r="1860">
          <cell r="K1860">
            <v>185.79</v>
          </cell>
          <cell r="Q1860">
            <v>2.0834000000000001</v>
          </cell>
        </row>
        <row r="1861">
          <cell r="K1861">
            <v>185.34</v>
          </cell>
          <cell r="Q1861">
            <v>2.0783</v>
          </cell>
        </row>
        <row r="1862">
          <cell r="K1862">
            <v>184.23</v>
          </cell>
          <cell r="Q1862">
            <v>2.0659000000000001</v>
          </cell>
        </row>
        <row r="1863">
          <cell r="K1863">
            <v>184.56</v>
          </cell>
          <cell r="Q1863">
            <v>2.0695999999999999</v>
          </cell>
        </row>
        <row r="1864">
          <cell r="K1864">
            <v>184.86</v>
          </cell>
          <cell r="Q1864">
            <v>2.073</v>
          </cell>
        </row>
        <row r="1865">
          <cell r="K1865">
            <v>185.19</v>
          </cell>
          <cell r="Q1865">
            <v>2.0767000000000002</v>
          </cell>
        </row>
        <row r="1866">
          <cell r="K1866">
            <v>185.42</v>
          </cell>
          <cell r="Q1866">
            <v>2.0792000000000002</v>
          </cell>
        </row>
        <row r="1867">
          <cell r="K1867">
            <v>184.74001000000001</v>
          </cell>
          <cell r="Q1867">
            <v>2.0716000000000001</v>
          </cell>
        </row>
        <row r="1868">
          <cell r="K1868">
            <v>182.74001000000001</v>
          </cell>
          <cell r="Q1868">
            <v>2.0491999999999999</v>
          </cell>
        </row>
        <row r="1869">
          <cell r="K1869">
            <v>182.16</v>
          </cell>
          <cell r="Q1869">
            <v>2.0427</v>
          </cell>
        </row>
        <row r="1870">
          <cell r="K1870">
            <v>182.64</v>
          </cell>
          <cell r="Q1870">
            <v>2.0480999999999998</v>
          </cell>
        </row>
        <row r="1871">
          <cell r="K1871">
            <v>182.27</v>
          </cell>
          <cell r="Q1871">
            <v>2.0438999999999998</v>
          </cell>
        </row>
        <row r="1872">
          <cell r="K1872">
            <v>183.96001000000001</v>
          </cell>
          <cell r="Q1872">
            <v>2.0629</v>
          </cell>
        </row>
        <row r="1873">
          <cell r="K1873">
            <v>183.13</v>
          </cell>
          <cell r="Q1873">
            <v>2.0535999999999999</v>
          </cell>
        </row>
        <row r="1874">
          <cell r="K1874">
            <v>184.15</v>
          </cell>
          <cell r="Q1874">
            <v>2.0649999999999999</v>
          </cell>
        </row>
        <row r="1875">
          <cell r="K1875">
            <v>183.03</v>
          </cell>
          <cell r="Q1875">
            <v>2.0524</v>
          </cell>
        </row>
        <row r="1876">
          <cell r="K1876">
            <v>184.98</v>
          </cell>
          <cell r="Q1876">
            <v>2.0743</v>
          </cell>
        </row>
        <row r="1877">
          <cell r="K1877">
            <v>186.6</v>
          </cell>
          <cell r="Q1877">
            <v>2.0924999999999998</v>
          </cell>
        </row>
        <row r="1878">
          <cell r="K1878">
            <v>190.7</v>
          </cell>
          <cell r="Q1878">
            <v>2.1383999999999999</v>
          </cell>
        </row>
        <row r="1879">
          <cell r="K1879">
            <v>190.73</v>
          </cell>
          <cell r="Q1879">
            <v>2.1387999999999998</v>
          </cell>
        </row>
        <row r="1880">
          <cell r="K1880">
            <v>192.17</v>
          </cell>
          <cell r="Q1880">
            <v>2.1549</v>
          </cell>
        </row>
        <row r="1881">
          <cell r="K1881">
            <v>193.15</v>
          </cell>
          <cell r="Q1881">
            <v>2.1659000000000002</v>
          </cell>
        </row>
        <row r="1882">
          <cell r="K1882">
            <v>192.16</v>
          </cell>
          <cell r="Q1882">
            <v>2.1547999999999998</v>
          </cell>
        </row>
        <row r="1883">
          <cell r="K1883">
            <v>194.42</v>
          </cell>
          <cell r="Q1883">
            <v>2.1802000000000001</v>
          </cell>
        </row>
        <row r="1884">
          <cell r="K1884">
            <v>193.39</v>
          </cell>
          <cell r="Q1884">
            <v>2.1686000000000001</v>
          </cell>
        </row>
        <row r="1885">
          <cell r="K1885">
            <v>190.02</v>
          </cell>
          <cell r="Q1885">
            <v>2.1307999999999998</v>
          </cell>
        </row>
        <row r="1886">
          <cell r="K1886">
            <v>190.99001000000001</v>
          </cell>
          <cell r="Q1886">
            <v>2.1417000000000002</v>
          </cell>
        </row>
        <row r="1887">
          <cell r="K1887">
            <v>189.97</v>
          </cell>
          <cell r="Q1887">
            <v>2.1303000000000001</v>
          </cell>
        </row>
        <row r="1888">
          <cell r="K1888">
            <v>189.47</v>
          </cell>
          <cell r="Q1888">
            <v>2.1246</v>
          </cell>
        </row>
        <row r="1889">
          <cell r="K1889">
            <v>190.22</v>
          </cell>
          <cell r="Q1889">
            <v>2.1331000000000002</v>
          </cell>
        </row>
        <row r="1890">
          <cell r="K1890">
            <v>186.92</v>
          </cell>
          <cell r="Q1890">
            <v>2.0960999999999999</v>
          </cell>
        </row>
        <row r="1891">
          <cell r="K1891">
            <v>185.18</v>
          </cell>
          <cell r="Q1891">
            <v>2.0825</v>
          </cell>
        </row>
        <row r="1892">
          <cell r="K1892">
            <v>186.38</v>
          </cell>
          <cell r="Q1892">
            <v>2.0960000000000001</v>
          </cell>
        </row>
        <row r="1893">
          <cell r="K1893">
            <v>184.96001000000001</v>
          </cell>
          <cell r="Q1893">
            <v>2.08</v>
          </cell>
        </row>
        <row r="1894">
          <cell r="K1894">
            <v>183.86</v>
          </cell>
          <cell r="Q1894">
            <v>2.0676000000000001</v>
          </cell>
        </row>
        <row r="1895">
          <cell r="K1895">
            <v>184.1</v>
          </cell>
          <cell r="Q1895">
            <v>2.0703</v>
          </cell>
        </row>
        <row r="1896">
          <cell r="K1896">
            <v>182.01</v>
          </cell>
          <cell r="Q1896">
            <v>2.0468000000000002</v>
          </cell>
        </row>
        <row r="1897">
          <cell r="K1897">
            <v>178.72</v>
          </cell>
          <cell r="Q1897">
            <v>2.0097999999999998</v>
          </cell>
        </row>
        <row r="1898">
          <cell r="K1898">
            <v>181.32001</v>
          </cell>
          <cell r="Q1898">
            <v>2.0390999999999999</v>
          </cell>
        </row>
        <row r="1899">
          <cell r="K1899">
            <v>184.77</v>
          </cell>
          <cell r="Q1899">
            <v>2.0777999999999999</v>
          </cell>
        </row>
        <row r="1900">
          <cell r="K1900">
            <v>186.16</v>
          </cell>
          <cell r="Q1900">
            <v>2.0935000000000001</v>
          </cell>
        </row>
        <row r="1901">
          <cell r="K1901">
            <v>186.97</v>
          </cell>
          <cell r="Q1901">
            <v>2.1025999999999998</v>
          </cell>
        </row>
        <row r="1902">
          <cell r="K1902">
            <v>184.66</v>
          </cell>
          <cell r="Q1902">
            <v>2.0766</v>
          </cell>
        </row>
        <row r="1903">
          <cell r="K1903">
            <v>186.73</v>
          </cell>
          <cell r="Q1903">
            <v>2.0998999999999999</v>
          </cell>
        </row>
        <row r="1904">
          <cell r="K1904">
            <v>174.83</v>
          </cell>
          <cell r="Q1904">
            <v>1.9661</v>
          </cell>
        </row>
        <row r="1905">
          <cell r="K1905">
            <v>173.78</v>
          </cell>
          <cell r="Q1905">
            <v>1.9542999999999999</v>
          </cell>
        </row>
        <row r="1906">
          <cell r="K1906">
            <v>172.86</v>
          </cell>
          <cell r="Q1906">
            <v>1.9439</v>
          </cell>
        </row>
        <row r="1907">
          <cell r="K1907">
            <v>174.97</v>
          </cell>
          <cell r="Q1907">
            <v>1.9676</v>
          </cell>
        </row>
        <row r="1908">
          <cell r="K1908">
            <v>175.77</v>
          </cell>
          <cell r="Q1908">
            <v>1.9765999999999999</v>
          </cell>
        </row>
        <row r="1909">
          <cell r="K1909">
            <v>177.8</v>
          </cell>
          <cell r="Q1909">
            <v>1.9995000000000001</v>
          </cell>
        </row>
        <row r="1910">
          <cell r="K1910">
            <v>176.85001</v>
          </cell>
          <cell r="Q1910">
            <v>1.9887999999999999</v>
          </cell>
        </row>
        <row r="1911">
          <cell r="K1911">
            <v>177.35001</v>
          </cell>
          <cell r="Q1911">
            <v>1.9944</v>
          </cell>
        </row>
        <row r="1912">
          <cell r="K1912">
            <v>182.12</v>
          </cell>
          <cell r="Q1912">
            <v>2.048</v>
          </cell>
        </row>
        <row r="1913">
          <cell r="K1913">
            <v>180.15</v>
          </cell>
          <cell r="Q1913">
            <v>2.0259</v>
          </cell>
        </row>
        <row r="1914">
          <cell r="K1914">
            <v>179.21001000000001</v>
          </cell>
          <cell r="Q1914">
            <v>2.0152999999999999</v>
          </cell>
        </row>
        <row r="1915">
          <cell r="K1915">
            <v>179.23</v>
          </cell>
          <cell r="Q1915">
            <v>2.0154999999999998</v>
          </cell>
        </row>
        <row r="1916">
          <cell r="K1916">
            <v>180.27</v>
          </cell>
          <cell r="Q1916">
            <v>2.0272000000000001</v>
          </cell>
        </row>
        <row r="1917">
          <cell r="K1917">
            <v>177.85001</v>
          </cell>
          <cell r="Q1917">
            <v>2</v>
          </cell>
        </row>
        <row r="1918">
          <cell r="K1918">
            <v>179.19</v>
          </cell>
          <cell r="Q1918">
            <v>2.0150999999999999</v>
          </cell>
        </row>
        <row r="1919">
          <cell r="K1919">
            <v>180</v>
          </cell>
          <cell r="Q1919">
            <v>2.0242</v>
          </cell>
        </row>
        <row r="1920">
          <cell r="K1920">
            <v>179.99001000000001</v>
          </cell>
          <cell r="Q1920">
            <v>2.0240999999999998</v>
          </cell>
        </row>
        <row r="1921">
          <cell r="K1921">
            <v>182.88</v>
          </cell>
          <cell r="Q1921">
            <v>2.0566</v>
          </cell>
        </row>
        <row r="1922">
          <cell r="K1922">
            <v>183.07001</v>
          </cell>
          <cell r="Q1922">
            <v>2.0587</v>
          </cell>
        </row>
        <row r="1923">
          <cell r="K1923">
            <v>183.55</v>
          </cell>
          <cell r="Q1923">
            <v>2.0640999999999998</v>
          </cell>
        </row>
        <row r="1924">
          <cell r="K1924">
            <v>182.21001000000001</v>
          </cell>
          <cell r="Q1924">
            <v>2.0491000000000001</v>
          </cell>
        </row>
        <row r="1925">
          <cell r="K1925">
            <v>183.19</v>
          </cell>
          <cell r="Q1925">
            <v>2.0600999999999998</v>
          </cell>
        </row>
        <row r="1926">
          <cell r="K1926">
            <v>184.47</v>
          </cell>
          <cell r="Q1926">
            <v>2.0745</v>
          </cell>
        </row>
        <row r="1927">
          <cell r="K1927">
            <v>185.25</v>
          </cell>
          <cell r="Q1927">
            <v>2.0832000000000002</v>
          </cell>
        </row>
        <row r="1928">
          <cell r="K1928">
            <v>185.19</v>
          </cell>
          <cell r="Q1928">
            <v>2.0825999999999998</v>
          </cell>
        </row>
        <row r="1929">
          <cell r="K1929">
            <v>184.13</v>
          </cell>
          <cell r="Q1929">
            <v>2.0707</v>
          </cell>
        </row>
        <row r="1930">
          <cell r="K1930">
            <v>181.3</v>
          </cell>
          <cell r="Q1930">
            <v>2.0388000000000002</v>
          </cell>
        </row>
        <row r="1931">
          <cell r="K1931">
            <v>178.94</v>
          </cell>
          <cell r="Q1931">
            <v>2.0123000000000002</v>
          </cell>
        </row>
        <row r="1932">
          <cell r="K1932">
            <v>177.31</v>
          </cell>
          <cell r="Q1932">
            <v>1.994</v>
          </cell>
        </row>
        <row r="1933">
          <cell r="K1933">
            <v>178.97</v>
          </cell>
          <cell r="Q1933">
            <v>2.0125999999999999</v>
          </cell>
        </row>
        <row r="1934">
          <cell r="K1934">
            <v>179.68</v>
          </cell>
          <cell r="Q1934">
            <v>2.0206</v>
          </cell>
        </row>
        <row r="1935">
          <cell r="K1935">
            <v>177.48</v>
          </cell>
          <cell r="Q1935">
            <v>1.9959</v>
          </cell>
        </row>
        <row r="1936">
          <cell r="K1936">
            <v>176.08</v>
          </cell>
          <cell r="Q1936">
            <v>1.9801</v>
          </cell>
        </row>
        <row r="1937">
          <cell r="K1937">
            <v>175.74001000000001</v>
          </cell>
          <cell r="Q1937">
            <v>1.9762999999999999</v>
          </cell>
        </row>
        <row r="1938">
          <cell r="K1938">
            <v>176.08</v>
          </cell>
          <cell r="Q1938">
            <v>1.9801</v>
          </cell>
        </row>
        <row r="1939">
          <cell r="K1939">
            <v>177.67</v>
          </cell>
          <cell r="Q1939">
            <v>1.998</v>
          </cell>
        </row>
        <row r="1940">
          <cell r="K1940">
            <v>177.46001000000001</v>
          </cell>
          <cell r="Q1940">
            <v>1.9956</v>
          </cell>
        </row>
        <row r="1941">
          <cell r="K1941">
            <v>177.12</v>
          </cell>
          <cell r="Q1941">
            <v>1.9918</v>
          </cell>
        </row>
        <row r="1942">
          <cell r="K1942">
            <v>175.2</v>
          </cell>
          <cell r="Q1942">
            <v>1.9702</v>
          </cell>
        </row>
        <row r="1943">
          <cell r="K1943">
            <v>173.37</v>
          </cell>
          <cell r="Q1943">
            <v>1.9496</v>
          </cell>
        </row>
        <row r="1944">
          <cell r="K1944">
            <v>172.8</v>
          </cell>
          <cell r="Q1944">
            <v>1.9432</v>
          </cell>
        </row>
        <row r="1945">
          <cell r="K1945">
            <v>177.85001</v>
          </cell>
          <cell r="Q1945">
            <v>2</v>
          </cell>
        </row>
        <row r="1946">
          <cell r="K1946">
            <v>175.76</v>
          </cell>
          <cell r="Q1946">
            <v>1.9764999999999999</v>
          </cell>
        </row>
        <row r="1947">
          <cell r="K1947">
            <v>178.7</v>
          </cell>
          <cell r="Q1947">
            <v>2.0095999999999998</v>
          </cell>
        </row>
        <row r="1948">
          <cell r="K1948">
            <v>180.22</v>
          </cell>
          <cell r="Q1948">
            <v>2.0266999999999999</v>
          </cell>
        </row>
        <row r="1949">
          <cell r="K1949">
            <v>180.02</v>
          </cell>
          <cell r="Q1949">
            <v>2.0244</v>
          </cell>
        </row>
        <row r="1950">
          <cell r="K1950">
            <v>182.23</v>
          </cell>
          <cell r="Q1950">
            <v>2.0493000000000001</v>
          </cell>
        </row>
        <row r="1951">
          <cell r="K1951">
            <v>183.22</v>
          </cell>
          <cell r="Q1951">
            <v>2.0604</v>
          </cell>
        </row>
        <row r="1952">
          <cell r="K1952">
            <v>185.35001</v>
          </cell>
          <cell r="Q1952">
            <v>2.0844</v>
          </cell>
        </row>
        <row r="1953">
          <cell r="K1953">
            <v>185.08</v>
          </cell>
          <cell r="Q1953">
            <v>2.0813000000000001</v>
          </cell>
        </row>
        <row r="1954">
          <cell r="K1954">
            <v>186.41</v>
          </cell>
          <cell r="Q1954">
            <v>2.0962999999999998</v>
          </cell>
        </row>
        <row r="1955">
          <cell r="K1955">
            <v>187.57001</v>
          </cell>
          <cell r="Q1955">
            <v>2.0888</v>
          </cell>
        </row>
        <row r="1956">
          <cell r="K1956">
            <v>185.53</v>
          </cell>
          <cell r="Q1956">
            <v>2.0659999999999998</v>
          </cell>
        </row>
        <row r="1957">
          <cell r="K1957">
            <v>186.64</v>
          </cell>
          <cell r="Q1957">
            <v>2.0783999999999998</v>
          </cell>
        </row>
        <row r="1958">
          <cell r="K1958">
            <v>186</v>
          </cell>
          <cell r="Q1958">
            <v>2.0712999999999999</v>
          </cell>
        </row>
        <row r="1959">
          <cell r="K1959">
            <v>189.71</v>
          </cell>
          <cell r="Q1959">
            <v>2.1126</v>
          </cell>
        </row>
        <row r="1960">
          <cell r="K1960">
            <v>187.97</v>
          </cell>
          <cell r="Q1960">
            <v>2.0931999999999999</v>
          </cell>
        </row>
        <row r="1961">
          <cell r="K1961">
            <v>187.38</v>
          </cell>
          <cell r="Q1961">
            <v>2.0865999999999998</v>
          </cell>
        </row>
        <row r="1962">
          <cell r="K1962">
            <v>187.26</v>
          </cell>
          <cell r="Q1962">
            <v>2.0853000000000002</v>
          </cell>
        </row>
        <row r="1963">
          <cell r="K1963">
            <v>184.16</v>
          </cell>
          <cell r="Q1963">
            <v>2.0508000000000002</v>
          </cell>
        </row>
        <row r="1964">
          <cell r="K1964">
            <v>185.92</v>
          </cell>
          <cell r="Q1964">
            <v>2.0703999999999998</v>
          </cell>
        </row>
        <row r="1965">
          <cell r="K1965">
            <v>187.74</v>
          </cell>
          <cell r="Q1965">
            <v>2.0907</v>
          </cell>
        </row>
        <row r="1966">
          <cell r="K1966">
            <v>188.76</v>
          </cell>
          <cell r="Q1966">
            <v>2.1019999999999999</v>
          </cell>
        </row>
        <row r="1967">
          <cell r="K1967">
            <v>190.09</v>
          </cell>
          <cell r="Q1967">
            <v>2.1168</v>
          </cell>
        </row>
        <row r="1968">
          <cell r="K1968">
            <v>188.43</v>
          </cell>
          <cell r="Q1968">
            <v>2.0983000000000001</v>
          </cell>
        </row>
        <row r="1969">
          <cell r="K1969">
            <v>182.25</v>
          </cell>
          <cell r="Q1969">
            <v>2.0295000000000001</v>
          </cell>
        </row>
        <row r="1970">
          <cell r="K1970">
            <v>182.73</v>
          </cell>
          <cell r="Q1970">
            <v>2.0348999999999999</v>
          </cell>
        </row>
        <row r="1971">
          <cell r="K1971">
            <v>179.64</v>
          </cell>
          <cell r="Q1971">
            <v>2.0005000000000002</v>
          </cell>
        </row>
        <row r="1972">
          <cell r="K1972">
            <v>177.9</v>
          </cell>
          <cell r="Q1972">
            <v>1.9811000000000001</v>
          </cell>
        </row>
        <row r="1973">
          <cell r="K1973">
            <v>176.85</v>
          </cell>
          <cell r="Q1973">
            <v>1.9694</v>
          </cell>
        </row>
        <row r="1974">
          <cell r="K1974">
            <v>176.4</v>
          </cell>
          <cell r="Q1974">
            <v>1.9643999999999999</v>
          </cell>
        </row>
        <row r="1975">
          <cell r="K1975">
            <v>177.36</v>
          </cell>
          <cell r="Q1975">
            <v>1.9751000000000001</v>
          </cell>
        </row>
        <row r="1976">
          <cell r="K1976">
            <v>176.68</v>
          </cell>
          <cell r="Q1976">
            <v>1.9675</v>
          </cell>
        </row>
        <row r="1977">
          <cell r="K1977">
            <v>172.9</v>
          </cell>
          <cell r="Q1977">
            <v>1.9254</v>
          </cell>
        </row>
        <row r="1978">
          <cell r="K1978">
            <v>172.84</v>
          </cell>
          <cell r="Q1978">
            <v>1.9247000000000001</v>
          </cell>
        </row>
        <row r="1979">
          <cell r="K1979">
            <v>174.24</v>
          </cell>
          <cell r="Q1979">
            <v>1.9402999999999999</v>
          </cell>
        </row>
        <row r="1980">
          <cell r="K1980">
            <v>174.67</v>
          </cell>
          <cell r="Q1980">
            <v>1.9451000000000001</v>
          </cell>
        </row>
        <row r="1981">
          <cell r="K1981">
            <v>177.25</v>
          </cell>
          <cell r="Q1981">
            <v>1.9738</v>
          </cell>
        </row>
        <row r="1982">
          <cell r="K1982">
            <v>177.14</v>
          </cell>
          <cell r="Q1982">
            <v>1.9725999999999999</v>
          </cell>
        </row>
        <row r="1983">
          <cell r="K1983">
            <v>179.7</v>
          </cell>
          <cell r="Q1983">
            <v>2.0011000000000001</v>
          </cell>
        </row>
        <row r="1984">
          <cell r="K1984">
            <v>180.24</v>
          </cell>
          <cell r="Q1984">
            <v>2.0070999999999999</v>
          </cell>
        </row>
        <row r="1985">
          <cell r="K1985">
            <v>181.84</v>
          </cell>
          <cell r="Q1985">
            <v>2.0249999999999999</v>
          </cell>
        </row>
        <row r="1986">
          <cell r="K1986">
            <v>183.69</v>
          </cell>
          <cell r="Q1986">
            <v>2.0455999999999999</v>
          </cell>
        </row>
        <row r="1987">
          <cell r="K1987">
            <v>183.19</v>
          </cell>
          <cell r="Q1987">
            <v>2.04</v>
          </cell>
        </row>
        <row r="1988">
          <cell r="K1988">
            <v>182.95</v>
          </cell>
          <cell r="Q1988">
            <v>2.0373000000000001</v>
          </cell>
        </row>
        <row r="1989">
          <cell r="K1989">
            <v>184.26</v>
          </cell>
          <cell r="Q1989">
            <v>2.0518999999999998</v>
          </cell>
        </row>
        <row r="1990">
          <cell r="K1990">
            <v>182.79</v>
          </cell>
          <cell r="Q1990">
            <v>2.0354999999999999</v>
          </cell>
        </row>
        <row r="1991">
          <cell r="K1991">
            <v>183.45</v>
          </cell>
          <cell r="Q1991">
            <v>2.0428999999999999</v>
          </cell>
        </row>
        <row r="1992">
          <cell r="K1992">
            <v>183.23</v>
          </cell>
          <cell r="Q1992">
            <v>2.0404</v>
          </cell>
        </row>
        <row r="1993">
          <cell r="K1993">
            <v>184.06</v>
          </cell>
          <cell r="Q1993">
            <v>2.0497000000000001</v>
          </cell>
        </row>
        <row r="1994">
          <cell r="K1994">
            <v>185.27</v>
          </cell>
          <cell r="Q1994">
            <v>2.0630999999999999</v>
          </cell>
        </row>
        <row r="1995">
          <cell r="K1995">
            <v>185.17</v>
          </cell>
          <cell r="Q1995">
            <v>2.0619999999999998</v>
          </cell>
        </row>
        <row r="1996">
          <cell r="K1996">
            <v>184.26</v>
          </cell>
          <cell r="Q1996">
            <v>2.0518999999999998</v>
          </cell>
        </row>
        <row r="1997">
          <cell r="K1997">
            <v>186.44</v>
          </cell>
          <cell r="Q1997">
            <v>2.0762</v>
          </cell>
        </row>
        <row r="1998">
          <cell r="K1998">
            <v>187.14</v>
          </cell>
          <cell r="Q1998">
            <v>2.0840000000000001</v>
          </cell>
        </row>
        <row r="1999">
          <cell r="K1999">
            <v>187.64</v>
          </cell>
          <cell r="Q1999">
            <v>2.0895000000000001</v>
          </cell>
        </row>
        <row r="2000">
          <cell r="K2000">
            <v>187.68</v>
          </cell>
          <cell r="Q2000">
            <v>2.09</v>
          </cell>
        </row>
        <row r="2001">
          <cell r="K2001">
            <v>186.39</v>
          </cell>
          <cell r="Q2001">
            <v>2.0756000000000001</v>
          </cell>
        </row>
        <row r="2002">
          <cell r="K2002">
            <v>186.76</v>
          </cell>
          <cell r="Q2002">
            <v>2.0796999999999999</v>
          </cell>
        </row>
        <row r="2003">
          <cell r="K2003">
            <v>186.22</v>
          </cell>
          <cell r="Q2003">
            <v>2.0737000000000001</v>
          </cell>
        </row>
        <row r="2004">
          <cell r="K2004">
            <v>183.9</v>
          </cell>
          <cell r="Q2004">
            <v>2.0478999999999998</v>
          </cell>
        </row>
        <row r="2005">
          <cell r="K2005">
            <v>182.21</v>
          </cell>
          <cell r="Q2005">
            <v>2.0291000000000001</v>
          </cell>
        </row>
        <row r="2006">
          <cell r="K2006">
            <v>185.81</v>
          </cell>
          <cell r="Q2006">
            <v>2.0691999999999999</v>
          </cell>
        </row>
        <row r="2007">
          <cell r="K2007">
            <v>186.81</v>
          </cell>
          <cell r="Q2007">
            <v>2.0802999999999998</v>
          </cell>
        </row>
        <row r="2008">
          <cell r="K2008">
            <v>184.71</v>
          </cell>
          <cell r="Q2008">
            <v>2.0569000000000002</v>
          </cell>
        </row>
        <row r="2009">
          <cell r="K2009">
            <v>187.9</v>
          </cell>
          <cell r="Q2009">
            <v>2.0924</v>
          </cell>
        </row>
        <row r="2010">
          <cell r="K2010">
            <v>186.67</v>
          </cell>
          <cell r="Q2010">
            <v>2.0787</v>
          </cell>
        </row>
        <row r="2011">
          <cell r="K2011">
            <v>188.25</v>
          </cell>
          <cell r="Q2011">
            <v>2.0962999999999998</v>
          </cell>
        </row>
        <row r="2012">
          <cell r="K2012">
            <v>195.04</v>
          </cell>
          <cell r="Q2012">
            <v>2.1718999999999999</v>
          </cell>
        </row>
        <row r="2013">
          <cell r="K2013">
            <v>192.62</v>
          </cell>
          <cell r="Q2013">
            <v>2.145</v>
          </cell>
        </row>
        <row r="2014">
          <cell r="K2014">
            <v>189.83</v>
          </cell>
          <cell r="Q2014">
            <v>2.1139000000000001</v>
          </cell>
        </row>
        <row r="2015">
          <cell r="K2015">
            <v>190.45</v>
          </cell>
          <cell r="Q2015">
            <v>2.1208</v>
          </cell>
        </row>
        <row r="2016">
          <cell r="K2016">
            <v>192.49</v>
          </cell>
          <cell r="Q2016">
            <v>2.1288</v>
          </cell>
        </row>
        <row r="2017">
          <cell r="K2017">
            <v>194.5</v>
          </cell>
          <cell r="Q2017">
            <v>2.1509999999999998</v>
          </cell>
        </row>
        <row r="2018">
          <cell r="K2018">
            <v>193.55</v>
          </cell>
          <cell r="Q2018">
            <v>2.1404999999999998</v>
          </cell>
        </row>
        <row r="2019">
          <cell r="K2019">
            <v>192.69</v>
          </cell>
          <cell r="Q2019">
            <v>2.1309999999999998</v>
          </cell>
        </row>
        <row r="2020">
          <cell r="K2020">
            <v>191.77</v>
          </cell>
          <cell r="Q2020">
            <v>2.1208</v>
          </cell>
        </row>
        <row r="2021">
          <cell r="K2021">
            <v>194.52</v>
          </cell>
          <cell r="Q2021">
            <v>2.1513</v>
          </cell>
        </row>
        <row r="2022">
          <cell r="K2022">
            <v>193.29</v>
          </cell>
          <cell r="Q2022">
            <v>2.1377000000000002</v>
          </cell>
        </row>
        <row r="2023">
          <cell r="K2023">
            <v>196.64</v>
          </cell>
          <cell r="Q2023">
            <v>2.1747000000000001</v>
          </cell>
        </row>
        <row r="2024">
          <cell r="K2024">
            <v>195.68</v>
          </cell>
          <cell r="Q2024">
            <v>2.1640999999999999</v>
          </cell>
        </row>
        <row r="2025">
          <cell r="K2025">
            <v>195.19</v>
          </cell>
          <cell r="Q2025">
            <v>2.1587000000000001</v>
          </cell>
        </row>
        <row r="2026">
          <cell r="K2026">
            <v>197.77</v>
          </cell>
          <cell r="Q2026">
            <v>2.1871999999999998</v>
          </cell>
        </row>
        <row r="2027">
          <cell r="K2027">
            <v>197.02</v>
          </cell>
          <cell r="Q2027">
            <v>2.1789000000000001</v>
          </cell>
        </row>
        <row r="2028">
          <cell r="K2028">
            <v>196.4</v>
          </cell>
          <cell r="Q2028">
            <v>2.1720000000000002</v>
          </cell>
        </row>
        <row r="2029">
          <cell r="K2029">
            <v>190.01</v>
          </cell>
          <cell r="Q2029">
            <v>2.1013999999999999</v>
          </cell>
        </row>
        <row r="2030">
          <cell r="K2030">
            <v>192.27</v>
          </cell>
          <cell r="Q2030">
            <v>2.1263999999999998</v>
          </cell>
        </row>
        <row r="2031">
          <cell r="K2031">
            <v>192.15</v>
          </cell>
          <cell r="Q2031">
            <v>2.125</v>
          </cell>
        </row>
        <row r="2032">
          <cell r="K2032">
            <v>191.73</v>
          </cell>
          <cell r="Q2032">
            <v>2.1204000000000001</v>
          </cell>
        </row>
        <row r="2033">
          <cell r="K2033">
            <v>190.22</v>
          </cell>
          <cell r="Q2033">
            <v>2.1036999999999999</v>
          </cell>
        </row>
        <row r="2034">
          <cell r="K2034">
            <v>189.63</v>
          </cell>
          <cell r="Q2034">
            <v>2.0972</v>
          </cell>
        </row>
        <row r="2035">
          <cell r="K2035">
            <v>193.14</v>
          </cell>
          <cell r="Q2035">
            <v>2.1360000000000001</v>
          </cell>
        </row>
        <row r="2036">
          <cell r="K2036">
            <v>195.11</v>
          </cell>
          <cell r="Q2036">
            <v>2.1577999999999999</v>
          </cell>
        </row>
        <row r="2037">
          <cell r="K2037">
            <v>196.47</v>
          </cell>
          <cell r="Q2037">
            <v>2.1728000000000001</v>
          </cell>
        </row>
        <row r="2038">
          <cell r="K2038">
            <v>193.53</v>
          </cell>
          <cell r="Q2038">
            <v>2.1402999999999999</v>
          </cell>
        </row>
        <row r="2039">
          <cell r="K2039">
            <v>191.44</v>
          </cell>
          <cell r="Q2039">
            <v>2.1172</v>
          </cell>
        </row>
        <row r="2040">
          <cell r="K2040">
            <v>191.26</v>
          </cell>
          <cell r="Q2040">
            <v>2.1152000000000002</v>
          </cell>
        </row>
        <row r="2041">
          <cell r="K2041">
            <v>190.03</v>
          </cell>
          <cell r="Q2041">
            <v>2.1015999999999999</v>
          </cell>
        </row>
        <row r="2042">
          <cell r="K2042">
            <v>189.3</v>
          </cell>
          <cell r="Q2042">
            <v>2.0935000000000001</v>
          </cell>
        </row>
        <row r="2043">
          <cell r="K2043">
            <v>188.91</v>
          </cell>
          <cell r="Q2043">
            <v>2.0891999999999999</v>
          </cell>
        </row>
        <row r="2044">
          <cell r="K2044">
            <v>190.08</v>
          </cell>
          <cell r="Q2044">
            <v>2.1021999999999998</v>
          </cell>
        </row>
        <row r="2045">
          <cell r="K2045">
            <v>192.57</v>
          </cell>
          <cell r="Q2045">
            <v>2.1297000000000001</v>
          </cell>
        </row>
        <row r="2046">
          <cell r="K2046">
            <v>192.19</v>
          </cell>
          <cell r="Q2046">
            <v>2.1255000000000002</v>
          </cell>
        </row>
        <row r="2047">
          <cell r="K2047">
            <v>188.72</v>
          </cell>
          <cell r="Q2047">
            <v>2.0871</v>
          </cell>
        </row>
        <row r="2048">
          <cell r="K2048">
            <v>186.46</v>
          </cell>
          <cell r="Q2048">
            <v>2.0621</v>
          </cell>
        </row>
        <row r="2049">
          <cell r="K2049">
            <v>187.06</v>
          </cell>
          <cell r="Q2049">
            <v>2.0688</v>
          </cell>
        </row>
        <row r="2050">
          <cell r="K2050">
            <v>187</v>
          </cell>
          <cell r="Q2050">
            <v>2.0680999999999998</v>
          </cell>
        </row>
        <row r="2051">
          <cell r="K2051">
            <v>184.89</v>
          </cell>
          <cell r="Q2051">
            <v>2.0448</v>
          </cell>
        </row>
        <row r="2052">
          <cell r="K2052">
            <v>186.39</v>
          </cell>
          <cell r="Q2052">
            <v>2.0613000000000001</v>
          </cell>
        </row>
        <row r="2053">
          <cell r="K2053">
            <v>185.68</v>
          </cell>
          <cell r="Q2053">
            <v>2.0535000000000001</v>
          </cell>
        </row>
        <row r="2054">
          <cell r="K2054">
            <v>185.94</v>
          </cell>
          <cell r="Q2054">
            <v>2.0564</v>
          </cell>
        </row>
        <row r="2055">
          <cell r="K2055">
            <v>184.78</v>
          </cell>
          <cell r="Q2055">
            <v>2.0434999999999999</v>
          </cell>
        </row>
        <row r="2056">
          <cell r="K2056">
            <v>183.08</v>
          </cell>
          <cell r="Q2056">
            <v>2.0247000000000002</v>
          </cell>
        </row>
        <row r="2057">
          <cell r="K2057">
            <v>183.76</v>
          </cell>
          <cell r="Q2057">
            <v>2.0323000000000002</v>
          </cell>
        </row>
        <row r="2058">
          <cell r="K2058">
            <v>184.36</v>
          </cell>
          <cell r="Q2058">
            <v>2.0388999999999999</v>
          </cell>
        </row>
        <row r="2059">
          <cell r="K2059">
            <v>185.69</v>
          </cell>
          <cell r="Q2059">
            <v>2.0535999999999999</v>
          </cell>
        </row>
        <row r="2060">
          <cell r="K2060">
            <v>184.37</v>
          </cell>
          <cell r="Q2060">
            <v>2.0390000000000001</v>
          </cell>
        </row>
        <row r="2061">
          <cell r="K2061">
            <v>184.51</v>
          </cell>
          <cell r="Q2061">
            <v>2.0406</v>
          </cell>
        </row>
        <row r="2062">
          <cell r="K2062">
            <v>185.98</v>
          </cell>
          <cell r="Q2062">
            <v>2.0568</v>
          </cell>
        </row>
        <row r="2063">
          <cell r="K2063">
            <v>186.37</v>
          </cell>
          <cell r="Q2063">
            <v>2.0611000000000002</v>
          </cell>
        </row>
        <row r="2064">
          <cell r="K2064">
            <v>186.22</v>
          </cell>
          <cell r="Q2064">
            <v>2.0594999999999999</v>
          </cell>
        </row>
        <row r="2065">
          <cell r="K2065">
            <v>184.29</v>
          </cell>
          <cell r="Q2065">
            <v>2.0381</v>
          </cell>
        </row>
        <row r="2066">
          <cell r="K2066">
            <v>182.25</v>
          </cell>
          <cell r="Q2066">
            <v>2.0156000000000001</v>
          </cell>
        </row>
        <row r="2067">
          <cell r="K2067">
            <v>181.22</v>
          </cell>
          <cell r="Q2067">
            <v>2.0042</v>
          </cell>
        </row>
        <row r="2068">
          <cell r="K2068">
            <v>182.56</v>
          </cell>
          <cell r="Q2068">
            <v>2.0190000000000001</v>
          </cell>
        </row>
        <row r="2069">
          <cell r="K2069">
            <v>182.35</v>
          </cell>
          <cell r="Q2069">
            <v>2.0167000000000002</v>
          </cell>
        </row>
        <row r="2070">
          <cell r="K2070">
            <v>182.26</v>
          </cell>
          <cell r="Q2070">
            <v>2.0156999999999998</v>
          </cell>
        </row>
        <row r="2071">
          <cell r="K2071">
            <v>183.6</v>
          </cell>
          <cell r="Q2071">
            <v>2.0305</v>
          </cell>
        </row>
        <row r="2072">
          <cell r="K2072">
            <v>182.82</v>
          </cell>
          <cell r="Q2072">
            <v>2.0219</v>
          </cell>
        </row>
        <row r="2073">
          <cell r="K2073">
            <v>181.55</v>
          </cell>
          <cell r="Q2073">
            <v>2.0078</v>
          </cell>
        </row>
        <row r="2074">
          <cell r="K2074">
            <v>182.14</v>
          </cell>
          <cell r="Q2074">
            <v>2.0143</v>
          </cell>
        </row>
        <row r="2075">
          <cell r="K2075">
            <v>180.88</v>
          </cell>
          <cell r="Q2075">
            <v>2.0004</v>
          </cell>
        </row>
        <row r="2076">
          <cell r="K2076">
            <v>180.72</v>
          </cell>
          <cell r="Q2076">
            <v>1.9985999999999999</v>
          </cell>
        </row>
        <row r="2077">
          <cell r="K2077">
            <v>180.37</v>
          </cell>
          <cell r="Q2077">
            <v>1.9947999999999999</v>
          </cell>
        </row>
        <row r="2078">
          <cell r="K2078">
            <v>181.71</v>
          </cell>
          <cell r="Q2078">
            <v>2.0095999999999998</v>
          </cell>
        </row>
        <row r="2079">
          <cell r="K2079">
            <v>181.27</v>
          </cell>
          <cell r="Q2079">
            <v>1.9741</v>
          </cell>
        </row>
        <row r="2080">
          <cell r="K2080">
            <v>186.35</v>
          </cell>
          <cell r="Q2080">
            <v>2.0293999999999999</v>
          </cell>
        </row>
        <row r="2081">
          <cell r="K2081">
            <v>188.39</v>
          </cell>
          <cell r="Q2081">
            <v>2.0516999999999999</v>
          </cell>
        </row>
        <row r="2082">
          <cell r="K2082">
            <v>188.53</v>
          </cell>
          <cell r="Q2082">
            <v>2.0531999999999999</v>
          </cell>
        </row>
        <row r="2083">
          <cell r="K2083">
            <v>188.04</v>
          </cell>
          <cell r="Q2083">
            <v>2.0478000000000001</v>
          </cell>
        </row>
        <row r="2084">
          <cell r="K2084">
            <v>187.22</v>
          </cell>
          <cell r="Q2084">
            <v>2.0388999999999999</v>
          </cell>
        </row>
        <row r="2085">
          <cell r="K2085">
            <v>188.42</v>
          </cell>
          <cell r="Q2085">
            <v>2.052</v>
          </cell>
        </row>
        <row r="2086">
          <cell r="K2086">
            <v>187.7</v>
          </cell>
          <cell r="Q2086">
            <v>2.0440999999999998</v>
          </cell>
        </row>
        <row r="2087">
          <cell r="K2087">
            <v>188</v>
          </cell>
          <cell r="Q2087">
            <v>2.0474000000000001</v>
          </cell>
        </row>
        <row r="2088">
          <cell r="K2088">
            <v>189.86</v>
          </cell>
          <cell r="Q2088">
            <v>2.0676999999999999</v>
          </cell>
        </row>
        <row r="2089">
          <cell r="K2089">
            <v>188.49</v>
          </cell>
          <cell r="Q2089">
            <v>2.0527000000000002</v>
          </cell>
        </row>
        <row r="2090">
          <cell r="K2090">
            <v>192.36</v>
          </cell>
          <cell r="Q2090">
            <v>2.0949</v>
          </cell>
        </row>
        <row r="2091">
          <cell r="K2091">
            <v>192.49</v>
          </cell>
          <cell r="Q2091">
            <v>2.0962999999999998</v>
          </cell>
        </row>
        <row r="2092">
          <cell r="K2092">
            <v>192.5</v>
          </cell>
          <cell r="Q2092">
            <v>2.0964</v>
          </cell>
        </row>
        <row r="2093">
          <cell r="K2093">
            <v>190.85</v>
          </cell>
          <cell r="Q2093">
            <v>2.0783999999999998</v>
          </cell>
        </row>
        <row r="2094">
          <cell r="K2094">
            <v>194.09</v>
          </cell>
          <cell r="Q2094">
            <v>2.1137000000000001</v>
          </cell>
        </row>
        <row r="2095">
          <cell r="K2095">
            <v>193.63</v>
          </cell>
          <cell r="Q2095">
            <v>2.1086999999999998</v>
          </cell>
        </row>
        <row r="2096">
          <cell r="K2096">
            <v>195.24</v>
          </cell>
          <cell r="Q2096">
            <v>2.1263000000000001</v>
          </cell>
        </row>
        <row r="2097">
          <cell r="K2097">
            <v>194.4</v>
          </cell>
          <cell r="Q2097">
            <v>2.1171000000000002</v>
          </cell>
        </row>
        <row r="2098">
          <cell r="K2098">
            <v>195.78</v>
          </cell>
          <cell r="Q2098">
            <v>2.1320999999999999</v>
          </cell>
        </row>
        <row r="2099">
          <cell r="K2099">
            <v>194.57</v>
          </cell>
          <cell r="Q2099">
            <v>2.1190000000000002</v>
          </cell>
        </row>
        <row r="2100">
          <cell r="K2100">
            <v>194</v>
          </cell>
          <cell r="Q2100">
            <v>2.1128</v>
          </cell>
        </row>
        <row r="2101">
          <cell r="K2101">
            <v>191.67</v>
          </cell>
          <cell r="Q2101">
            <v>2.0874000000000001</v>
          </cell>
        </row>
        <row r="2102">
          <cell r="K2102">
            <v>189.15</v>
          </cell>
          <cell r="Q2102">
            <v>2.0598999999999998</v>
          </cell>
        </row>
        <row r="2103">
          <cell r="K2103">
            <v>189.64</v>
          </cell>
          <cell r="Q2103">
            <v>2.0653000000000001</v>
          </cell>
        </row>
        <row r="2104">
          <cell r="K2104">
            <v>187.1</v>
          </cell>
          <cell r="Q2104">
            <v>2.0375999999999999</v>
          </cell>
        </row>
        <row r="2105">
          <cell r="K2105">
            <v>185.97</v>
          </cell>
          <cell r="Q2105">
            <v>2.0253000000000001</v>
          </cell>
        </row>
        <row r="2106">
          <cell r="K2106">
            <v>184.3</v>
          </cell>
          <cell r="Q2106">
            <v>2.0070999999999999</v>
          </cell>
        </row>
        <row r="2107">
          <cell r="K2107">
            <v>186.63</v>
          </cell>
          <cell r="Q2107">
            <v>2.0325000000000002</v>
          </cell>
        </row>
        <row r="2108">
          <cell r="K2108">
            <v>187.47</v>
          </cell>
          <cell r="Q2108">
            <v>2.0415999999999999</v>
          </cell>
        </row>
        <row r="2109">
          <cell r="K2109">
            <v>187.34</v>
          </cell>
          <cell r="Q2109">
            <v>2.0402</v>
          </cell>
        </row>
        <row r="2110">
          <cell r="K2110">
            <v>187.95</v>
          </cell>
          <cell r="Q2110">
            <v>2.0468999999999999</v>
          </cell>
        </row>
        <row r="2111">
          <cell r="K2111">
            <v>187.88</v>
          </cell>
          <cell r="Q2111">
            <v>2.0461</v>
          </cell>
        </row>
        <row r="2112">
          <cell r="K2112">
            <v>187.38</v>
          </cell>
          <cell r="Q2112">
            <v>2.0407000000000002</v>
          </cell>
        </row>
        <row r="2113">
          <cell r="K2113">
            <v>189.36</v>
          </cell>
          <cell r="Q2113">
            <v>2.0621999999999998</v>
          </cell>
        </row>
        <row r="2114">
          <cell r="K2114">
            <v>190.07</v>
          </cell>
          <cell r="Q2114">
            <v>2.0699999999999998</v>
          </cell>
        </row>
        <row r="2115">
          <cell r="K2115">
            <v>190.1</v>
          </cell>
          <cell r="Q2115">
            <v>2.0703</v>
          </cell>
        </row>
        <row r="2116">
          <cell r="K2116">
            <v>191.23</v>
          </cell>
          <cell r="Q2116">
            <v>2.0825999999999998</v>
          </cell>
        </row>
        <row r="2117">
          <cell r="K2117">
            <v>190.41</v>
          </cell>
          <cell r="Q2117">
            <v>2.0737000000000001</v>
          </cell>
        </row>
        <row r="2118">
          <cell r="K2118">
            <v>191.16</v>
          </cell>
          <cell r="Q2118">
            <v>2.0817999999999999</v>
          </cell>
        </row>
        <row r="2119">
          <cell r="K2119">
            <v>192.99</v>
          </cell>
          <cell r="Q2119">
            <v>2.1017999999999999</v>
          </cell>
        </row>
        <row r="2120">
          <cell r="K2120">
            <v>192.25</v>
          </cell>
          <cell r="Q2120">
            <v>2.0937000000000001</v>
          </cell>
        </row>
        <row r="2121">
          <cell r="K2121">
            <v>192</v>
          </cell>
          <cell r="Q2121">
            <v>2.0910000000000002</v>
          </cell>
        </row>
        <row r="2122">
          <cell r="K2122">
            <v>192.3</v>
          </cell>
          <cell r="Q2122">
            <v>2.0941999999999998</v>
          </cell>
        </row>
        <row r="2123">
          <cell r="K2123">
            <v>191.56</v>
          </cell>
          <cell r="Q2123">
            <v>2.0861999999999998</v>
          </cell>
        </row>
        <row r="2124">
          <cell r="K2124">
            <v>191.95</v>
          </cell>
          <cell r="Q2124">
            <v>2.0903999999999998</v>
          </cell>
        </row>
        <row r="2125">
          <cell r="K2125">
            <v>190.68</v>
          </cell>
          <cell r="Q2125">
            <v>2.0766</v>
          </cell>
        </row>
        <row r="2126">
          <cell r="K2126">
            <v>191.2</v>
          </cell>
          <cell r="Q2126">
            <v>2.0823</v>
          </cell>
        </row>
        <row r="2127">
          <cell r="K2127">
            <v>190.14</v>
          </cell>
          <cell r="Q2127">
            <v>2.0707</v>
          </cell>
        </row>
        <row r="2128">
          <cell r="K2128">
            <v>189.99</v>
          </cell>
          <cell r="Q2128">
            <v>2.0691000000000002</v>
          </cell>
        </row>
        <row r="2129">
          <cell r="K2129">
            <v>191.54</v>
          </cell>
          <cell r="Q2129">
            <v>2.0859999999999999</v>
          </cell>
        </row>
        <row r="2130">
          <cell r="K2130">
            <v>191.72</v>
          </cell>
          <cell r="Q2130">
            <v>2.0878999999999999</v>
          </cell>
        </row>
        <row r="2131">
          <cell r="K2131">
            <v>191.28</v>
          </cell>
          <cell r="Q2131">
            <v>2.0831</v>
          </cell>
        </row>
        <row r="2132">
          <cell r="K2132">
            <v>191.81</v>
          </cell>
          <cell r="Q2132">
            <v>2.0889000000000002</v>
          </cell>
        </row>
        <row r="2133">
          <cell r="K2133">
            <v>192.96</v>
          </cell>
          <cell r="Q2133">
            <v>2.1013999999999999</v>
          </cell>
        </row>
        <row r="2134">
          <cell r="K2134">
            <v>192.8</v>
          </cell>
          <cell r="Q2134">
            <v>2.0996999999999999</v>
          </cell>
        </row>
        <row r="2135">
          <cell r="K2135">
            <v>193.75</v>
          </cell>
          <cell r="Q2135">
            <v>2.11</v>
          </cell>
        </row>
        <row r="2136">
          <cell r="K2136">
            <v>194</v>
          </cell>
          <cell r="Q2136">
            <v>2.1128</v>
          </cell>
        </row>
        <row r="2137">
          <cell r="K2137">
            <v>193.11</v>
          </cell>
          <cell r="Q2137">
            <v>2.1031</v>
          </cell>
        </row>
        <row r="2138">
          <cell r="K2138">
            <v>191.62</v>
          </cell>
          <cell r="Q2138">
            <v>2.0868000000000002</v>
          </cell>
        </row>
        <row r="2139">
          <cell r="K2139">
            <v>192.31</v>
          </cell>
          <cell r="Q2139">
            <v>2.0943000000000001</v>
          </cell>
        </row>
        <row r="2140">
          <cell r="K2140">
            <v>189.01</v>
          </cell>
          <cell r="Q2140">
            <v>2.0583999999999998</v>
          </cell>
        </row>
        <row r="2141">
          <cell r="K2141">
            <v>190.06</v>
          </cell>
          <cell r="Q2141">
            <v>2.0697999999999999</v>
          </cell>
        </row>
        <row r="2142">
          <cell r="K2142">
            <v>189.64</v>
          </cell>
          <cell r="Q2142">
            <v>2.0653000000000001</v>
          </cell>
        </row>
        <row r="2143">
          <cell r="K2143">
            <v>189.83</v>
          </cell>
          <cell r="Q2143">
            <v>2.0375999999999999</v>
          </cell>
        </row>
        <row r="2144">
          <cell r="K2144">
            <v>187.17</v>
          </cell>
          <cell r="Q2144">
            <v>2.0091000000000001</v>
          </cell>
        </row>
        <row r="2145">
          <cell r="K2145">
            <v>186.91</v>
          </cell>
          <cell r="Q2145">
            <v>2.0063</v>
          </cell>
        </row>
        <row r="2146">
          <cell r="K2146">
            <v>188.67</v>
          </cell>
          <cell r="Q2146">
            <v>2.0251999999999999</v>
          </cell>
        </row>
        <row r="2147">
          <cell r="K2147">
            <v>189.04</v>
          </cell>
          <cell r="Q2147">
            <v>2.0291999999999999</v>
          </cell>
        </row>
        <row r="2148">
          <cell r="K2148">
            <v>185.71</v>
          </cell>
          <cell r="Q2148">
            <v>1.9934000000000001</v>
          </cell>
        </row>
        <row r="2149">
          <cell r="K2149">
            <v>189.36</v>
          </cell>
          <cell r="Q2149">
            <v>2.0326</v>
          </cell>
        </row>
        <row r="2150">
          <cell r="K2150">
            <v>186.42</v>
          </cell>
          <cell r="Q2150">
            <v>2.0009999999999999</v>
          </cell>
        </row>
        <row r="2151">
          <cell r="K2151">
            <v>185.93</v>
          </cell>
          <cell r="Q2151">
            <v>1.9958</v>
          </cell>
        </row>
        <row r="2152">
          <cell r="K2152">
            <v>183.52</v>
          </cell>
          <cell r="Q2152">
            <v>1.9699</v>
          </cell>
        </row>
        <row r="2153">
          <cell r="K2153">
            <v>183.8</v>
          </cell>
          <cell r="Q2153">
            <v>1.9729000000000001</v>
          </cell>
        </row>
        <row r="2154">
          <cell r="K2154">
            <v>181.75</v>
          </cell>
          <cell r="Q2154">
            <v>1.9509000000000001</v>
          </cell>
        </row>
        <row r="2155">
          <cell r="K2155">
            <v>179.84</v>
          </cell>
          <cell r="Q2155">
            <v>1.9303999999999999</v>
          </cell>
        </row>
        <row r="2156">
          <cell r="K2156">
            <v>182.05</v>
          </cell>
          <cell r="Q2156">
            <v>1.9540999999999999</v>
          </cell>
        </row>
        <row r="2157">
          <cell r="K2157">
            <v>169.1</v>
          </cell>
          <cell r="Q2157">
            <v>1.8150999999999999</v>
          </cell>
        </row>
        <row r="2158">
          <cell r="K2158">
            <v>163.22999999999999</v>
          </cell>
          <cell r="Q2158">
            <v>1.7521</v>
          </cell>
        </row>
        <row r="2159">
          <cell r="K2159">
            <v>161.79</v>
          </cell>
          <cell r="Q2159">
            <v>1.7366999999999999</v>
          </cell>
        </row>
        <row r="2160">
          <cell r="K2160">
            <v>162.18</v>
          </cell>
          <cell r="Q2160">
            <v>1.7407999999999999</v>
          </cell>
        </row>
        <row r="2161">
          <cell r="K2161">
            <v>162.08000000000001</v>
          </cell>
          <cell r="Q2161">
            <v>1.7398</v>
          </cell>
        </row>
        <row r="2162">
          <cell r="K2162">
            <v>161.87</v>
          </cell>
          <cell r="Q2162">
            <v>1.7375</v>
          </cell>
        </row>
        <row r="2163">
          <cell r="K2163">
            <v>163.6</v>
          </cell>
          <cell r="Q2163">
            <v>1.7561</v>
          </cell>
        </row>
        <row r="2164">
          <cell r="K2164">
            <v>163.46</v>
          </cell>
          <cell r="Q2164">
            <v>1.7545999999999999</v>
          </cell>
        </row>
        <row r="2165">
          <cell r="K2165">
            <v>164.35</v>
          </cell>
          <cell r="Q2165">
            <v>1.7641</v>
          </cell>
        </row>
        <row r="2166">
          <cell r="K2166">
            <v>164.4</v>
          </cell>
          <cell r="Q2166">
            <v>1.7646999999999999</v>
          </cell>
        </row>
        <row r="2167">
          <cell r="K2167">
            <v>164.36</v>
          </cell>
          <cell r="Q2167">
            <v>1.7642</v>
          </cell>
        </row>
        <row r="2168">
          <cell r="K2168">
            <v>162.65</v>
          </cell>
          <cell r="Q2168">
            <v>1.7459</v>
          </cell>
        </row>
        <row r="2169">
          <cell r="K2169">
            <v>161.82</v>
          </cell>
          <cell r="Q2169">
            <v>1.7370000000000001</v>
          </cell>
        </row>
        <row r="2170">
          <cell r="K2170">
            <v>161.46</v>
          </cell>
          <cell r="Q2170">
            <v>1.7331000000000001</v>
          </cell>
        </row>
        <row r="2171">
          <cell r="K2171">
            <v>162.07</v>
          </cell>
          <cell r="Q2171">
            <v>1.7397</v>
          </cell>
        </row>
        <row r="2172">
          <cell r="K2172">
            <v>163.49</v>
          </cell>
          <cell r="Q2172">
            <v>1.7548999999999999</v>
          </cell>
        </row>
        <row r="2173">
          <cell r="K2173">
            <v>163.30000000000001</v>
          </cell>
          <cell r="Q2173">
            <v>1.7528999999999999</v>
          </cell>
        </row>
        <row r="2174">
          <cell r="K2174">
            <v>161.91999999999999</v>
          </cell>
          <cell r="Q2174">
            <v>1.7381</v>
          </cell>
        </row>
        <row r="2175">
          <cell r="K2175">
            <v>162.79</v>
          </cell>
          <cell r="Q2175">
            <v>1.7474000000000001</v>
          </cell>
        </row>
        <row r="2176">
          <cell r="K2176">
            <v>164.16</v>
          </cell>
          <cell r="Q2176">
            <v>1.7621</v>
          </cell>
        </row>
        <row r="2177">
          <cell r="K2177">
            <v>164.16</v>
          </cell>
          <cell r="Q2177">
            <v>1.7621</v>
          </cell>
        </row>
        <row r="2178">
          <cell r="K2178">
            <v>161.88999999999999</v>
          </cell>
          <cell r="Q2178">
            <v>1.7377</v>
          </cell>
        </row>
        <row r="2179">
          <cell r="K2179">
            <v>161.43</v>
          </cell>
          <cell r="Q2179">
            <v>1.7327999999999999</v>
          </cell>
        </row>
        <row r="2180">
          <cell r="K2180">
            <v>160.63999999999999</v>
          </cell>
          <cell r="Q2180">
            <v>1.7242999999999999</v>
          </cell>
        </row>
        <row r="2181">
          <cell r="K2181">
            <v>160.91999999999999</v>
          </cell>
          <cell r="Q2181">
            <v>1.7273000000000001</v>
          </cell>
        </row>
        <row r="2182">
          <cell r="K2182">
            <v>162.15</v>
          </cell>
          <cell r="Q2182">
            <v>1.7404999999999999</v>
          </cell>
        </row>
        <row r="2183">
          <cell r="K2183">
            <v>161.76</v>
          </cell>
          <cell r="Q2183">
            <v>1.7363</v>
          </cell>
        </row>
        <row r="2184">
          <cell r="K2184">
            <v>161.94999999999999</v>
          </cell>
          <cell r="Q2184">
            <v>1.7383999999999999</v>
          </cell>
        </row>
        <row r="2185">
          <cell r="K2185">
            <v>162.16999999999999</v>
          </cell>
          <cell r="Q2185">
            <v>1.7406999999999999</v>
          </cell>
        </row>
        <row r="2186">
          <cell r="K2186">
            <v>161.54</v>
          </cell>
          <cell r="Q2186">
            <v>1.734</v>
          </cell>
        </row>
        <row r="2187">
          <cell r="K2187">
            <v>162.66999999999999</v>
          </cell>
          <cell r="Q2187">
            <v>1.7461</v>
          </cell>
        </row>
        <row r="2188">
          <cell r="K2188">
            <v>164.52</v>
          </cell>
          <cell r="Q2188">
            <v>1.766</v>
          </cell>
        </row>
        <row r="2189">
          <cell r="K2189">
            <v>164.05</v>
          </cell>
          <cell r="Q2189">
            <v>1.7608999999999999</v>
          </cell>
        </row>
        <row r="2190">
          <cell r="K2190">
            <v>163.27000000000001</v>
          </cell>
          <cell r="Q2190">
            <v>1.7524999999999999</v>
          </cell>
        </row>
        <row r="2191">
          <cell r="K2191">
            <v>161.86000000000001</v>
          </cell>
          <cell r="Q2191">
            <v>1.7374000000000001</v>
          </cell>
        </row>
        <row r="2192">
          <cell r="K2192">
            <v>162.99</v>
          </cell>
          <cell r="Q2192">
            <v>1.7495000000000001</v>
          </cell>
        </row>
        <row r="2193">
          <cell r="K2193">
            <v>160.51</v>
          </cell>
          <cell r="Q2193">
            <v>1.7229000000000001</v>
          </cell>
        </row>
        <row r="2194">
          <cell r="K2194">
            <v>161.07</v>
          </cell>
          <cell r="Q2194">
            <v>1.7289000000000001</v>
          </cell>
        </row>
        <row r="2195">
          <cell r="K2195">
            <v>155.38</v>
          </cell>
          <cell r="Q2195">
            <v>1.6678999999999999</v>
          </cell>
        </row>
        <row r="2196">
          <cell r="K2196">
            <v>153.06</v>
          </cell>
          <cell r="Q2196">
            <v>1.643</v>
          </cell>
        </row>
        <row r="2197">
          <cell r="K2197">
            <v>151.41</v>
          </cell>
          <cell r="Q2197">
            <v>1.6252</v>
          </cell>
        </row>
        <row r="2198">
          <cell r="K2198">
            <v>151.93</v>
          </cell>
          <cell r="Q2198">
            <v>1.6308</v>
          </cell>
        </row>
        <row r="2199">
          <cell r="K2199">
            <v>157.68</v>
          </cell>
          <cell r="Q2199">
            <v>1.6924999999999999</v>
          </cell>
        </row>
        <row r="2200">
          <cell r="K2200">
            <v>158.51</v>
          </cell>
          <cell r="Q2200">
            <v>1.7015</v>
          </cell>
        </row>
        <row r="2201">
          <cell r="K2201">
            <v>161.44</v>
          </cell>
          <cell r="Q2201">
            <v>1.7329000000000001</v>
          </cell>
        </row>
        <row r="2202">
          <cell r="K2202">
            <v>162.24</v>
          </cell>
          <cell r="Q2202">
            <v>1.7415</v>
          </cell>
        </row>
        <row r="2203">
          <cell r="K2203">
            <v>161.82</v>
          </cell>
          <cell r="Q2203">
            <v>1.7370000000000001</v>
          </cell>
        </row>
        <row r="2204">
          <cell r="K2204">
            <v>162.34</v>
          </cell>
          <cell r="Q2204">
            <v>1.7425999999999999</v>
          </cell>
        </row>
        <row r="2205">
          <cell r="K2205">
            <v>160.51</v>
          </cell>
          <cell r="Q2205">
            <v>1.7229000000000001</v>
          </cell>
        </row>
        <row r="2206">
          <cell r="K2206">
            <v>160.05000000000001</v>
          </cell>
          <cell r="Q2206">
            <v>1.718</v>
          </cell>
        </row>
        <row r="2207">
          <cell r="K2207">
            <v>160.44</v>
          </cell>
          <cell r="Q2207">
            <v>1.7463</v>
          </cell>
        </row>
        <row r="2208">
          <cell r="K2208">
            <v>162.06</v>
          </cell>
          <cell r="Q2208">
            <v>1.7639</v>
          </cell>
        </row>
        <row r="2209">
          <cell r="K2209">
            <v>159.51</v>
          </cell>
          <cell r="Q2209">
            <v>1.7361</v>
          </cell>
        </row>
        <row r="2210">
          <cell r="K2210">
            <v>156.07</v>
          </cell>
          <cell r="Q2210">
            <v>1.6987000000000001</v>
          </cell>
        </row>
        <row r="2211">
          <cell r="K2211">
            <v>155.05000000000001</v>
          </cell>
          <cell r="Q2211">
            <v>1.6876</v>
          </cell>
        </row>
        <row r="2212">
          <cell r="K2212">
            <v>158.41999999999999</v>
          </cell>
          <cell r="Q2212">
            <v>1.7242999999999999</v>
          </cell>
        </row>
        <row r="2213">
          <cell r="K2213">
            <v>159.11000000000001</v>
          </cell>
          <cell r="Q2213">
            <v>1.7318</v>
          </cell>
        </row>
        <row r="2214">
          <cell r="K2214">
            <v>156.44</v>
          </cell>
          <cell r="Q2214">
            <v>1.7027000000000001</v>
          </cell>
        </row>
        <row r="2215">
          <cell r="K2215">
            <v>156.81</v>
          </cell>
          <cell r="Q2215">
            <v>1.7067000000000001</v>
          </cell>
        </row>
        <row r="2216">
          <cell r="K2216">
            <v>155.80000000000001</v>
          </cell>
          <cell r="Q2216">
            <v>1.6958</v>
          </cell>
        </row>
        <row r="2217">
          <cell r="K2217">
            <v>154.57</v>
          </cell>
          <cell r="Q2217">
            <v>1.6823999999999999</v>
          </cell>
        </row>
        <row r="2218">
          <cell r="K2218">
            <v>157.13999999999999</v>
          </cell>
          <cell r="Q2218">
            <v>1.7102999999999999</v>
          </cell>
        </row>
        <row r="2219">
          <cell r="K2219">
            <v>156.94999999999999</v>
          </cell>
          <cell r="Q2219">
            <v>1.7082999999999999</v>
          </cell>
        </row>
        <row r="2220">
          <cell r="K2220">
            <v>152.09</v>
          </cell>
          <cell r="Q2220">
            <v>1.6554</v>
          </cell>
        </row>
        <row r="2221">
          <cell r="K2221">
            <v>155.38999999999999</v>
          </cell>
          <cell r="Q2221">
            <v>1.6913</v>
          </cell>
        </row>
        <row r="2222">
          <cell r="K2222">
            <v>155.87</v>
          </cell>
          <cell r="Q2222">
            <v>1.6964999999999999</v>
          </cell>
        </row>
        <row r="2223">
          <cell r="K2223">
            <v>156.36000000000001</v>
          </cell>
          <cell r="Q2223">
            <v>1.7018</v>
          </cell>
        </row>
        <row r="2224">
          <cell r="K2224">
            <v>153.66999999999999</v>
          </cell>
          <cell r="Q2224">
            <v>1.6726000000000001</v>
          </cell>
        </row>
        <row r="2225">
          <cell r="K2225">
            <v>151.55000000000001</v>
          </cell>
          <cell r="Q2225">
            <v>1.6495</v>
          </cell>
        </row>
        <row r="2226">
          <cell r="K2226">
            <v>155.47999999999999</v>
          </cell>
          <cell r="Q2226">
            <v>1.6922999999999999</v>
          </cell>
        </row>
        <row r="2227">
          <cell r="K2227">
            <v>153.31</v>
          </cell>
          <cell r="Q2227">
            <v>1.6687000000000001</v>
          </cell>
        </row>
        <row r="2228">
          <cell r="K2228">
            <v>154.66</v>
          </cell>
          <cell r="Q2228">
            <v>1.6833</v>
          </cell>
        </row>
        <row r="2229">
          <cell r="K2229">
            <v>158.47</v>
          </cell>
          <cell r="Q2229">
            <v>1.7248000000000001</v>
          </cell>
        </row>
        <row r="2230">
          <cell r="K2230">
            <v>156.96</v>
          </cell>
          <cell r="Q2230">
            <v>1.7083999999999999</v>
          </cell>
        </row>
        <row r="2231">
          <cell r="K2231">
            <v>157.91</v>
          </cell>
          <cell r="Q2231">
            <v>1.7186999999999999</v>
          </cell>
        </row>
        <row r="2232">
          <cell r="K2232">
            <v>156.72</v>
          </cell>
          <cell r="Q2232">
            <v>1.7058</v>
          </cell>
        </row>
        <row r="2233">
          <cell r="K2233">
            <v>155.75</v>
          </cell>
          <cell r="Q2233">
            <v>1.6952</v>
          </cell>
        </row>
        <row r="2234">
          <cell r="K2234">
            <v>158.56</v>
          </cell>
          <cell r="Q2234">
            <v>1.7258</v>
          </cell>
        </row>
        <row r="2235">
          <cell r="K2235">
            <v>158.19999999999999</v>
          </cell>
          <cell r="Q2235">
            <v>1.7219</v>
          </cell>
        </row>
        <row r="2236">
          <cell r="K2236">
            <v>158.52000000000001</v>
          </cell>
          <cell r="Q2236">
            <v>1.7254</v>
          </cell>
        </row>
        <row r="2237">
          <cell r="K2237">
            <v>160.4</v>
          </cell>
          <cell r="Q2237">
            <v>1.7458</v>
          </cell>
        </row>
        <row r="2238">
          <cell r="K2238">
            <v>160.96</v>
          </cell>
          <cell r="Q2238">
            <v>1.7519</v>
          </cell>
        </row>
        <row r="2239">
          <cell r="K2239">
            <v>162.19</v>
          </cell>
          <cell r="Q2239">
            <v>1.7653000000000001</v>
          </cell>
        </row>
        <row r="2240">
          <cell r="K2240">
            <v>163.89</v>
          </cell>
          <cell r="Q2240">
            <v>1.7838000000000001</v>
          </cell>
        </row>
        <row r="2241">
          <cell r="K2241">
            <v>163.65</v>
          </cell>
          <cell r="Q2241">
            <v>1.7811999999999999</v>
          </cell>
        </row>
        <row r="2242">
          <cell r="K2242">
            <v>162.91</v>
          </cell>
          <cell r="Q2242">
            <v>1.7730999999999999</v>
          </cell>
        </row>
        <row r="2243">
          <cell r="K2243">
            <v>164.83</v>
          </cell>
          <cell r="Q2243">
            <v>1.794</v>
          </cell>
        </row>
        <row r="2244">
          <cell r="K2244">
            <v>162.81</v>
          </cell>
          <cell r="Q2244">
            <v>1.7721</v>
          </cell>
        </row>
        <row r="2245">
          <cell r="K2245">
            <v>160.87</v>
          </cell>
          <cell r="Q2245">
            <v>1.7508999999999999</v>
          </cell>
        </row>
        <row r="2246">
          <cell r="K2246">
            <v>161.94</v>
          </cell>
          <cell r="Q2246">
            <v>1.7625999999999999</v>
          </cell>
        </row>
        <row r="2247">
          <cell r="K2247">
            <v>160.47999999999999</v>
          </cell>
          <cell r="Q2247">
            <v>1.7466999999999999</v>
          </cell>
        </row>
        <row r="2248">
          <cell r="K2248">
            <v>161.03</v>
          </cell>
          <cell r="Q2248">
            <v>1.7526999999999999</v>
          </cell>
        </row>
        <row r="2249">
          <cell r="K2249">
            <v>159.41999999999999</v>
          </cell>
          <cell r="Q2249">
            <v>1.7352000000000001</v>
          </cell>
        </row>
        <row r="2250">
          <cell r="K2250">
            <v>161.18</v>
          </cell>
          <cell r="Q2250">
            <v>1.7543</v>
          </cell>
        </row>
        <row r="2251">
          <cell r="K2251">
            <v>158.5</v>
          </cell>
          <cell r="Q2251">
            <v>1.7251000000000001</v>
          </cell>
        </row>
        <row r="2252">
          <cell r="K2252">
            <v>160.77000000000001</v>
          </cell>
          <cell r="Q2252">
            <v>1.7498</v>
          </cell>
        </row>
        <row r="2253">
          <cell r="K2253">
            <v>157.81</v>
          </cell>
          <cell r="Q2253">
            <v>1.7176</v>
          </cell>
        </row>
        <row r="2254">
          <cell r="K2254">
            <v>156.80000000000001</v>
          </cell>
          <cell r="Q2254">
            <v>1.7065999999999999</v>
          </cell>
        </row>
        <row r="2255">
          <cell r="K2255">
            <v>157.97999999999999</v>
          </cell>
          <cell r="Q2255">
            <v>1.7195</v>
          </cell>
        </row>
        <row r="2256">
          <cell r="K2256">
            <v>154.28</v>
          </cell>
          <cell r="Q2256">
            <v>1.6792</v>
          </cell>
        </row>
        <row r="2257">
          <cell r="K2257">
            <v>157.08000000000001</v>
          </cell>
          <cell r="Q2257">
            <v>1.7097</v>
          </cell>
        </row>
        <row r="2258">
          <cell r="K2258">
            <v>156.96</v>
          </cell>
          <cell r="Q2258">
            <v>1.7083999999999999</v>
          </cell>
        </row>
        <row r="2259">
          <cell r="K2259">
            <v>159.81</v>
          </cell>
          <cell r="Q2259">
            <v>1.7394000000000001</v>
          </cell>
        </row>
        <row r="2260">
          <cell r="K2260">
            <v>159.81</v>
          </cell>
          <cell r="Q2260">
            <v>1.7394000000000001</v>
          </cell>
        </row>
        <row r="2261">
          <cell r="K2261">
            <v>162.88</v>
          </cell>
          <cell r="Q2261">
            <v>1.7727999999999999</v>
          </cell>
        </row>
        <row r="2262">
          <cell r="K2262">
            <v>164.63</v>
          </cell>
          <cell r="Q2262">
            <v>1.7919</v>
          </cell>
        </row>
        <row r="2263">
          <cell r="K2263">
            <v>163</v>
          </cell>
          <cell r="Q2263">
            <v>1.7741</v>
          </cell>
        </row>
        <row r="2264">
          <cell r="K2264">
            <v>159.19999999999999</v>
          </cell>
          <cell r="Q2264">
            <v>1.7327999999999999</v>
          </cell>
        </row>
        <row r="2265">
          <cell r="K2265">
            <v>160.59</v>
          </cell>
          <cell r="Q2265">
            <v>1.7479</v>
          </cell>
        </row>
        <row r="2266">
          <cell r="K2266">
            <v>160.4</v>
          </cell>
          <cell r="Q2266">
            <v>1.7458</v>
          </cell>
        </row>
        <row r="2267">
          <cell r="K2267">
            <v>162.66999999999999</v>
          </cell>
          <cell r="Q2267">
            <v>1.7705</v>
          </cell>
        </row>
        <row r="2268">
          <cell r="K2268">
            <v>160.5</v>
          </cell>
          <cell r="Q2268">
            <v>1.7762</v>
          </cell>
        </row>
        <row r="2269">
          <cell r="K2269">
            <v>159.18</v>
          </cell>
          <cell r="Q2269">
            <v>1.7615000000000001</v>
          </cell>
        </row>
        <row r="2270">
          <cell r="K2270">
            <v>160.44999999999999</v>
          </cell>
          <cell r="Q2270">
            <v>1.7756000000000001</v>
          </cell>
        </row>
        <row r="2271">
          <cell r="K2271">
            <v>162.04</v>
          </cell>
          <cell r="Q2271">
            <v>1.7931999999999999</v>
          </cell>
        </row>
        <row r="2272">
          <cell r="K2272">
            <v>162.07</v>
          </cell>
          <cell r="Q2272">
            <v>1.7935000000000001</v>
          </cell>
        </row>
        <row r="2273">
          <cell r="K2273">
            <v>161.85</v>
          </cell>
          <cell r="Q2273">
            <v>1.7910999999999999</v>
          </cell>
        </row>
        <row r="2274">
          <cell r="K2274">
            <v>162.34</v>
          </cell>
          <cell r="Q2274">
            <v>1.7965</v>
          </cell>
        </row>
        <row r="2275">
          <cell r="K2275">
            <v>162.86000000000001</v>
          </cell>
          <cell r="Q2275">
            <v>1.8023</v>
          </cell>
        </row>
        <row r="2276">
          <cell r="K2276">
            <v>162.38</v>
          </cell>
          <cell r="Q2276">
            <v>1.7969999999999999</v>
          </cell>
        </row>
        <row r="2277">
          <cell r="K2277">
            <v>162.30000000000001</v>
          </cell>
          <cell r="Q2277">
            <v>1.7961</v>
          </cell>
        </row>
        <row r="2278">
          <cell r="K2278">
            <v>164.13</v>
          </cell>
          <cell r="Q2278">
            <v>1.8163</v>
          </cell>
        </row>
        <row r="2279">
          <cell r="K2279">
            <v>163.13</v>
          </cell>
          <cell r="Q2279">
            <v>1.8052999999999999</v>
          </cell>
        </row>
        <row r="2280">
          <cell r="K2280">
            <v>160.66999999999999</v>
          </cell>
          <cell r="Q2280">
            <v>1.778</v>
          </cell>
        </row>
        <row r="2281">
          <cell r="K2281">
            <v>166.16</v>
          </cell>
          <cell r="Q2281">
            <v>1.8388</v>
          </cell>
        </row>
        <row r="2282">
          <cell r="K2282">
            <v>164.26</v>
          </cell>
          <cell r="Q2282">
            <v>1.8178000000000001</v>
          </cell>
        </row>
        <row r="2283">
          <cell r="K2283">
            <v>165.36</v>
          </cell>
          <cell r="Q2283">
            <v>1.8299000000000001</v>
          </cell>
        </row>
        <row r="2284">
          <cell r="K2284">
            <v>170.24</v>
          </cell>
          <cell r="Q2284">
            <v>1.8838999999999999</v>
          </cell>
        </row>
        <row r="2285">
          <cell r="K2285">
            <v>169.78</v>
          </cell>
          <cell r="Q2285">
            <v>1.8788</v>
          </cell>
        </row>
        <row r="2286">
          <cell r="K2286">
            <v>170.73</v>
          </cell>
          <cell r="Q2286">
            <v>1.8894</v>
          </cell>
        </row>
        <row r="2287">
          <cell r="K2287">
            <v>173.92</v>
          </cell>
          <cell r="Q2287">
            <v>1.9247000000000001</v>
          </cell>
        </row>
        <row r="2288">
          <cell r="K2288">
            <v>174.4</v>
          </cell>
          <cell r="Q2288">
            <v>1.93</v>
          </cell>
        </row>
        <row r="2289">
          <cell r="K2289">
            <v>171.29</v>
          </cell>
          <cell r="Q2289">
            <v>1.8956</v>
          </cell>
        </row>
        <row r="2290">
          <cell r="K2290">
            <v>173.67</v>
          </cell>
          <cell r="Q2290">
            <v>1.9218999999999999</v>
          </cell>
        </row>
        <row r="2291">
          <cell r="K2291">
            <v>173.97</v>
          </cell>
          <cell r="Q2291">
            <v>1.9252</v>
          </cell>
        </row>
        <row r="2292">
          <cell r="K2292">
            <v>173.08</v>
          </cell>
          <cell r="Q2292">
            <v>1.9154</v>
          </cell>
        </row>
        <row r="2293">
          <cell r="K2293">
            <v>170.05</v>
          </cell>
          <cell r="Q2293">
            <v>1.8817999999999999</v>
          </cell>
        </row>
        <row r="2294">
          <cell r="K2294">
            <v>170.99</v>
          </cell>
          <cell r="Q2294">
            <v>1.8922000000000001</v>
          </cell>
        </row>
        <row r="2295">
          <cell r="K2295">
            <v>172.68</v>
          </cell>
          <cell r="Q2295">
            <v>1.9109</v>
          </cell>
        </row>
        <row r="2296">
          <cell r="K2296">
            <v>171.12</v>
          </cell>
          <cell r="Q2296">
            <v>1.8936999999999999</v>
          </cell>
        </row>
        <row r="2297">
          <cell r="K2297">
            <v>170.55</v>
          </cell>
          <cell r="Q2297">
            <v>1.8874</v>
          </cell>
        </row>
        <row r="2298">
          <cell r="K2298">
            <v>172.28</v>
          </cell>
          <cell r="Q2298">
            <v>1.9065000000000001</v>
          </cell>
        </row>
        <row r="2299">
          <cell r="K2299">
            <v>174.05</v>
          </cell>
          <cell r="Q2299">
            <v>1.9260999999999999</v>
          </cell>
        </row>
        <row r="2300">
          <cell r="K2300">
            <v>173.26</v>
          </cell>
          <cell r="Q2300">
            <v>1.9174</v>
          </cell>
        </row>
        <row r="2301">
          <cell r="K2301">
            <v>173.06</v>
          </cell>
          <cell r="Q2301">
            <v>1.9151</v>
          </cell>
        </row>
        <row r="2302">
          <cell r="K2302">
            <v>173.48</v>
          </cell>
          <cell r="Q2302">
            <v>1.9198</v>
          </cell>
        </row>
        <row r="2303">
          <cell r="K2303">
            <v>173.76</v>
          </cell>
          <cell r="Q2303">
            <v>1.9229000000000001</v>
          </cell>
        </row>
        <row r="2304">
          <cell r="K2304">
            <v>173.34</v>
          </cell>
          <cell r="Q2304">
            <v>1.9181999999999999</v>
          </cell>
        </row>
        <row r="2305">
          <cell r="K2305">
            <v>172.22</v>
          </cell>
          <cell r="Q2305">
            <v>1.9058999999999999</v>
          </cell>
        </row>
        <row r="2306">
          <cell r="K2306">
            <v>170.13</v>
          </cell>
          <cell r="Q2306">
            <v>1.8827</v>
          </cell>
        </row>
        <row r="2307">
          <cell r="K2307">
            <v>172</v>
          </cell>
          <cell r="Q2307">
            <v>1.9034</v>
          </cell>
        </row>
        <row r="2308">
          <cell r="K2308">
            <v>171.71</v>
          </cell>
          <cell r="Q2308">
            <v>1.9001999999999999</v>
          </cell>
        </row>
        <row r="2309">
          <cell r="K2309">
            <v>169.65</v>
          </cell>
          <cell r="Q2309">
            <v>1.8774</v>
          </cell>
        </row>
        <row r="2310">
          <cell r="K2310">
            <v>170.18</v>
          </cell>
          <cell r="Q2310">
            <v>1.8833</v>
          </cell>
        </row>
        <row r="2311">
          <cell r="K2311">
            <v>169.65</v>
          </cell>
          <cell r="Q2311">
            <v>1.8774</v>
          </cell>
        </row>
        <row r="2312">
          <cell r="K2312">
            <v>169.92</v>
          </cell>
          <cell r="Q2312">
            <v>1.8804000000000001</v>
          </cell>
        </row>
        <row r="2313">
          <cell r="K2313">
            <v>168.38</v>
          </cell>
          <cell r="Q2313">
            <v>1.8633999999999999</v>
          </cell>
        </row>
        <row r="2314">
          <cell r="K2314">
            <v>167.4</v>
          </cell>
          <cell r="Q2314">
            <v>1.8525</v>
          </cell>
        </row>
        <row r="2315">
          <cell r="K2315">
            <v>165.34</v>
          </cell>
          <cell r="Q2315">
            <v>1.8297000000000001</v>
          </cell>
        </row>
        <row r="2316">
          <cell r="K2316">
            <v>165.68</v>
          </cell>
          <cell r="Q2316">
            <v>1.8334999999999999</v>
          </cell>
        </row>
        <row r="2317">
          <cell r="K2317">
            <v>168.92</v>
          </cell>
          <cell r="Q2317">
            <v>1.8693</v>
          </cell>
        </row>
        <row r="2318">
          <cell r="K2318">
            <v>168.78</v>
          </cell>
          <cell r="Q2318">
            <v>1.8677999999999999</v>
          </cell>
        </row>
        <row r="2319">
          <cell r="K2319">
            <v>166.99</v>
          </cell>
          <cell r="Q2319">
            <v>1.8480000000000001</v>
          </cell>
        </row>
        <row r="2320">
          <cell r="K2320">
            <v>166.26</v>
          </cell>
          <cell r="Q2320">
            <v>1.8399000000000001</v>
          </cell>
        </row>
        <row r="2321">
          <cell r="K2321">
            <v>166.84</v>
          </cell>
          <cell r="Q2321">
            <v>1.8463000000000001</v>
          </cell>
        </row>
        <row r="2322">
          <cell r="K2322">
            <v>167.17</v>
          </cell>
          <cell r="Q2322">
            <v>1.85</v>
          </cell>
        </row>
        <row r="2323">
          <cell r="K2323">
            <v>168.25</v>
          </cell>
          <cell r="Q2323">
            <v>1.8619000000000001</v>
          </cell>
        </row>
        <row r="2324">
          <cell r="K2324">
            <v>166.99</v>
          </cell>
          <cell r="Q2324">
            <v>1.8480000000000001</v>
          </cell>
        </row>
        <row r="2325">
          <cell r="K2325">
            <v>167.73</v>
          </cell>
          <cell r="Q2325">
            <v>1.8562000000000001</v>
          </cell>
        </row>
        <row r="2326">
          <cell r="K2326">
            <v>168.62</v>
          </cell>
          <cell r="Q2326">
            <v>1.8660000000000001</v>
          </cell>
        </row>
        <row r="2327">
          <cell r="K2327">
            <v>166.97</v>
          </cell>
          <cell r="Q2327">
            <v>1.8478000000000001</v>
          </cell>
        </row>
        <row r="2328">
          <cell r="K2328">
            <v>166.08</v>
          </cell>
          <cell r="Q2328">
            <v>1.8379000000000001</v>
          </cell>
        </row>
        <row r="2329">
          <cell r="K2329">
            <v>165.46</v>
          </cell>
          <cell r="Q2329">
            <v>1.831</v>
          </cell>
        </row>
        <row r="2330">
          <cell r="K2330">
            <v>162.97</v>
          </cell>
          <cell r="Q2330">
            <v>1.8035000000000001</v>
          </cell>
        </row>
        <row r="2331">
          <cell r="K2331">
            <v>162.66</v>
          </cell>
          <cell r="Q2331">
            <v>1.8584000000000001</v>
          </cell>
        </row>
        <row r="2332">
          <cell r="K2332">
            <v>164.49</v>
          </cell>
          <cell r="Q2332">
            <v>1.8793</v>
          </cell>
        </row>
        <row r="2333">
          <cell r="K2333">
            <v>165.09</v>
          </cell>
          <cell r="Q2333">
            <v>1.8862000000000001</v>
          </cell>
        </row>
        <row r="2334">
          <cell r="K2334">
            <v>164.73</v>
          </cell>
          <cell r="Q2334">
            <v>1.8821000000000001</v>
          </cell>
        </row>
        <row r="2335">
          <cell r="K2335">
            <v>165</v>
          </cell>
          <cell r="Q2335">
            <v>1.8852</v>
          </cell>
        </row>
        <row r="2336">
          <cell r="K2336">
            <v>163.16</v>
          </cell>
          <cell r="Q2336">
            <v>1.8641000000000001</v>
          </cell>
        </row>
        <row r="2337">
          <cell r="K2337">
            <v>163.85</v>
          </cell>
          <cell r="Q2337">
            <v>1.8720000000000001</v>
          </cell>
        </row>
        <row r="2338">
          <cell r="K2338">
            <v>166.95</v>
          </cell>
          <cell r="Q2338">
            <v>1.9074</v>
          </cell>
        </row>
        <row r="2339">
          <cell r="K2339">
            <v>169.38</v>
          </cell>
          <cell r="Q2339">
            <v>1.9352</v>
          </cell>
        </row>
        <row r="2340">
          <cell r="K2340">
            <v>168.61</v>
          </cell>
          <cell r="Q2340">
            <v>1.9263999999999999</v>
          </cell>
        </row>
        <row r="2341">
          <cell r="K2341">
            <v>168.53</v>
          </cell>
          <cell r="Q2341">
            <v>1.9255</v>
          </cell>
        </row>
        <row r="2342">
          <cell r="K2342">
            <v>171</v>
          </cell>
          <cell r="Q2342">
            <v>1.9537</v>
          </cell>
        </row>
        <row r="2343">
          <cell r="K2343">
            <v>172.51</v>
          </cell>
          <cell r="Q2343">
            <v>1.9710000000000001</v>
          </cell>
        </row>
        <row r="2344">
          <cell r="K2344">
            <v>173.22</v>
          </cell>
          <cell r="Q2344">
            <v>1.9791000000000001</v>
          </cell>
        </row>
        <row r="2345">
          <cell r="K2345">
            <v>163.07</v>
          </cell>
          <cell r="Q2345">
            <v>1.8631</v>
          </cell>
        </row>
        <row r="2346">
          <cell r="K2346">
            <v>160.35</v>
          </cell>
          <cell r="Q2346">
            <v>1.8320000000000001</v>
          </cell>
        </row>
        <row r="2347">
          <cell r="K2347">
            <v>161.72999999999999</v>
          </cell>
          <cell r="Q2347">
            <v>1.8478000000000001</v>
          </cell>
        </row>
        <row r="2348">
          <cell r="K2348">
            <v>159.75</v>
          </cell>
          <cell r="Q2348">
            <v>1.8251999999999999</v>
          </cell>
        </row>
        <row r="2349">
          <cell r="K2349">
            <v>159.07</v>
          </cell>
          <cell r="Q2349">
            <v>1.8173999999999999</v>
          </cell>
        </row>
        <row r="2350">
          <cell r="K2350">
            <v>160.05000000000001</v>
          </cell>
          <cell r="Q2350">
            <v>1.8286</v>
          </cell>
        </row>
        <row r="2351">
          <cell r="K2351">
            <v>161.09</v>
          </cell>
          <cell r="Q2351">
            <v>1.8405</v>
          </cell>
        </row>
        <row r="2352">
          <cell r="K2352">
            <v>160.96</v>
          </cell>
          <cell r="Q2352">
            <v>1.839</v>
          </cell>
        </row>
        <row r="2353">
          <cell r="K2353">
            <v>161.99</v>
          </cell>
          <cell r="Q2353">
            <v>1.8508</v>
          </cell>
        </row>
        <row r="2354">
          <cell r="K2354">
            <v>158.71</v>
          </cell>
          <cell r="Q2354">
            <v>1.8132999999999999</v>
          </cell>
        </row>
        <row r="2355">
          <cell r="K2355">
            <v>157.6</v>
          </cell>
          <cell r="Q2355">
            <v>1.8006</v>
          </cell>
        </row>
        <row r="2356">
          <cell r="K2356">
            <v>157.9</v>
          </cell>
          <cell r="Q2356">
            <v>1.804</v>
          </cell>
        </row>
        <row r="2357">
          <cell r="K2357">
            <v>156.32</v>
          </cell>
          <cell r="Q2357">
            <v>1.786</v>
          </cell>
        </row>
        <row r="2358">
          <cell r="K2358">
            <v>155.12</v>
          </cell>
          <cell r="Q2358">
            <v>1.7723</v>
          </cell>
        </row>
        <row r="2359">
          <cell r="K2359">
            <v>156.75</v>
          </cell>
          <cell r="Q2359">
            <v>1.7908999999999999</v>
          </cell>
        </row>
        <row r="2360">
          <cell r="K2360">
            <v>155.51</v>
          </cell>
          <cell r="Q2360">
            <v>1.7766999999999999</v>
          </cell>
        </row>
        <row r="2361">
          <cell r="K2361">
            <v>156.16</v>
          </cell>
          <cell r="Q2361">
            <v>1.7842</v>
          </cell>
        </row>
        <row r="2362">
          <cell r="K2362">
            <v>155.07</v>
          </cell>
          <cell r="Q2362">
            <v>1.7717000000000001</v>
          </cell>
        </row>
        <row r="2363">
          <cell r="K2363">
            <v>155.75</v>
          </cell>
          <cell r="Q2363">
            <v>1.7795000000000001</v>
          </cell>
        </row>
        <row r="2364">
          <cell r="K2364">
            <v>156.31</v>
          </cell>
          <cell r="Q2364">
            <v>1.7859</v>
          </cell>
        </row>
        <row r="2365">
          <cell r="K2365">
            <v>156.01</v>
          </cell>
          <cell r="Q2365">
            <v>1.7824</v>
          </cell>
        </row>
        <row r="2366">
          <cell r="K2366">
            <v>153.94</v>
          </cell>
          <cell r="Q2366">
            <v>1.7587999999999999</v>
          </cell>
        </row>
        <row r="2367">
          <cell r="K2367">
            <v>152.66</v>
          </cell>
          <cell r="Q2367">
            <v>1.7442</v>
          </cell>
        </row>
        <row r="2368">
          <cell r="K2368">
            <v>148.85</v>
          </cell>
          <cell r="Q2368">
            <v>1.7005999999999999</v>
          </cell>
        </row>
        <row r="2369">
          <cell r="K2369">
            <v>143.47</v>
          </cell>
          <cell r="Q2369">
            <v>1.6392</v>
          </cell>
        </row>
        <row r="2370">
          <cell r="K2370">
            <v>140.96</v>
          </cell>
          <cell r="Q2370">
            <v>1.6105</v>
          </cell>
        </row>
        <row r="2371">
          <cell r="K2371">
            <v>146.69999999999999</v>
          </cell>
          <cell r="Q2371">
            <v>1.6760999999999999</v>
          </cell>
        </row>
        <row r="2372">
          <cell r="K2372">
            <v>148.54</v>
          </cell>
          <cell r="Q2372">
            <v>1.6971000000000001</v>
          </cell>
        </row>
        <row r="2373">
          <cell r="K2373">
            <v>147.97999999999999</v>
          </cell>
          <cell r="Q2373">
            <v>1.6907000000000001</v>
          </cell>
        </row>
        <row r="2374">
          <cell r="K2374">
            <v>147.88999999999999</v>
          </cell>
          <cell r="Q2374">
            <v>1.6897</v>
          </cell>
        </row>
        <row r="2375">
          <cell r="K2375">
            <v>142.68</v>
          </cell>
          <cell r="Q2375">
            <v>1.6302000000000001</v>
          </cell>
        </row>
        <row r="2376">
          <cell r="K2376">
            <v>145.05000000000001</v>
          </cell>
          <cell r="Q2376">
            <v>1.6572</v>
          </cell>
        </row>
        <row r="2377">
          <cell r="K2377">
            <v>146.78</v>
          </cell>
          <cell r="Q2377">
            <v>1.677</v>
          </cell>
        </row>
        <row r="2378">
          <cell r="K2378">
            <v>143.69999999999999</v>
          </cell>
          <cell r="Q2378">
            <v>1.6417999999999999</v>
          </cell>
        </row>
        <row r="2379">
          <cell r="K2379">
            <v>147.22999999999999</v>
          </cell>
          <cell r="Q2379">
            <v>1.6820999999999999</v>
          </cell>
        </row>
        <row r="2380">
          <cell r="K2380">
            <v>145.05000000000001</v>
          </cell>
          <cell r="Q2380">
            <v>1.6572</v>
          </cell>
        </row>
        <row r="2381">
          <cell r="K2381">
            <v>146.19999999999999</v>
          </cell>
          <cell r="Q2381">
            <v>1.6704000000000001</v>
          </cell>
        </row>
        <row r="2382">
          <cell r="K2382">
            <v>147.37</v>
          </cell>
          <cell r="Q2382">
            <v>1.6837</v>
          </cell>
        </row>
        <row r="2383">
          <cell r="K2383">
            <v>145.65</v>
          </cell>
          <cell r="Q2383">
            <v>1.6640999999999999</v>
          </cell>
        </row>
        <row r="2384">
          <cell r="K2384">
            <v>147.53</v>
          </cell>
          <cell r="Q2384">
            <v>1.6856</v>
          </cell>
        </row>
        <row r="2385">
          <cell r="K2385">
            <v>148.41</v>
          </cell>
          <cell r="Q2385">
            <v>1.6956</v>
          </cell>
        </row>
        <row r="2386">
          <cell r="K2386">
            <v>148.13999999999999</v>
          </cell>
          <cell r="Q2386">
            <v>1.6924999999999999</v>
          </cell>
        </row>
        <row r="2387">
          <cell r="K2387">
            <v>144.51</v>
          </cell>
          <cell r="Q2387">
            <v>1.6511</v>
          </cell>
        </row>
        <row r="2388">
          <cell r="K2388">
            <v>146.47999999999999</v>
          </cell>
          <cell r="Q2388">
            <v>1.6736</v>
          </cell>
        </row>
        <row r="2389">
          <cell r="K2389">
            <v>144.43</v>
          </cell>
          <cell r="Q2389">
            <v>1.6500999999999999</v>
          </cell>
        </row>
        <row r="2390">
          <cell r="K2390">
            <v>143.66</v>
          </cell>
          <cell r="Q2390">
            <v>1.6413</v>
          </cell>
        </row>
        <row r="2391">
          <cell r="K2391">
            <v>144.41</v>
          </cell>
          <cell r="Q2391">
            <v>1.6498999999999999</v>
          </cell>
        </row>
        <row r="2392">
          <cell r="K2392">
            <v>145.41999999999999</v>
          </cell>
          <cell r="Q2392">
            <v>1.6615</v>
          </cell>
        </row>
        <row r="2393">
          <cell r="K2393">
            <v>142.52000000000001</v>
          </cell>
          <cell r="Q2393">
            <v>1.6283000000000001</v>
          </cell>
        </row>
        <row r="2394">
          <cell r="K2394">
            <v>142.47</v>
          </cell>
          <cell r="Q2394">
            <v>1.6277999999999999</v>
          </cell>
        </row>
        <row r="2395">
          <cell r="K2395">
            <v>144.97</v>
          </cell>
          <cell r="Q2395">
            <v>1.7098</v>
          </cell>
        </row>
        <row r="2396">
          <cell r="K2396">
            <v>143.59</v>
          </cell>
          <cell r="Q2396">
            <v>1.6936</v>
          </cell>
        </row>
        <row r="2397">
          <cell r="K2397">
            <v>144.58000000000001</v>
          </cell>
          <cell r="Q2397">
            <v>1.7052</v>
          </cell>
        </row>
        <row r="2398">
          <cell r="K2398">
            <v>149.04</v>
          </cell>
          <cell r="Q2398">
            <v>1.7578</v>
          </cell>
        </row>
        <row r="2399">
          <cell r="K2399">
            <v>148.78</v>
          </cell>
          <cell r="Q2399">
            <v>1.7547999999999999</v>
          </cell>
        </row>
        <row r="2400">
          <cell r="K2400">
            <v>150.09</v>
          </cell>
          <cell r="Q2400">
            <v>1.7702</v>
          </cell>
        </row>
        <row r="2401">
          <cell r="K2401">
            <v>152.28</v>
          </cell>
          <cell r="Q2401">
            <v>1.7961</v>
          </cell>
        </row>
        <row r="2402">
          <cell r="K2402">
            <v>152.38999999999999</v>
          </cell>
          <cell r="Q2402">
            <v>1.7974000000000001</v>
          </cell>
        </row>
        <row r="2403">
          <cell r="K2403">
            <v>151.13999999999999</v>
          </cell>
          <cell r="Q2403">
            <v>1.7826</v>
          </cell>
        </row>
        <row r="2404">
          <cell r="K2404">
            <v>149.62</v>
          </cell>
          <cell r="Q2404">
            <v>1.7646999999999999</v>
          </cell>
        </row>
        <row r="2405">
          <cell r="K2405">
            <v>150.01</v>
          </cell>
          <cell r="Q2405">
            <v>1.7693000000000001</v>
          </cell>
        </row>
        <row r="2406">
          <cell r="K2406">
            <v>150.09</v>
          </cell>
          <cell r="Q2406">
            <v>1.7702</v>
          </cell>
        </row>
        <row r="2407">
          <cell r="K2407">
            <v>150.38999999999999</v>
          </cell>
          <cell r="Q2407">
            <v>1.7738</v>
          </cell>
        </row>
        <row r="2408">
          <cell r="K2408">
            <v>149.22</v>
          </cell>
          <cell r="Q2408">
            <v>1.76</v>
          </cell>
        </row>
        <row r="2409">
          <cell r="K2409">
            <v>140.63999999999999</v>
          </cell>
          <cell r="Q2409">
            <v>1.6588000000000001</v>
          </cell>
        </row>
        <row r="2410">
          <cell r="K2410">
            <v>140.91999999999999</v>
          </cell>
          <cell r="Q2410">
            <v>1.6620999999999999</v>
          </cell>
        </row>
        <row r="2411">
          <cell r="K2411">
            <v>144.09</v>
          </cell>
          <cell r="Q2411">
            <v>1.6995</v>
          </cell>
        </row>
        <row r="2412">
          <cell r="K2412">
            <v>144.68</v>
          </cell>
          <cell r="Q2412">
            <v>1.7063999999999999</v>
          </cell>
        </row>
        <row r="2413">
          <cell r="K2413">
            <v>143.66</v>
          </cell>
          <cell r="Q2413">
            <v>1.6943999999999999</v>
          </cell>
        </row>
        <row r="2414">
          <cell r="K2414">
            <v>137.86000000000001</v>
          </cell>
          <cell r="Q2414">
            <v>1.6259999999999999</v>
          </cell>
        </row>
        <row r="2415">
          <cell r="K2415">
            <v>140.83000000000001</v>
          </cell>
          <cell r="Q2415">
            <v>1.661</v>
          </cell>
        </row>
        <row r="2416">
          <cell r="K2416">
            <v>140.55000000000001</v>
          </cell>
          <cell r="Q2416">
            <v>1.6577</v>
          </cell>
        </row>
        <row r="2417">
          <cell r="K2417">
            <v>140.08000000000001</v>
          </cell>
          <cell r="Q2417">
            <v>1.6521999999999999</v>
          </cell>
        </row>
        <row r="2418">
          <cell r="K2418">
            <v>140.37</v>
          </cell>
          <cell r="Q2418">
            <v>1.6556</v>
          </cell>
        </row>
        <row r="2419">
          <cell r="K2419">
            <v>141.88</v>
          </cell>
          <cell r="Q2419">
            <v>1.6734</v>
          </cell>
        </row>
        <row r="2420">
          <cell r="K2420">
            <v>141.63</v>
          </cell>
          <cell r="Q2420">
            <v>1.6704000000000001</v>
          </cell>
        </row>
        <row r="2421">
          <cell r="K2421">
            <v>139.88999999999999</v>
          </cell>
          <cell r="Q2421">
            <v>1.6498999999999999</v>
          </cell>
        </row>
        <row r="2422">
          <cell r="K2422">
            <v>138.25</v>
          </cell>
          <cell r="Q2422">
            <v>1.6306</v>
          </cell>
        </row>
        <row r="2423">
          <cell r="K2423">
            <v>135.31</v>
          </cell>
          <cell r="Q2423">
            <v>1.5959000000000001</v>
          </cell>
        </row>
        <row r="2424">
          <cell r="K2424">
            <v>135.47</v>
          </cell>
          <cell r="Q2424">
            <v>1.5978000000000001</v>
          </cell>
        </row>
        <row r="2425">
          <cell r="K2425">
            <v>135.02000000000001</v>
          </cell>
          <cell r="Q2425">
            <v>1.5925</v>
          </cell>
        </row>
        <row r="2426">
          <cell r="K2426">
            <v>133.04</v>
          </cell>
          <cell r="Q2426">
            <v>1.5690999999999999</v>
          </cell>
        </row>
        <row r="2427">
          <cell r="K2427">
            <v>131.75</v>
          </cell>
          <cell r="Q2427">
            <v>1.5539000000000001</v>
          </cell>
        </row>
        <row r="2428">
          <cell r="K2428">
            <v>133.71</v>
          </cell>
          <cell r="Q2428">
            <v>1.577</v>
          </cell>
        </row>
        <row r="2429">
          <cell r="K2429">
            <v>133.82</v>
          </cell>
          <cell r="Q2429">
            <v>1.5783</v>
          </cell>
        </row>
        <row r="2430">
          <cell r="K2430">
            <v>135.82</v>
          </cell>
          <cell r="Q2430">
            <v>1.6019000000000001</v>
          </cell>
        </row>
        <row r="2431">
          <cell r="K2431">
            <v>136.74</v>
          </cell>
          <cell r="Q2431">
            <v>1.6128</v>
          </cell>
        </row>
        <row r="2432">
          <cell r="K2432">
            <v>138.5</v>
          </cell>
          <cell r="Q2432">
            <v>1.6335</v>
          </cell>
        </row>
        <row r="2433">
          <cell r="K2433">
            <v>138.46</v>
          </cell>
          <cell r="Q2433">
            <v>1.6331</v>
          </cell>
        </row>
        <row r="2434">
          <cell r="K2434">
            <v>138.6</v>
          </cell>
          <cell r="Q2434">
            <v>1.6347</v>
          </cell>
        </row>
        <row r="2435">
          <cell r="K2435">
            <v>138</v>
          </cell>
          <cell r="Q2435">
            <v>1.6275999999999999</v>
          </cell>
        </row>
        <row r="2436">
          <cell r="K2436">
            <v>138.46</v>
          </cell>
          <cell r="Q2436">
            <v>1.6331</v>
          </cell>
        </row>
        <row r="2437">
          <cell r="K2437">
            <v>139.41999999999999</v>
          </cell>
          <cell r="Q2437">
            <v>1.6444000000000001</v>
          </cell>
        </row>
        <row r="2438">
          <cell r="K2438">
            <v>141.28</v>
          </cell>
          <cell r="Q2438">
            <v>1.6662999999999999</v>
          </cell>
        </row>
        <row r="2439">
          <cell r="K2439">
            <v>139.69999999999999</v>
          </cell>
          <cell r="Q2439">
            <v>1.6476999999999999</v>
          </cell>
        </row>
        <row r="2440">
          <cell r="K2440">
            <v>138.91999999999999</v>
          </cell>
          <cell r="Q2440">
            <v>1.6385000000000001</v>
          </cell>
        </row>
        <row r="2441">
          <cell r="K2441">
            <v>140.43</v>
          </cell>
          <cell r="Q2441">
            <v>1.6563000000000001</v>
          </cell>
        </row>
        <row r="2442">
          <cell r="K2442">
            <v>139.55000000000001</v>
          </cell>
          <cell r="Q2442">
            <v>1.6458999999999999</v>
          </cell>
        </row>
        <row r="2443">
          <cell r="K2443">
            <v>138.05000000000001</v>
          </cell>
          <cell r="Q2443">
            <v>1.6282000000000001</v>
          </cell>
        </row>
        <row r="2444">
          <cell r="K2444">
            <v>136.61000000000001</v>
          </cell>
          <cell r="Q2444">
            <v>1.6112</v>
          </cell>
        </row>
        <row r="2445">
          <cell r="K2445">
            <v>136.78</v>
          </cell>
          <cell r="Q2445">
            <v>1.6132</v>
          </cell>
        </row>
        <row r="2446">
          <cell r="K2446">
            <v>134.57</v>
          </cell>
          <cell r="Q2446">
            <v>1.5871999999999999</v>
          </cell>
        </row>
        <row r="2447">
          <cell r="K2447">
            <v>135.93</v>
          </cell>
          <cell r="Q2447">
            <v>1.6032</v>
          </cell>
        </row>
        <row r="2448">
          <cell r="K2448">
            <v>137.79</v>
          </cell>
          <cell r="Q2448">
            <v>1.6252</v>
          </cell>
        </row>
        <row r="2449">
          <cell r="K2449">
            <v>139.29</v>
          </cell>
          <cell r="Q2449">
            <v>1.6428</v>
          </cell>
        </row>
        <row r="2450">
          <cell r="K2450">
            <v>136.75</v>
          </cell>
          <cell r="Q2450">
            <v>1.6129</v>
          </cell>
        </row>
        <row r="2451">
          <cell r="K2451">
            <v>134.9</v>
          </cell>
          <cell r="Q2451">
            <v>1.5911</v>
          </cell>
        </row>
        <row r="2452">
          <cell r="K2452">
            <v>135.5</v>
          </cell>
          <cell r="Q2452">
            <v>1.5981000000000001</v>
          </cell>
        </row>
        <row r="2453">
          <cell r="K2453">
            <v>137.93</v>
          </cell>
          <cell r="Q2453">
            <v>1.6268</v>
          </cell>
        </row>
        <row r="2454">
          <cell r="K2454">
            <v>138.54</v>
          </cell>
          <cell r="Q2454">
            <v>1.6339999999999999</v>
          </cell>
        </row>
        <row r="2455">
          <cell r="K2455">
            <v>138.25</v>
          </cell>
          <cell r="Q2455">
            <v>1.6306</v>
          </cell>
        </row>
        <row r="2456">
          <cell r="K2456">
            <v>137.61000000000001</v>
          </cell>
          <cell r="Q2456">
            <v>1.623</v>
          </cell>
        </row>
        <row r="2457">
          <cell r="K2457">
            <v>139.78</v>
          </cell>
          <cell r="Q2457">
            <v>1.6486000000000001</v>
          </cell>
        </row>
        <row r="2458">
          <cell r="K2458">
            <v>139.34</v>
          </cell>
          <cell r="Q2458">
            <v>1.6434</v>
          </cell>
        </row>
        <row r="2459">
          <cell r="K2459">
            <v>137.62</v>
          </cell>
          <cell r="Q2459">
            <v>1.6545000000000001</v>
          </cell>
        </row>
        <row r="2460">
          <cell r="K2460">
            <v>135.94999999999999</v>
          </cell>
          <cell r="Q2460">
            <v>1.6344000000000001</v>
          </cell>
        </row>
        <row r="2461">
          <cell r="K2461">
            <v>135.85</v>
          </cell>
          <cell r="Q2461">
            <v>1.6332</v>
          </cell>
        </row>
        <row r="2462">
          <cell r="K2462">
            <v>135.16999999999999</v>
          </cell>
          <cell r="Q2462">
            <v>1.625</v>
          </cell>
        </row>
        <row r="2463">
          <cell r="K2463">
            <v>132.86000000000001</v>
          </cell>
          <cell r="Q2463">
            <v>1.5972</v>
          </cell>
        </row>
        <row r="2464">
          <cell r="K2464">
            <v>131.63</v>
          </cell>
          <cell r="Q2464">
            <v>1.5825</v>
          </cell>
        </row>
        <row r="2465">
          <cell r="K2465">
            <v>133.22999999999999</v>
          </cell>
          <cell r="Q2465">
            <v>1.6016999999999999</v>
          </cell>
        </row>
        <row r="2466">
          <cell r="K2466">
            <v>132.9</v>
          </cell>
          <cell r="Q2466">
            <v>1.5976999999999999</v>
          </cell>
        </row>
        <row r="2467">
          <cell r="K2467">
            <v>131.16999999999999</v>
          </cell>
          <cell r="Q2467">
            <v>1.5769</v>
          </cell>
        </row>
        <row r="2468">
          <cell r="K2468">
            <v>132.91</v>
          </cell>
          <cell r="Q2468">
            <v>1.5978000000000001</v>
          </cell>
        </row>
        <row r="2469">
          <cell r="K2469">
            <v>130.03</v>
          </cell>
          <cell r="Q2469">
            <v>1.5631999999999999</v>
          </cell>
        </row>
        <row r="2470">
          <cell r="K2470">
            <v>128.11000000000001</v>
          </cell>
          <cell r="Q2470">
            <v>1.5401</v>
          </cell>
        </row>
        <row r="2471">
          <cell r="K2471">
            <v>121.86</v>
          </cell>
          <cell r="Q2471">
            <v>1.4650000000000001</v>
          </cell>
        </row>
        <row r="2472">
          <cell r="K2472">
            <v>122.91</v>
          </cell>
          <cell r="Q2472">
            <v>1.4776</v>
          </cell>
        </row>
        <row r="2473">
          <cell r="K2473">
            <v>122.5</v>
          </cell>
          <cell r="Q2473">
            <v>1.4726999999999999</v>
          </cell>
        </row>
        <row r="2474">
          <cell r="K2474">
            <v>122.08</v>
          </cell>
          <cell r="Q2474">
            <v>1.4676</v>
          </cell>
        </row>
        <row r="2475">
          <cell r="K2475">
            <v>122.59</v>
          </cell>
          <cell r="Q2475">
            <v>1.4738</v>
          </cell>
        </row>
        <row r="2476">
          <cell r="K2476">
            <v>120.96</v>
          </cell>
          <cell r="Q2476">
            <v>1.4541999999999999</v>
          </cell>
        </row>
        <row r="2477">
          <cell r="K2477">
            <v>122.22</v>
          </cell>
          <cell r="Q2477">
            <v>1.4693000000000001</v>
          </cell>
        </row>
        <row r="2478">
          <cell r="K2478">
            <v>124.79</v>
          </cell>
          <cell r="Q2478">
            <v>1.5002</v>
          </cell>
        </row>
        <row r="2479">
          <cell r="K2479">
            <v>124.83</v>
          </cell>
          <cell r="Q2479">
            <v>1.5006999999999999</v>
          </cell>
        </row>
        <row r="2480">
          <cell r="K2480">
            <v>122.94</v>
          </cell>
          <cell r="Q2480">
            <v>1.478</v>
          </cell>
        </row>
        <row r="2481">
          <cell r="K2481">
            <v>124.72</v>
          </cell>
          <cell r="Q2481">
            <v>1.4994000000000001</v>
          </cell>
        </row>
        <row r="2482">
          <cell r="K2482">
            <v>127.65</v>
          </cell>
          <cell r="Q2482">
            <v>1.5346</v>
          </cell>
        </row>
        <row r="2483">
          <cell r="K2483">
            <v>128.57</v>
          </cell>
          <cell r="Q2483">
            <v>1.5457000000000001</v>
          </cell>
        </row>
        <row r="2484">
          <cell r="K2484">
            <v>126.98</v>
          </cell>
          <cell r="Q2484">
            <v>1.5266</v>
          </cell>
        </row>
        <row r="2485">
          <cell r="K2485">
            <v>124.07</v>
          </cell>
          <cell r="Q2485">
            <v>1.4916</v>
          </cell>
        </row>
        <row r="2486">
          <cell r="K2486">
            <v>120.19</v>
          </cell>
          <cell r="Q2486">
            <v>1.4449000000000001</v>
          </cell>
        </row>
        <row r="2487">
          <cell r="K2487">
            <v>117.85</v>
          </cell>
          <cell r="Q2487">
            <v>1.4168000000000001</v>
          </cell>
        </row>
        <row r="2488">
          <cell r="K2488">
            <v>121.04</v>
          </cell>
          <cell r="Q2488">
            <v>1.4551000000000001</v>
          </cell>
        </row>
        <row r="2489">
          <cell r="K2489">
            <v>122.74</v>
          </cell>
          <cell r="Q2489">
            <v>1.4756</v>
          </cell>
        </row>
        <row r="2490">
          <cell r="K2490">
            <v>126.1</v>
          </cell>
          <cell r="Q2490">
            <v>1.516</v>
          </cell>
        </row>
        <row r="2491">
          <cell r="K2491">
            <v>132.44999999999999</v>
          </cell>
          <cell r="Q2491">
            <v>1.5923</v>
          </cell>
        </row>
        <row r="2492">
          <cell r="K2492">
            <v>133.08000000000001</v>
          </cell>
          <cell r="Q2492">
            <v>1.5999000000000001</v>
          </cell>
        </row>
        <row r="2493">
          <cell r="K2493">
            <v>133.77000000000001</v>
          </cell>
          <cell r="Q2493">
            <v>1.6082000000000001</v>
          </cell>
        </row>
        <row r="2494">
          <cell r="K2494">
            <v>132.4</v>
          </cell>
          <cell r="Q2494">
            <v>1.5916999999999999</v>
          </cell>
        </row>
        <row r="2495">
          <cell r="K2495">
            <v>132.80000000000001</v>
          </cell>
          <cell r="Q2495">
            <v>1.5965</v>
          </cell>
        </row>
        <row r="2496">
          <cell r="K2496">
            <v>134.5</v>
          </cell>
          <cell r="Q2496">
            <v>1.617</v>
          </cell>
        </row>
        <row r="2497">
          <cell r="K2497">
            <v>132.03</v>
          </cell>
          <cell r="Q2497">
            <v>1.5872999999999999</v>
          </cell>
        </row>
        <row r="2498">
          <cell r="K2498">
            <v>131.03</v>
          </cell>
          <cell r="Q2498">
            <v>1.5751999999999999</v>
          </cell>
        </row>
        <row r="2499">
          <cell r="K2499">
            <v>134.37</v>
          </cell>
          <cell r="Q2499">
            <v>1.6153999999999999</v>
          </cell>
        </row>
        <row r="2500">
          <cell r="K2500">
            <v>136.30000000000001</v>
          </cell>
          <cell r="Q2500">
            <v>1.6386000000000001</v>
          </cell>
        </row>
        <row r="2501">
          <cell r="K2501">
            <v>137.80000000000001</v>
          </cell>
          <cell r="Q2501">
            <v>1.6566000000000001</v>
          </cell>
        </row>
        <row r="2502">
          <cell r="K2502">
            <v>137.80000000000001</v>
          </cell>
          <cell r="Q2502">
            <v>1.6566000000000001</v>
          </cell>
        </row>
        <row r="2503">
          <cell r="K2503">
            <v>140.15</v>
          </cell>
          <cell r="Q2503">
            <v>1.6849000000000001</v>
          </cell>
        </row>
        <row r="2504">
          <cell r="K2504">
            <v>139.07</v>
          </cell>
          <cell r="Q2504">
            <v>1.6718999999999999</v>
          </cell>
        </row>
        <row r="2505">
          <cell r="K2505">
            <v>140.41</v>
          </cell>
          <cell r="Q2505">
            <v>1.6879999999999999</v>
          </cell>
        </row>
        <row r="2506">
          <cell r="K2506">
            <v>140.19</v>
          </cell>
          <cell r="Q2506">
            <v>1.6854</v>
          </cell>
        </row>
        <row r="2507">
          <cell r="K2507">
            <v>142.36000000000001</v>
          </cell>
          <cell r="Q2507">
            <v>1.7114</v>
          </cell>
        </row>
        <row r="2508">
          <cell r="K2508">
            <v>142.78</v>
          </cell>
          <cell r="Q2508">
            <v>1.7164999999999999</v>
          </cell>
        </row>
        <row r="2509">
          <cell r="K2509">
            <v>142.96</v>
          </cell>
          <cell r="Q2509">
            <v>1.7186999999999999</v>
          </cell>
        </row>
        <row r="2510">
          <cell r="K2510">
            <v>144.79</v>
          </cell>
          <cell r="Q2510">
            <v>1.7406999999999999</v>
          </cell>
        </row>
        <row r="2511">
          <cell r="K2511">
            <v>147.04</v>
          </cell>
          <cell r="Q2511">
            <v>1.7677</v>
          </cell>
        </row>
        <row r="2512">
          <cell r="K2512">
            <v>147.09</v>
          </cell>
          <cell r="Q2512">
            <v>1.7683</v>
          </cell>
        </row>
        <row r="2513">
          <cell r="K2513">
            <v>148.63</v>
          </cell>
          <cell r="Q2513">
            <v>1.7867999999999999</v>
          </cell>
        </row>
        <row r="2514">
          <cell r="K2514">
            <v>148.1</v>
          </cell>
          <cell r="Q2514">
            <v>1.7805</v>
          </cell>
        </row>
        <row r="2515">
          <cell r="K2515">
            <v>145.4</v>
          </cell>
          <cell r="Q2515">
            <v>1.748</v>
          </cell>
        </row>
        <row r="2516">
          <cell r="K2516">
            <v>147.94999999999999</v>
          </cell>
          <cell r="Q2516">
            <v>1.7786999999999999</v>
          </cell>
        </row>
      </sheetData>
      <sheetData sheetId="14" refreshError="1"/>
      <sheetData sheetId="15">
        <row r="1">
          <cell r="E1">
            <v>9</v>
          </cell>
        </row>
      </sheetData>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5"/>
  <sheetViews>
    <sheetView showGridLines="0" tabSelected="1" zoomScaleNormal="100" workbookViewId="0">
      <selection activeCell="C9" sqref="C9"/>
    </sheetView>
  </sheetViews>
  <sheetFormatPr defaultRowHeight="15"/>
  <cols>
    <col min="1" max="1" width="38.7109375" bestFit="1" customWidth="1"/>
    <col min="2" max="7" width="11.7109375"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40" t="s">
        <v>61</v>
      </c>
      <c r="B1" s="140"/>
      <c r="C1" s="140"/>
      <c r="D1" s="140"/>
      <c r="E1" s="140"/>
      <c r="F1" s="140"/>
      <c r="G1" s="140"/>
      <c r="I1" s="149" t="s">
        <v>51</v>
      </c>
      <c r="J1" s="150"/>
      <c r="K1" s="91" t="s">
        <v>58</v>
      </c>
      <c r="L1" s="63" t="s">
        <v>108</v>
      </c>
    </row>
    <row r="2" spans="1:13">
      <c r="A2" s="51" t="s">
        <v>191</v>
      </c>
      <c r="B2" s="44" t="s">
        <v>192</v>
      </c>
      <c r="C2" s="98" t="str">
        <f>A2&amp;" ("&amp;ticker&amp;")"</f>
        <v>International Business Machines (IBM)</v>
      </c>
      <c r="E2" s="3" t="s">
        <v>57</v>
      </c>
      <c r="F2" s="3"/>
      <c r="G2" s="50">
        <v>158.32</v>
      </c>
      <c r="I2" s="145" t="str">
        <f>(ROUND(AVERAGE(C9:G9)*100,0)&amp;"% | "&amp;ROUND(AVERAGE(C11:G11)*100,0)&amp;"% | "&amp;ROUND(C18*100,0)&amp;"%")</f>
        <v>-2% | 15% | 2%</v>
      </c>
      <c r="J2" s="146"/>
      <c r="K2" s="92">
        <f ca="1">TRUNC(Scenario1)+B13/G4</f>
        <v>133</v>
      </c>
      <c r="L2" s="94" t="s">
        <v>53</v>
      </c>
      <c r="M2" s="45"/>
    </row>
    <row r="3" spans="1:13">
      <c r="A3" t="s">
        <v>0</v>
      </c>
      <c r="B3" s="13">
        <v>43100</v>
      </c>
      <c r="E3" t="s">
        <v>60</v>
      </c>
      <c r="G3" s="31">
        <f>'Company Analysis'!K3</f>
        <v>79139</v>
      </c>
      <c r="I3" s="145" t="str">
        <f>(ROUND(AVERAGE(C9:G9)*100,0)&amp;"% | "&amp;ROUND(AVERAGE(C11:G11)*100,0)&amp;"% | "&amp;ROUND(C17*100,0)&amp;"%")</f>
        <v>-2% | 15% | 7%</v>
      </c>
      <c r="J3" s="146"/>
      <c r="K3" s="92">
        <f ca="1">TRUNC(Scenario2)+B13/G4</f>
        <v>159</v>
      </c>
      <c r="L3" s="94" t="s">
        <v>53</v>
      </c>
      <c r="M3" s="46"/>
    </row>
    <row r="4" spans="1:13" ht="15.75" thickBot="1">
      <c r="A4" s="68" t="s">
        <v>1</v>
      </c>
      <c r="B4" s="52">
        <v>0.1</v>
      </c>
      <c r="C4" s="12"/>
      <c r="D4" s="12"/>
      <c r="E4" s="12" t="s">
        <v>6</v>
      </c>
      <c r="F4" s="12"/>
      <c r="G4" s="53">
        <v>921.16789400000005</v>
      </c>
      <c r="I4" s="145" t="str">
        <f>(ROUND(AVERAGE(C9:G9)*100,0)&amp;"% | "&amp;ROUND(AVERAGE(C10:G10)*100,0)&amp;"% | "&amp;ROUND(C18*100,0)&amp;"%")</f>
        <v>-2% | 17% | 2%</v>
      </c>
      <c r="J4" s="146"/>
      <c r="K4" s="92">
        <f ca="1">TRUNC(Scenario3)+B13/G4</f>
        <v>151</v>
      </c>
      <c r="L4" s="95" t="s">
        <v>53</v>
      </c>
      <c r="M4" s="47"/>
    </row>
    <row r="5" spans="1:13">
      <c r="B5" s="2"/>
      <c r="I5" s="145" t="str">
        <f>(ROUND(AVERAGE(C9:G9)*100,0)&amp;"% | "&amp;ROUND(AVERAGE(C10:G10)*100,0)&amp;"% | "&amp;ROUND(C17*100,0)&amp;"%")</f>
        <v>-2% | 17% | 7%</v>
      </c>
      <c r="J5" s="146"/>
      <c r="K5" s="92">
        <f ca="1">TRUNC(Scenario4)+B13/G4</f>
        <v>180</v>
      </c>
      <c r="L5" s="95" t="s">
        <v>53</v>
      </c>
      <c r="M5" s="47"/>
    </row>
    <row r="6" spans="1:13" s="9" customFormat="1" ht="15.75" thickBot="1">
      <c r="A6" s="140" t="s">
        <v>96</v>
      </c>
      <c r="B6" s="140"/>
      <c r="C6" s="140"/>
      <c r="D6" s="140"/>
      <c r="E6" s="140"/>
      <c r="F6" s="140"/>
      <c r="G6" s="140"/>
      <c r="H6" s="8"/>
      <c r="I6" s="145" t="str">
        <f>(ROUND(AVERAGE(C8:G8)*100,0)&amp;"% | "&amp;ROUND(AVERAGE(C11:G11)*100,0)&amp;"% | "&amp;ROUND(C18*100,0)&amp;"%")</f>
        <v>3% | 15% | 2%</v>
      </c>
      <c r="J6" s="146"/>
      <c r="K6" s="92">
        <f ca="1">TRUNC(Scenario5)+B13/G4</f>
        <v>160</v>
      </c>
      <c r="L6" s="94" t="s">
        <v>53</v>
      </c>
      <c r="M6" s="48"/>
    </row>
    <row r="7" spans="1:13">
      <c r="A7" s="7"/>
      <c r="B7" s="7" t="s">
        <v>2</v>
      </c>
      <c r="C7" s="40">
        <v>1</v>
      </c>
      <c r="D7" s="40">
        <v>2</v>
      </c>
      <c r="E7" s="40">
        <v>3</v>
      </c>
      <c r="F7" s="40">
        <v>4</v>
      </c>
      <c r="G7" s="40">
        <v>5</v>
      </c>
      <c r="I7" s="145" t="str">
        <f>(ROUND(AVERAGE(C8:G8)*100,0)&amp;"% | "&amp;ROUND(AVERAGE(C11:G11)*100,0)&amp;"% | "&amp;ROUND(C17*100,0)&amp;"%")</f>
        <v>3% | 15% | 7%</v>
      </c>
      <c r="J7" s="146"/>
      <c r="K7" s="92">
        <f ca="1">TRUNC(Scenario6)+B13/G4</f>
        <v>191</v>
      </c>
      <c r="L7" s="96" t="s">
        <v>53</v>
      </c>
    </row>
    <row r="8" spans="1:13">
      <c r="A8" s="143" t="s">
        <v>5</v>
      </c>
      <c r="B8" s="22" t="s">
        <v>3</v>
      </c>
      <c r="C8" s="23">
        <f>'Revenue Model'!F7</f>
        <v>1.467039007316373E-3</v>
      </c>
      <c r="D8" s="23">
        <f>'Revenue Model'!G7</f>
        <v>1.3476609076261248E-2</v>
      </c>
      <c r="E8" s="23">
        <f>'Revenue Model'!H7</f>
        <v>2.5403784386551553E-2</v>
      </c>
      <c r="F8" s="23">
        <f>'Revenue Model'!I7</f>
        <v>3.6972615716415858E-2</v>
      </c>
      <c r="G8" s="23">
        <f>'Revenue Model'!J7</f>
        <v>4.7939615065340613E-2</v>
      </c>
      <c r="I8" s="145" t="str">
        <f>(ROUND(AVERAGE(C8:G8)*100,0)&amp;"% | "&amp;ROUND(AVERAGE(C10:G10)*100,0)&amp;"% | "&amp;ROUND(C18*100,0)&amp;"%")</f>
        <v>3% | 17% | 2%</v>
      </c>
      <c r="J8" s="146"/>
      <c r="K8" s="92">
        <f ca="1">TRUNC(Scenario7)+B13/G4</f>
        <v>182</v>
      </c>
      <c r="L8" s="96" t="s">
        <v>53</v>
      </c>
    </row>
    <row r="9" spans="1:13">
      <c r="A9" s="144"/>
      <c r="B9" s="14" t="s">
        <v>4</v>
      </c>
      <c r="C9" s="24">
        <f>'Revenue Model'!F15</f>
        <v>-2.1593651676164671E-2</v>
      </c>
      <c r="D9" s="24">
        <f>'Revenue Model'!G15</f>
        <v>-2.4341438277879157E-2</v>
      </c>
      <c r="E9" s="24">
        <f>'Revenue Model'!H15</f>
        <v>-1.8576546217145773E-2</v>
      </c>
      <c r="F9" s="24">
        <f>'Revenue Model'!I15</f>
        <v>-1.2887117031428752E-2</v>
      </c>
      <c r="G9" s="24">
        <f>'Revenue Model'!J15</f>
        <v>-7.337318056345965E-3</v>
      </c>
      <c r="I9" s="147" t="str">
        <f>(ROUND(AVERAGE(C8:G8)*100,0)&amp;"% | "&amp;ROUND(AVERAGE(C10:G10)*100,0)&amp;"% | "&amp;ROUND(C17*100,0)&amp;"%")</f>
        <v>3% | 17% | 7%</v>
      </c>
      <c r="J9" s="148"/>
      <c r="K9" s="93">
        <f ca="1">TRUNC(Scenario8)+B13/G4</f>
        <v>217</v>
      </c>
      <c r="L9" s="97" t="s">
        <v>53</v>
      </c>
    </row>
    <row r="10" spans="1:13">
      <c r="A10" s="141" t="s">
        <v>124</v>
      </c>
      <c r="B10" s="22" t="s">
        <v>3</v>
      </c>
      <c r="C10" s="138">
        <v>0.17</v>
      </c>
      <c r="D10" s="138">
        <v>0.17</v>
      </c>
      <c r="E10" s="138">
        <v>0.17</v>
      </c>
      <c r="F10" s="138">
        <v>0.17</v>
      </c>
      <c r="G10" s="138">
        <v>0.17</v>
      </c>
    </row>
    <row r="11" spans="1:13">
      <c r="A11" s="142"/>
      <c r="B11" s="14" t="s">
        <v>4</v>
      </c>
      <c r="C11" s="139">
        <v>0.15</v>
      </c>
      <c r="D11" s="139">
        <v>0.15</v>
      </c>
      <c r="E11" s="139">
        <v>0.15</v>
      </c>
      <c r="F11" s="139">
        <v>0.15</v>
      </c>
      <c r="G11" s="139">
        <v>0.15</v>
      </c>
      <c r="I11" s="151" t="str">
        <f>A2&amp;" ("&amp;B2&amp;")"</f>
        <v>International Business Machines (IBM)</v>
      </c>
      <c r="J11" s="152"/>
      <c r="K11" s="152"/>
      <c r="L11" s="153"/>
    </row>
    <row r="12" spans="1:13">
      <c r="A12" s="1" t="s">
        <v>62</v>
      </c>
      <c r="B12" s="14"/>
      <c r="C12" s="25">
        <v>0.25</v>
      </c>
      <c r="D12" s="25">
        <v>0.25</v>
      </c>
      <c r="E12" s="25">
        <v>0.25</v>
      </c>
      <c r="F12" s="25">
        <v>0.25</v>
      </c>
      <c r="G12" s="25">
        <v>0.25</v>
      </c>
      <c r="I12" s="154" t="str">
        <f ca="1">"$"&amp;ROUND(F21/G4,0)&amp;" Scenario"</f>
        <v>$152 Scenario</v>
      </c>
      <c r="J12" s="155"/>
      <c r="K12" s="155"/>
      <c r="L12" s="156"/>
    </row>
    <row r="13" spans="1:13">
      <c r="A13" s="67" t="s">
        <v>10</v>
      </c>
      <c r="B13" s="26">
        <v>0</v>
      </c>
      <c r="I13" s="73" t="s">
        <v>16</v>
      </c>
      <c r="K13" s="74"/>
      <c r="L13" s="65" t="s">
        <v>4</v>
      </c>
    </row>
    <row r="14" spans="1:13">
      <c r="B14" s="2"/>
      <c r="I14" s="71" t="s">
        <v>17</v>
      </c>
      <c r="K14" s="72"/>
      <c r="L14" s="65" t="s">
        <v>3</v>
      </c>
    </row>
    <row r="15" spans="1:13" ht="15.75" thickBot="1">
      <c r="A15" s="140" t="s">
        <v>97</v>
      </c>
      <c r="B15" s="140"/>
      <c r="C15" s="140"/>
      <c r="D15" s="3"/>
      <c r="E15" s="140" t="s">
        <v>98</v>
      </c>
      <c r="F15" s="140"/>
      <c r="G15" s="140"/>
      <c r="I15" s="75" t="s">
        <v>118</v>
      </c>
      <c r="J15" s="76"/>
      <c r="K15" s="76"/>
      <c r="L15" s="66" t="s">
        <v>4</v>
      </c>
    </row>
    <row r="16" spans="1:13">
      <c r="A16" s="67" t="s">
        <v>11</v>
      </c>
      <c r="B16" s="27">
        <v>5</v>
      </c>
      <c r="C16" t="s">
        <v>12</v>
      </c>
      <c r="E16" s="28" t="s">
        <v>14</v>
      </c>
      <c r="G16" s="32">
        <v>2.5000000000000001E-2</v>
      </c>
      <c r="I16" s="49" t="s">
        <v>117</v>
      </c>
      <c r="K16" s="3"/>
      <c r="L16" s="57">
        <f>(F26/G3)^0.2-1</f>
        <v>-1.6966282967064927E-2</v>
      </c>
    </row>
    <row r="17" spans="1:12">
      <c r="A17" s="161" t="s">
        <v>59</v>
      </c>
      <c r="B17" s="21" t="s">
        <v>3</v>
      </c>
      <c r="C17" s="23">
        <v>7.0000000000000007E-2</v>
      </c>
      <c r="D17" s="37">
        <f>IF(C17=B$4,C17-0.0001,C17)</f>
        <v>7.0000000000000007E-2</v>
      </c>
      <c r="E17" s="28" t="s">
        <v>15</v>
      </c>
      <c r="G17" s="32">
        <v>2.5000000000000001E-2</v>
      </c>
      <c r="I17" s="71" t="s">
        <v>116</v>
      </c>
      <c r="K17" s="72"/>
      <c r="L17" s="54">
        <f>SUM(B29:F29)/SUM(B26:F26)</f>
        <v>0.1275</v>
      </c>
    </row>
    <row r="18" spans="1:12">
      <c r="A18" s="162"/>
      <c r="B18" s="15" t="s">
        <v>4</v>
      </c>
      <c r="C18" s="24">
        <v>0.02</v>
      </c>
      <c r="D18" s="37">
        <f>IF(C18=B$4,C18-0.0001,C18)</f>
        <v>0.02</v>
      </c>
      <c r="G18" s="11"/>
      <c r="I18" s="75" t="s">
        <v>119</v>
      </c>
      <c r="K18" s="28"/>
      <c r="L18" s="56">
        <f ca="1">(F21/G4)/G2-1</f>
        <v>-4.1251228129565609E-2</v>
      </c>
    </row>
    <row r="19" spans="1:12">
      <c r="C19" s="3"/>
      <c r="D19" s="3"/>
      <c r="E19" s="3"/>
      <c r="F19" s="3"/>
      <c r="J19" s="55"/>
      <c r="K19" s="55"/>
      <c r="L19" s="55"/>
    </row>
    <row r="20" spans="1:12" ht="15.75" thickBot="1">
      <c r="A20" s="59" t="s">
        <v>7</v>
      </c>
      <c r="B20" s="64" t="s">
        <v>92</v>
      </c>
      <c r="C20" s="64" t="s">
        <v>93</v>
      </c>
      <c r="D20" s="64" t="s">
        <v>94</v>
      </c>
      <c r="E20" s="64" t="s">
        <v>95</v>
      </c>
      <c r="F20" s="64" t="s">
        <v>8</v>
      </c>
      <c r="I20" s="157" t="s">
        <v>123</v>
      </c>
      <c r="J20" s="158"/>
      <c r="K20" s="158"/>
      <c r="L20" s="159"/>
    </row>
    <row r="21" spans="1:12">
      <c r="A21" s="16" t="s">
        <v>13</v>
      </c>
      <c r="B21" s="17">
        <f ca="1">SUM(B43:F43)</f>
        <v>36347.542648409639</v>
      </c>
      <c r="C21" s="17">
        <f ca="1">B54*F43</f>
        <v>22937.095001768997</v>
      </c>
      <c r="D21" s="17">
        <f ca="1">B51*B50</f>
        <v>80538.613052998189</v>
      </c>
      <c r="E21" s="17">
        <f>B13</f>
        <v>0</v>
      </c>
      <c r="F21" s="17">
        <f ca="1">B21+C21+D21+E21</f>
        <v>139823.25070317683</v>
      </c>
      <c r="I21" s="101"/>
      <c r="J21" s="102"/>
      <c r="K21" s="69" t="s">
        <v>120</v>
      </c>
      <c r="L21" s="70" t="s">
        <v>121</v>
      </c>
    </row>
    <row r="22" spans="1:12">
      <c r="A22" s="16" t="s">
        <v>9</v>
      </c>
      <c r="B22" s="60">
        <f ca="1">IFERROR(B21/$F21,"")</f>
        <v>0.25995349461277978</v>
      </c>
      <c r="C22" s="60">
        <f ca="1">IFERROR(C21/$F21,"")</f>
        <v>0.1640434969607516</v>
      </c>
      <c r="D22" s="60">
        <f ca="1">IFERROR(D21/$F21,"")</f>
        <v>0.57600300842646857</v>
      </c>
      <c r="E22" s="60">
        <f ca="1">IFERROR(E21/$F21,"")</f>
        <v>0</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43465</v>
      </c>
      <c r="C25" s="33">
        <f t="shared" ref="C25:F25" si="0">DATE(YEAR($B$3)+C24,MONTH($B$3),DAY($B$3))</f>
        <v>43830</v>
      </c>
      <c r="D25" s="33">
        <f t="shared" si="0"/>
        <v>44196</v>
      </c>
      <c r="E25" s="33">
        <f t="shared" si="0"/>
        <v>44561</v>
      </c>
      <c r="F25" s="33">
        <f t="shared" si="0"/>
        <v>44926</v>
      </c>
      <c r="I25" s="9" t="s">
        <v>57</v>
      </c>
      <c r="L25" s="9">
        <v>26.29</v>
      </c>
    </row>
    <row r="26" spans="1:12" hidden="1">
      <c r="A26" t="s">
        <v>37</v>
      </c>
      <c r="B26" s="30">
        <f>(CHOOSE($B36,C8,C9)+1)*G3</f>
        <v>77430.100000000006</v>
      </c>
      <c r="C26" s="30">
        <f>(CHOOSE($B36,D8,D9)+1)*B26</f>
        <v>75545.34</v>
      </c>
      <c r="D26" s="30">
        <f>(CHOOSE($B36,E8,E9)+1)*C26</f>
        <v>74141.968500000003</v>
      </c>
      <c r="E26" s="30">
        <f>(CHOOSE($B36,F8,F9)+1)*D26</f>
        <v>73186.492274999997</v>
      </c>
      <c r="F26" s="30">
        <f>(CHOOSE($B36,G8,G9)+1)*E26</f>
        <v>72649.499703750014</v>
      </c>
    </row>
    <row r="27" spans="1:12" hidden="1">
      <c r="A27" t="s">
        <v>71</v>
      </c>
      <c r="B27" s="58">
        <f>CHOOSE($B37,C10,C11)*B26</f>
        <v>13163.117000000002</v>
      </c>
      <c r="C27" s="5">
        <f>CHOOSE($B37,D10,D11)*C26</f>
        <v>12842.7078</v>
      </c>
      <c r="D27" s="5">
        <f>CHOOSE($B37,E10,E11)*D26</f>
        <v>12604.134645000002</v>
      </c>
      <c r="E27" s="5">
        <f>CHOOSE($B37,F10,F11)*E26</f>
        <v>12441.703686750001</v>
      </c>
      <c r="F27" s="5">
        <f>CHOOSE($B37,G10,G11)*F26</f>
        <v>12350.414949637503</v>
      </c>
    </row>
    <row r="28" spans="1:12" hidden="1">
      <c r="A28" t="s">
        <v>72</v>
      </c>
      <c r="B28" s="58">
        <f>-C12*B27</f>
        <v>-3290.7792500000005</v>
      </c>
      <c r="C28" s="58">
        <f t="shared" ref="C28:E28" si="1">-D12*C27</f>
        <v>-3210.67695</v>
      </c>
      <c r="D28" s="58">
        <f t="shared" si="1"/>
        <v>-3151.0336612500005</v>
      </c>
      <c r="E28" s="58">
        <f t="shared" si="1"/>
        <v>-3110.4259216875002</v>
      </c>
      <c r="F28" s="58">
        <f>-G12*F27</f>
        <v>-3087.6037374093758</v>
      </c>
    </row>
    <row r="29" spans="1:12" ht="15.75" hidden="1" thickBot="1">
      <c r="A29" t="s">
        <v>73</v>
      </c>
      <c r="B29" s="4">
        <f>B27+B28</f>
        <v>9872.3377500000024</v>
      </c>
      <c r="C29" s="4">
        <f>C27+C28</f>
        <v>9632.0308499999992</v>
      </c>
      <c r="D29" s="4">
        <f>D27+D28</f>
        <v>9453.1009837500023</v>
      </c>
      <c r="E29" s="4">
        <f>E27+E28</f>
        <v>9331.2777650625012</v>
      </c>
      <c r="F29" s="4">
        <f>F27+F28</f>
        <v>9262.8112122281273</v>
      </c>
    </row>
    <row r="30" spans="1:12" ht="15.7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60" t="s">
        <v>35</v>
      </c>
      <c r="B41" s="160"/>
      <c r="C41" s="160"/>
      <c r="D41" s="160"/>
      <c r="E41" s="160"/>
      <c r="F41" s="160"/>
    </row>
    <row r="42" spans="1:16" hidden="1">
      <c r="A42" t="s">
        <v>21</v>
      </c>
      <c r="B42" s="19">
        <f ca="1">B25-TODAY()</f>
        <v>299</v>
      </c>
      <c r="C42" s="19">
        <f ca="1">C25-TODAY()</f>
        <v>664</v>
      </c>
      <c r="D42" s="19">
        <f ca="1">D25-TODAY()</f>
        <v>1030</v>
      </c>
      <c r="E42" s="19">
        <f ca="1">E25-TODAY()</f>
        <v>1395</v>
      </c>
      <c r="F42" s="19">
        <f ca="1">F25-TODAY()</f>
        <v>1760</v>
      </c>
      <c r="P42" s="38"/>
    </row>
    <row r="43" spans="1:16" hidden="1">
      <c r="A43" t="s">
        <v>22</v>
      </c>
      <c r="B43" s="17">
        <f ca="1">B29*EXP(-$B$4*B42/365.25)</f>
        <v>9096.3655257357841</v>
      </c>
      <c r="C43" s="17">
        <f ca="1">C29*EXP(-$B$4*C42/365.25)</f>
        <v>8030.9337120372757</v>
      </c>
      <c r="D43" s="17">
        <f ca="1">D29*EXP(-$B$4*D42/365.25)</f>
        <v>7130.2350700296511</v>
      </c>
      <c r="E43" s="17">
        <f ca="1">E29*EXP(-$B$4*E42/365.25)</f>
        <v>6368.995551886077</v>
      </c>
      <c r="F43" s="17">
        <f ca="1">F29*EXP(-$B$4*F42/365.25)</f>
        <v>5721.0127887208509</v>
      </c>
      <c r="O43" s="39"/>
    </row>
    <row r="44" spans="1:16" hidden="1"/>
    <row r="45" spans="1:16" hidden="1">
      <c r="A45" s="6" t="s">
        <v>26</v>
      </c>
      <c r="B45">
        <f>MONTH(B3)</f>
        <v>12</v>
      </c>
    </row>
    <row r="46" spans="1:16" hidden="1">
      <c r="A46" s="6" t="s">
        <v>27</v>
      </c>
      <c r="B46">
        <f>DAY(B3)</f>
        <v>31</v>
      </c>
    </row>
    <row r="47" spans="1:16" hidden="1">
      <c r="A47" s="6" t="s">
        <v>23</v>
      </c>
      <c r="B47">
        <f>YEAR(F25)+B16</f>
        <v>2027</v>
      </c>
    </row>
    <row r="48" spans="1:16" hidden="1">
      <c r="A48" s="6" t="s">
        <v>28</v>
      </c>
      <c r="B48">
        <f ca="1">DATE(B47,B45,B46)-TODAY()</f>
        <v>3586</v>
      </c>
      <c r="C48" s="34"/>
    </row>
    <row r="49" spans="1:7" hidden="1">
      <c r="A49" s="6" t="s">
        <v>24</v>
      </c>
      <c r="B49" s="17">
        <f>F29*EXP(CHOOSE(B38,C17,C18)*B16)</f>
        <v>10236.989571379563</v>
      </c>
    </row>
    <row r="50" spans="1:7" hidden="1">
      <c r="A50" s="6" t="s">
        <v>29</v>
      </c>
      <c r="B50" s="17">
        <f ca="1">B49*EXP(-B4*B48/365.25)</f>
        <v>3835.1720501427712</v>
      </c>
    </row>
    <row r="51" spans="1:7" hidden="1">
      <c r="A51" s="6" t="s">
        <v>31</v>
      </c>
      <c r="B51" s="17">
        <f>(1+SUM(G16,G17))/(B4-SUM(G16,G17))</f>
        <v>21</v>
      </c>
    </row>
    <row r="52" spans="1:7" hidden="1">
      <c r="A52" s="6" t="s">
        <v>32</v>
      </c>
      <c r="B52" s="18">
        <f>(1+CHOOSE(B38,D17,D18))/(B4-(CHOOSE(B38,D17,D18)))</f>
        <v>12.75</v>
      </c>
      <c r="F52" s="38"/>
    </row>
    <row r="53" spans="1:7" hidden="1">
      <c r="A53" s="6" t="s">
        <v>33</v>
      </c>
      <c r="B53" s="38">
        <f>1-(((1+CHOOSE(B38,D17,D18))/(1+B4))^B16)</f>
        <v>0.31445268691284145</v>
      </c>
      <c r="F53" s="39"/>
    </row>
    <row r="54" spans="1:7" hidden="1">
      <c r="A54" s="6" t="s">
        <v>30</v>
      </c>
      <c r="B54" s="36">
        <f>B52*B53</f>
        <v>4.0092717581387287</v>
      </c>
    </row>
    <row r="55" spans="1:7" hidden="1"/>
    <row r="56" spans="1:7" hidden="1"/>
    <row r="57" spans="1:7" hidden="1">
      <c r="A57" s="41" t="s">
        <v>36</v>
      </c>
    </row>
    <row r="58" spans="1:7" hidden="1">
      <c r="A58" t="s">
        <v>37</v>
      </c>
      <c r="B58" s="18">
        <f>$G$3*(1+C$9)</f>
        <v>77430.100000000006</v>
      </c>
      <c r="C58" s="18">
        <f>B58*(1+D$9)</f>
        <v>75545.34</v>
      </c>
      <c r="D58" s="18">
        <f>C58*(1+E$9)</f>
        <v>74141.968500000003</v>
      </c>
      <c r="E58" s="18">
        <f>D58*(1+F$9)</f>
        <v>73186.492274999997</v>
      </c>
      <c r="F58" s="18">
        <f>E58*(1+G$9)</f>
        <v>72649.499703750014</v>
      </c>
    </row>
    <row r="59" spans="1:7" hidden="1">
      <c r="A59" t="s">
        <v>38</v>
      </c>
      <c r="B59" s="18">
        <f>B58*C$11</f>
        <v>11614.515000000001</v>
      </c>
      <c r="C59" s="18">
        <f>C58*D$11</f>
        <v>11331.800999999999</v>
      </c>
      <c r="D59" s="18">
        <f>D58*E$11</f>
        <v>11121.295275</v>
      </c>
      <c r="E59" s="18">
        <f>E58*F$11</f>
        <v>10977.973841249999</v>
      </c>
      <c r="F59" s="18">
        <f>F58*G$11</f>
        <v>10897.424955562501</v>
      </c>
    </row>
    <row r="60" spans="1:7" hidden="1">
      <c r="B60" s="20">
        <f>B59/B58</f>
        <v>0.15</v>
      </c>
      <c r="C60" s="20">
        <f>C59/C58</f>
        <v>0.15</v>
      </c>
      <c r="D60" s="20">
        <f>D59/D58</f>
        <v>0.15</v>
      </c>
      <c r="E60" s="20">
        <f>E59/E58</f>
        <v>0.15</v>
      </c>
      <c r="F60" s="20">
        <f>F59/F58</f>
        <v>0.15</v>
      </c>
    </row>
    <row r="61" spans="1:7" hidden="1">
      <c r="A61" t="s">
        <v>39</v>
      </c>
      <c r="B61" s="38">
        <f t="shared" ref="B61:E61" si="2">B59-(C$12*B59)</f>
        <v>8710.8862500000014</v>
      </c>
      <c r="C61" s="38">
        <f t="shared" si="2"/>
        <v>8498.8507499999996</v>
      </c>
      <c r="D61" s="38">
        <f t="shared" si="2"/>
        <v>8340.9714562500012</v>
      </c>
      <c r="E61" s="38">
        <f t="shared" si="2"/>
        <v>8233.4803809374989</v>
      </c>
      <c r="F61" s="38">
        <f>F59-(G$12*F59)</f>
        <v>8173.0687166718762</v>
      </c>
    </row>
    <row r="62" spans="1:7" hidden="1">
      <c r="A62" t="s">
        <v>42</v>
      </c>
      <c r="B62" s="18">
        <f ca="1">B61*EXP(-$B$4*B$42/365.25)</f>
        <v>8026.2048756492204</v>
      </c>
      <c r="C62" s="18">
        <f ca="1">C61*EXP(-$B$4*C$42/365.25)</f>
        <v>7086.1179812093615</v>
      </c>
      <c r="D62" s="18">
        <f ca="1">D61*EXP(-$B$4*D$42/365.25)</f>
        <v>6291.3838853202797</v>
      </c>
      <c r="E62" s="18">
        <f ca="1">E61*EXP(-$B$4*E$42/365.25)</f>
        <v>5619.7019575465374</v>
      </c>
      <c r="F62" s="18">
        <f ca="1">F61*EXP(-$B$4*F$42/365.25)</f>
        <v>5047.9524606360446</v>
      </c>
      <c r="G62" s="18">
        <f ca="1">SUM(B62:F62)</f>
        <v>32071.361160361441</v>
      </c>
    </row>
    <row r="63" spans="1:7" hidden="1">
      <c r="A63" t="s">
        <v>41</v>
      </c>
      <c r="F63" s="38">
        <f>((1+$D$18)/($B$4-$D$18)*(1-(((1+$D$18)/(1+$B$4))^$B$16)))</f>
        <v>4.0092717581387287</v>
      </c>
      <c r="G63" s="18">
        <f ca="1">F63*F62</f>
        <v>20238.613236854995</v>
      </c>
    </row>
    <row r="64" spans="1:7" hidden="1">
      <c r="A64" t="s">
        <v>40</v>
      </c>
      <c r="B64" s="38"/>
      <c r="F64" s="18">
        <f>F61*EXP($C$18*$B$16)</f>
        <v>9032.637857099613</v>
      </c>
    </row>
    <row r="65" spans="1:7" hidden="1">
      <c r="A65" t="s">
        <v>43</v>
      </c>
      <c r="F65" s="18">
        <f ca="1">F64*EXP(-$B$4*B$48/365.25)</f>
        <v>3383.9753383612683</v>
      </c>
      <c r="G65" s="42">
        <f ca="1">F65*B$51</f>
        <v>71063.482105586634</v>
      </c>
    </row>
    <row r="66" spans="1:7" hidden="1">
      <c r="A66" t="s">
        <v>44</v>
      </c>
      <c r="G66" s="18">
        <f ca="1">SUM(G62:G63,G65)</f>
        <v>123373.45650280308</v>
      </c>
    </row>
    <row r="67" spans="1:7" hidden="1">
      <c r="A67" t="s">
        <v>25</v>
      </c>
      <c r="G67" s="43">
        <f ca="1">G66/$G$4</f>
        <v>133.9315637316416</v>
      </c>
    </row>
    <row r="68" spans="1:7" hidden="1">
      <c r="G68" s="38"/>
    </row>
    <row r="69" spans="1:7" hidden="1">
      <c r="A69" s="41" t="s">
        <v>45</v>
      </c>
    </row>
    <row r="70" spans="1:7" hidden="1">
      <c r="A70" t="s">
        <v>37</v>
      </c>
      <c r="B70" s="18">
        <f>$G$3*(1+C$9)</f>
        <v>77430.100000000006</v>
      </c>
      <c r="C70" s="18">
        <f>B70*(1+D$9)</f>
        <v>75545.34</v>
      </c>
      <c r="D70" s="18">
        <f>C70*(1+E$9)</f>
        <v>74141.968500000003</v>
      </c>
      <c r="E70" s="18">
        <f>D70*(1+F$9)</f>
        <v>73186.492274999997</v>
      </c>
      <c r="F70" s="18">
        <f>E70*(1+G$9)</f>
        <v>72649.499703750014</v>
      </c>
    </row>
    <row r="71" spans="1:7" hidden="1">
      <c r="A71" t="s">
        <v>38</v>
      </c>
      <c r="B71" s="18">
        <f>B70*C$11</f>
        <v>11614.515000000001</v>
      </c>
      <c r="C71" s="18">
        <f>C70*D$11</f>
        <v>11331.800999999999</v>
      </c>
      <c r="D71" s="18">
        <f>D70*E$11</f>
        <v>11121.295275</v>
      </c>
      <c r="E71" s="18">
        <f>E70*F$11</f>
        <v>10977.973841249999</v>
      </c>
      <c r="F71" s="18">
        <f>F70*G$11</f>
        <v>10897.424955562501</v>
      </c>
    </row>
    <row r="72" spans="1:7" hidden="1">
      <c r="A72" t="s">
        <v>39</v>
      </c>
      <c r="B72" s="38">
        <f t="shared" ref="B72:E72" si="3">B71-(C$12*B71)</f>
        <v>8710.8862500000014</v>
      </c>
      <c r="C72" s="38">
        <f t="shared" si="3"/>
        <v>8498.8507499999996</v>
      </c>
      <c r="D72" s="38">
        <f t="shared" si="3"/>
        <v>8340.9714562500012</v>
      </c>
      <c r="E72" s="38">
        <f t="shared" si="3"/>
        <v>8233.4803809374989</v>
      </c>
      <c r="F72" s="38">
        <f>F71-(G$12*F71)</f>
        <v>8173.0687166718762</v>
      </c>
    </row>
    <row r="73" spans="1:7" hidden="1">
      <c r="A73" t="s">
        <v>42</v>
      </c>
      <c r="B73" s="18">
        <f ca="1">B72*EXP(-$B$4*B$42/365.25)</f>
        <v>8026.2048756492204</v>
      </c>
      <c r="C73" s="18">
        <f ca="1">C72*EXP(-$B$4*C$42/365.25)</f>
        <v>7086.1179812093615</v>
      </c>
      <c r="D73" s="18">
        <f ca="1">D72*EXP(-$B$4*D$42/365.25)</f>
        <v>6291.3838853202797</v>
      </c>
      <c r="E73" s="18">
        <f ca="1">E72*EXP(-$B$4*E$42/365.25)</f>
        <v>5619.7019575465374</v>
      </c>
      <c r="F73" s="18">
        <f ca="1">F72*EXP(-$B$4*F$42/365.25)</f>
        <v>5047.9524606360446</v>
      </c>
      <c r="G73" s="18">
        <f ca="1">SUM(B73:F73)</f>
        <v>32071.361160361441</v>
      </c>
    </row>
    <row r="74" spans="1:7" hidden="1">
      <c r="A74" t="s">
        <v>41</v>
      </c>
      <c r="F74" s="38">
        <f>((1+$D$17)/($B$4-$D$17)*(1-(((1+$D$17)/(1+$B$4))^$B$16)))</f>
        <v>4.6054841458295943</v>
      </c>
      <c r="G74" s="18">
        <f ca="1">F74*F73</f>
        <v>23248.265026360794</v>
      </c>
    </row>
    <row r="75" spans="1:7" hidden="1">
      <c r="A75" t="s">
        <v>40</v>
      </c>
      <c r="B75" s="38"/>
      <c r="F75" s="18">
        <f>F72*EXP($C$17*$B$16)</f>
        <v>11598.136588251798</v>
      </c>
    </row>
    <row r="76" spans="1:7" hidden="1">
      <c r="A76" t="s">
        <v>43</v>
      </c>
      <c r="F76" s="18">
        <f ca="1">F75*EXP(-$B$4*B$48/365.25)</f>
        <v>4345.1103439003682</v>
      </c>
      <c r="G76" s="42">
        <f ca="1">F76*B$51</f>
        <v>91247.317221907739</v>
      </c>
    </row>
    <row r="77" spans="1:7" hidden="1">
      <c r="A77" t="s">
        <v>44</v>
      </c>
      <c r="G77" s="18">
        <f ca="1">SUM(G73:G74,G76)</f>
        <v>146566.94340862997</v>
      </c>
    </row>
    <row r="78" spans="1:7" hidden="1">
      <c r="A78" t="s">
        <v>25</v>
      </c>
      <c r="G78" s="43">
        <f ca="1">G77/$G$4</f>
        <v>159.1099129304109</v>
      </c>
    </row>
    <row r="79" spans="1:7" hidden="1"/>
    <row r="80" spans="1:7" hidden="1">
      <c r="A80" s="41" t="s">
        <v>46</v>
      </c>
    </row>
    <row r="81" spans="1:7" hidden="1">
      <c r="A81" t="s">
        <v>37</v>
      </c>
      <c r="B81" s="18">
        <f>$G$3*(1+C$9)</f>
        <v>77430.100000000006</v>
      </c>
      <c r="C81" s="18">
        <f>B81*(1+D$9)</f>
        <v>75545.34</v>
      </c>
      <c r="D81" s="18">
        <f>C81*(1+E$9)</f>
        <v>74141.968500000003</v>
      </c>
      <c r="E81" s="18">
        <f>D81*(1+F$9)</f>
        <v>73186.492274999997</v>
      </c>
      <c r="F81" s="18">
        <f>E81*(1+G$9)</f>
        <v>72649.499703750014</v>
      </c>
    </row>
    <row r="82" spans="1:7" hidden="1">
      <c r="A82" t="s">
        <v>38</v>
      </c>
      <c r="B82" s="18">
        <f>B81*C$10</f>
        <v>13163.117000000002</v>
      </c>
      <c r="C82" s="18">
        <f>C81*D$10</f>
        <v>12842.7078</v>
      </c>
      <c r="D82" s="18">
        <f>D81*E$10</f>
        <v>12604.134645000002</v>
      </c>
      <c r="E82" s="18">
        <f>E81*F$10</f>
        <v>12441.703686750001</v>
      </c>
      <c r="F82" s="18">
        <f>F81*G$10</f>
        <v>12350.414949637503</v>
      </c>
    </row>
    <row r="83" spans="1:7" hidden="1">
      <c r="A83" t="s">
        <v>39</v>
      </c>
      <c r="B83" s="38">
        <f>B82-(C$12*B82)</f>
        <v>9872.3377500000024</v>
      </c>
      <c r="C83" s="38">
        <f t="shared" ref="C83:F83" si="4">C82-(D$12*C82)</f>
        <v>9632.0308499999992</v>
      </c>
      <c r="D83" s="38">
        <f t="shared" si="4"/>
        <v>9453.1009837500023</v>
      </c>
      <c r="E83" s="38">
        <f t="shared" si="4"/>
        <v>9331.2777650625012</v>
      </c>
      <c r="F83" s="38">
        <f t="shared" si="4"/>
        <v>9262.8112122281273</v>
      </c>
    </row>
    <row r="84" spans="1:7" hidden="1">
      <c r="A84" t="s">
        <v>42</v>
      </c>
      <c r="B84" s="18">
        <f ca="1">B83*EXP(-$B$4*B$42/365.25)</f>
        <v>9096.3655257357841</v>
      </c>
      <c r="C84" s="18">
        <f ca="1">C83*EXP(-$B$4*C$42/365.25)</f>
        <v>8030.9337120372757</v>
      </c>
      <c r="D84" s="18">
        <f ca="1">D83*EXP(-$B$4*D$42/365.25)</f>
        <v>7130.2350700296511</v>
      </c>
      <c r="E84" s="18">
        <f ca="1">E83*EXP(-$B$4*E$42/365.25)</f>
        <v>6368.995551886077</v>
      </c>
      <c r="F84" s="18">
        <f ca="1">F83*EXP(-$B$4*F$42/365.25)</f>
        <v>5721.0127887208509</v>
      </c>
      <c r="G84" s="18">
        <f ca="1">SUM(B84:F84)</f>
        <v>36347.542648409639</v>
      </c>
    </row>
    <row r="85" spans="1:7" hidden="1">
      <c r="A85" t="s">
        <v>41</v>
      </c>
      <c r="F85" s="38">
        <f>((1+$D$18)/($B$4-$D$18)*(1-(((1+$D$18)/(1+$B$4))^$B$16)))</f>
        <v>4.0092717581387287</v>
      </c>
      <c r="G85" s="18">
        <f ca="1">F85*F84</f>
        <v>22937.095001768997</v>
      </c>
    </row>
    <row r="86" spans="1:7" hidden="1">
      <c r="A86" t="s">
        <v>40</v>
      </c>
      <c r="B86" s="38"/>
      <c r="F86" s="18">
        <f>F83*EXP($C$18*$B$16)</f>
        <v>10236.989571379563</v>
      </c>
    </row>
    <row r="87" spans="1:7" hidden="1">
      <c r="A87" t="s">
        <v>43</v>
      </c>
      <c r="F87" s="18">
        <f ca="1">F86*EXP(-$B$4*B$48/365.25)</f>
        <v>3835.1720501427712</v>
      </c>
      <c r="G87" s="42">
        <f ca="1">F87*B$51</f>
        <v>80538.613052998189</v>
      </c>
    </row>
    <row r="88" spans="1:7" hidden="1">
      <c r="A88" t="s">
        <v>44</v>
      </c>
      <c r="G88" s="18">
        <f ca="1">SUM(G84:G85,G87)</f>
        <v>139823.25070317683</v>
      </c>
    </row>
    <row r="89" spans="1:7" hidden="1">
      <c r="A89" t="s">
        <v>25</v>
      </c>
      <c r="G89" s="43">
        <f ca="1">G88/$G$4</f>
        <v>151.78910556252717</v>
      </c>
    </row>
    <row r="90" spans="1:7" hidden="1"/>
    <row r="91" spans="1:7" hidden="1">
      <c r="A91" s="41" t="s">
        <v>47</v>
      </c>
    </row>
    <row r="92" spans="1:7" hidden="1">
      <c r="A92" t="s">
        <v>37</v>
      </c>
      <c r="B92" s="18">
        <f>$G$3*(1+C$9)</f>
        <v>77430.100000000006</v>
      </c>
      <c r="C92" s="18">
        <f>B92*(1+D$9)</f>
        <v>75545.34</v>
      </c>
      <c r="D92" s="18">
        <f>C92*(1+E$9)</f>
        <v>74141.968500000003</v>
      </c>
      <c r="E92" s="18">
        <f>D92*(1+F$9)</f>
        <v>73186.492274999997</v>
      </c>
      <c r="F92" s="18">
        <f>E92*(1+G$9)</f>
        <v>72649.499703750014</v>
      </c>
    </row>
    <row r="93" spans="1:7" hidden="1">
      <c r="A93" t="s">
        <v>38</v>
      </c>
      <c r="B93" s="18">
        <f>B92*C$10</f>
        <v>13163.117000000002</v>
      </c>
      <c r="C93" s="18">
        <f>C92*D$10</f>
        <v>12842.7078</v>
      </c>
      <c r="D93" s="18">
        <f>D92*E$10</f>
        <v>12604.134645000002</v>
      </c>
      <c r="E93" s="18">
        <f>E92*F$10</f>
        <v>12441.703686750001</v>
      </c>
      <c r="F93" s="18">
        <f>F92*G$10</f>
        <v>12350.414949637503</v>
      </c>
    </row>
    <row r="94" spans="1:7" hidden="1">
      <c r="A94" t="s">
        <v>39</v>
      </c>
      <c r="B94" s="38">
        <f>B93-(C$12*B93)</f>
        <v>9872.3377500000024</v>
      </c>
      <c r="C94" s="38">
        <f t="shared" ref="C94" si="5">C93-(D$12*C93)</f>
        <v>9632.0308499999992</v>
      </c>
      <c r="D94" s="38">
        <f t="shared" ref="D94" si="6">D93-(E$12*D93)</f>
        <v>9453.1009837500023</v>
      </c>
      <c r="E94" s="38">
        <f t="shared" ref="E94" si="7">E93-(F$12*E93)</f>
        <v>9331.2777650625012</v>
      </c>
      <c r="F94" s="38">
        <f t="shared" ref="F94" si="8">F93-(G$12*F93)</f>
        <v>9262.8112122281273</v>
      </c>
    </row>
    <row r="95" spans="1:7" hidden="1">
      <c r="A95" t="s">
        <v>42</v>
      </c>
      <c r="B95" s="18">
        <f ca="1">B94*EXP(-$B$4*B$42/365.25)</f>
        <v>9096.3655257357841</v>
      </c>
      <c r="C95" s="18">
        <f ca="1">C94*EXP(-$B$4*C$42/365.25)</f>
        <v>8030.9337120372757</v>
      </c>
      <c r="D95" s="18">
        <f ca="1">D94*EXP(-$B$4*D$42/365.25)</f>
        <v>7130.2350700296511</v>
      </c>
      <c r="E95" s="18">
        <f ca="1">E94*EXP(-$B$4*E$42/365.25)</f>
        <v>6368.995551886077</v>
      </c>
      <c r="F95" s="18">
        <f ca="1">F94*EXP(-$B$4*F$42/365.25)</f>
        <v>5721.0127887208509</v>
      </c>
      <c r="G95" s="18">
        <f ca="1">SUM(B95:F95)</f>
        <v>36347.542648409639</v>
      </c>
    </row>
    <row r="96" spans="1:7" hidden="1">
      <c r="A96" t="s">
        <v>41</v>
      </c>
      <c r="F96" s="38">
        <f>((1+$D$17)/($B$4-$D$17)*(1-(((1+$D$17)/(1+$B$4))^$B$16)))</f>
        <v>4.6054841458295943</v>
      </c>
      <c r="G96" s="18">
        <f ca="1">F96*F95</f>
        <v>26348.033696542232</v>
      </c>
    </row>
    <row r="97" spans="1:7" hidden="1">
      <c r="A97" t="s">
        <v>40</v>
      </c>
      <c r="B97" s="38"/>
      <c r="F97" s="18">
        <f>F94*EXP($C$17*$B$16)</f>
        <v>13144.554800018706</v>
      </c>
    </row>
    <row r="98" spans="1:7" hidden="1">
      <c r="A98" t="s">
        <v>43</v>
      </c>
      <c r="F98" s="18">
        <f ca="1">F97*EXP(-$B$4*B$48/365.25)</f>
        <v>4924.4583897537514</v>
      </c>
      <c r="G98" s="42">
        <f ca="1">F98*B$51</f>
        <v>103413.62618482878</v>
      </c>
    </row>
    <row r="99" spans="1:7" hidden="1">
      <c r="A99" t="s">
        <v>44</v>
      </c>
      <c r="G99" s="18">
        <f ca="1">SUM(G95:G96,G98)</f>
        <v>166109.20252978065</v>
      </c>
    </row>
    <row r="100" spans="1:7" hidden="1">
      <c r="A100" t="s">
        <v>25</v>
      </c>
      <c r="G100" s="43">
        <f ca="1">G99/$G$4</f>
        <v>180.32456798779901</v>
      </c>
    </row>
    <row r="101" spans="1:7" hidden="1"/>
    <row r="102" spans="1:7" hidden="1">
      <c r="A102" s="41" t="s">
        <v>48</v>
      </c>
    </row>
    <row r="103" spans="1:7" hidden="1">
      <c r="A103" t="s">
        <v>37</v>
      </c>
      <c r="B103" s="18">
        <f>$G$3*(1+C$8)</f>
        <v>79255.100000000006</v>
      </c>
      <c r="C103" s="18">
        <f>B103*(1+D$8)</f>
        <v>80323.19</v>
      </c>
      <c r="D103" s="18">
        <f>C103*(1+E$8)</f>
        <v>82363.703000000023</v>
      </c>
      <c r="E103" s="18">
        <f>D103*(1+F$8)</f>
        <v>85408.904540000032</v>
      </c>
      <c r="F103" s="18">
        <f>E103*(1+G$8)</f>
        <v>89503.374546800056</v>
      </c>
    </row>
    <row r="104" spans="1:7" hidden="1">
      <c r="A104" t="s">
        <v>38</v>
      </c>
      <c r="B104" s="18">
        <f>B103*C$11</f>
        <v>11888.265000000001</v>
      </c>
      <c r="C104" s="18">
        <f>C103*D$11</f>
        <v>12048.478499999999</v>
      </c>
      <c r="D104" s="18">
        <f>D103*E$11</f>
        <v>12354.555450000003</v>
      </c>
      <c r="E104" s="18">
        <f>E103*F$11</f>
        <v>12811.335681000004</v>
      </c>
      <c r="F104" s="18">
        <f>F103*G$11</f>
        <v>13425.506182020008</v>
      </c>
    </row>
    <row r="105" spans="1:7" hidden="1">
      <c r="A105" t="s">
        <v>39</v>
      </c>
      <c r="B105" s="38">
        <f>B104-(C$12*B104)</f>
        <v>8916.1987500000014</v>
      </c>
      <c r="C105" s="38">
        <f t="shared" ref="C105" si="9">C104-(D$12*C104)</f>
        <v>9036.3588749999999</v>
      </c>
      <c r="D105" s="38">
        <f t="shared" ref="D105" si="10">D104-(E$12*D104)</f>
        <v>9265.9165875000035</v>
      </c>
      <c r="E105" s="38">
        <f t="shared" ref="E105" si="11">E104-(F$12*E104)</f>
        <v>9608.5017607500031</v>
      </c>
      <c r="F105" s="38">
        <f t="shared" ref="F105" si="12">F104-(G$12*F104)</f>
        <v>10069.129636515006</v>
      </c>
    </row>
    <row r="106" spans="1:7" hidden="1">
      <c r="A106" t="s">
        <v>42</v>
      </c>
      <c r="B106" s="18">
        <f ca="1">B105*EXP(-$B$4*B$42/365.25)</f>
        <v>8215.3796784463211</v>
      </c>
      <c r="C106" s="18">
        <f ca="1">C105*EXP(-$B$4*C$42/365.25)</f>
        <v>7534.2781032833527</v>
      </c>
      <c r="D106" s="18">
        <f ca="1">D105*EXP(-$B$4*D$42/365.25)</f>
        <v>6989.0466125067296</v>
      </c>
      <c r="E106" s="18">
        <f ca="1">E105*EXP(-$B$4*E$42/365.25)</f>
        <v>6558.212767348311</v>
      </c>
      <c r="F106" s="18">
        <f ca="1">F105*EXP(-$B$4*F$42/365.25)</f>
        <v>6219.0212131003491</v>
      </c>
      <c r="G106" s="18">
        <f ca="1">SUM(B106:F106)</f>
        <v>35515.938374685065</v>
      </c>
    </row>
    <row r="107" spans="1:7" hidden="1">
      <c r="A107" t="s">
        <v>41</v>
      </c>
      <c r="F107" s="38">
        <f>((1+$D$18)/($B$4-$D$18)*(1-(((1+$D$18)/(1+$B$4))^$B$16)))</f>
        <v>4.0092717581387287</v>
      </c>
      <c r="G107" s="18">
        <f ca="1">F107*F106</f>
        <v>24933.746112948887</v>
      </c>
    </row>
    <row r="108" spans="1:7" hidden="1">
      <c r="A108" t="s">
        <v>40</v>
      </c>
      <c r="B108" s="38"/>
      <c r="F108" s="18">
        <f>F105*EXP($C$18*$B$16)</f>
        <v>11128.109244610003</v>
      </c>
    </row>
    <row r="109" spans="1:7" hidden="1">
      <c r="A109" t="s">
        <v>43</v>
      </c>
      <c r="F109" s="18">
        <f ca="1">F108*EXP(-$B$4*B$48/365.25)</f>
        <v>4169.019929958984</v>
      </c>
      <c r="G109" s="42">
        <f ca="1">F109*B$51</f>
        <v>87549.418529138668</v>
      </c>
    </row>
    <row r="110" spans="1:7" hidden="1">
      <c r="A110" t="s">
        <v>44</v>
      </c>
      <c r="G110" s="18">
        <f ca="1">SUM(G106:G107,G109)</f>
        <v>147999.10301677263</v>
      </c>
    </row>
    <row r="111" spans="1:7" hidden="1">
      <c r="A111" t="s">
        <v>25</v>
      </c>
      <c r="G111" s="43">
        <f ca="1">G110/$G$4</f>
        <v>160.66463451533693</v>
      </c>
    </row>
    <row r="112" spans="1:7" hidden="1"/>
    <row r="113" spans="1:7" hidden="1">
      <c r="A113" s="41" t="s">
        <v>49</v>
      </c>
    </row>
    <row r="114" spans="1:7" hidden="1">
      <c r="A114" t="s">
        <v>37</v>
      </c>
      <c r="B114" s="18">
        <f>$G$3*(1+C$8)</f>
        <v>79255.100000000006</v>
      </c>
      <c r="C114" s="18">
        <f>B114*(1+D$8)</f>
        <v>80323.19</v>
      </c>
      <c r="D114" s="18">
        <f>C114*(1+E$8)</f>
        <v>82363.703000000023</v>
      </c>
      <c r="E114" s="18">
        <f>D114*(1+F$8)</f>
        <v>85408.904540000032</v>
      </c>
      <c r="F114" s="18">
        <f>E114*(1+G$8)</f>
        <v>89503.374546800056</v>
      </c>
    </row>
    <row r="115" spans="1:7" hidden="1">
      <c r="A115" t="s">
        <v>38</v>
      </c>
      <c r="B115" s="18">
        <f>B114*C$11</f>
        <v>11888.265000000001</v>
      </c>
      <c r="C115" s="18">
        <f>C114*D$11</f>
        <v>12048.478499999999</v>
      </c>
      <c r="D115" s="18">
        <f>D114*E$11</f>
        <v>12354.555450000003</v>
      </c>
      <c r="E115" s="18">
        <f>E114*F$11</f>
        <v>12811.335681000004</v>
      </c>
      <c r="F115" s="18">
        <f>F114*G$11</f>
        <v>13425.506182020008</v>
      </c>
    </row>
    <row r="116" spans="1:7" hidden="1">
      <c r="A116" t="s">
        <v>39</v>
      </c>
      <c r="B116" s="38">
        <f>B115-(C$12*B115)</f>
        <v>8916.1987500000014</v>
      </c>
      <c r="C116" s="38">
        <f t="shared" ref="C116" si="13">C115-(D$12*C115)</f>
        <v>9036.3588749999999</v>
      </c>
      <c r="D116" s="38">
        <f t="shared" ref="D116" si="14">D115-(E$12*D115)</f>
        <v>9265.9165875000035</v>
      </c>
      <c r="E116" s="38">
        <f t="shared" ref="E116" si="15">E115-(F$12*E115)</f>
        <v>9608.5017607500031</v>
      </c>
      <c r="F116" s="38">
        <f t="shared" ref="F116" si="16">F115-(G$12*F115)</f>
        <v>10069.129636515006</v>
      </c>
    </row>
    <row r="117" spans="1:7" hidden="1">
      <c r="A117" t="s">
        <v>42</v>
      </c>
      <c r="B117" s="18">
        <f ca="1">B116*EXP(-$B$4*B$42/365.25)</f>
        <v>8215.3796784463211</v>
      </c>
      <c r="C117" s="18">
        <f ca="1">C116*EXP(-$B$4*C$42/365.25)</f>
        <v>7534.2781032833527</v>
      </c>
      <c r="D117" s="18">
        <f ca="1">D116*EXP(-$B$4*D$42/365.25)</f>
        <v>6989.0466125067296</v>
      </c>
      <c r="E117" s="18">
        <f ca="1">E116*EXP(-$B$4*E$42/365.25)</f>
        <v>6558.212767348311</v>
      </c>
      <c r="F117" s="18">
        <f ca="1">F116*EXP(-$B$4*F$42/365.25)</f>
        <v>6219.0212131003491</v>
      </c>
      <c r="G117" s="18">
        <f ca="1">SUM(B117:F117)</f>
        <v>35515.938374685065</v>
      </c>
    </row>
    <row r="118" spans="1:7" hidden="1">
      <c r="A118" t="s">
        <v>41</v>
      </c>
      <c r="F118" s="38">
        <f>((1+$D$17)/($B$4-$D$17)*(1-(((1+$D$17)/(1+$B$4))^$B$16)))</f>
        <v>4.6054841458295943</v>
      </c>
      <c r="G118" s="18">
        <f ca="1">F118*F117</f>
        <v>28641.603599511589</v>
      </c>
    </row>
    <row r="119" spans="1:7" hidden="1">
      <c r="A119" t="s">
        <v>40</v>
      </c>
      <c r="B119" s="38"/>
      <c r="F119" s="18">
        <f>F116*EXP($C$17*$B$16)</f>
        <v>14288.775109757067</v>
      </c>
    </row>
    <row r="120" spans="1:7" hidden="1">
      <c r="A120" t="s">
        <v>43</v>
      </c>
      <c r="F120" s="18">
        <f ca="1">F119*EXP(-$B$4*B$48/365.25)</f>
        <v>5353.1275527450825</v>
      </c>
      <c r="G120" s="42">
        <f ca="1">F120*B$51</f>
        <v>112415.67860764674</v>
      </c>
    </row>
    <row r="121" spans="1:7" hidden="1">
      <c r="A121" t="s">
        <v>44</v>
      </c>
      <c r="G121" s="18">
        <f ca="1">SUM(G117:G118,G120)</f>
        <v>176573.2205818434</v>
      </c>
    </row>
    <row r="122" spans="1:7" hidden="1">
      <c r="A122" t="s">
        <v>25</v>
      </c>
      <c r="G122" s="43">
        <f ca="1">G121/$G$4</f>
        <v>191.68408032015432</v>
      </c>
    </row>
    <row r="123" spans="1:7" hidden="1"/>
    <row r="124" spans="1:7" hidden="1">
      <c r="A124" s="41" t="s">
        <v>50</v>
      </c>
    </row>
    <row r="125" spans="1:7" hidden="1">
      <c r="A125" t="s">
        <v>37</v>
      </c>
      <c r="B125" s="18">
        <f>$G$3*(1+C$8)</f>
        <v>79255.100000000006</v>
      </c>
      <c r="C125" s="18">
        <f>B125*(1+D$8)</f>
        <v>80323.19</v>
      </c>
      <c r="D125" s="18">
        <f>C125*(1+E$8)</f>
        <v>82363.703000000023</v>
      </c>
      <c r="E125" s="18">
        <f>D125*(1+F$8)</f>
        <v>85408.904540000032</v>
      </c>
      <c r="F125" s="18">
        <f>E125*(1+G$8)</f>
        <v>89503.374546800056</v>
      </c>
    </row>
    <row r="126" spans="1:7" hidden="1">
      <c r="A126" t="s">
        <v>38</v>
      </c>
      <c r="B126" s="18">
        <f>B125*C$10</f>
        <v>13473.367000000002</v>
      </c>
      <c r="C126" s="18">
        <f>C125*D$10</f>
        <v>13654.942300000001</v>
      </c>
      <c r="D126" s="18">
        <f>D125*E$10</f>
        <v>14001.829510000005</v>
      </c>
      <c r="E126" s="18">
        <f>E125*F$10</f>
        <v>14519.513771800006</v>
      </c>
      <c r="F126" s="18">
        <f>F125*G$10</f>
        <v>15215.57367295601</v>
      </c>
    </row>
    <row r="127" spans="1:7" hidden="1">
      <c r="A127" t="s">
        <v>39</v>
      </c>
      <c r="B127" s="38">
        <f>B126-(C$12*B126)</f>
        <v>10105.025250000002</v>
      </c>
      <c r="C127" s="38">
        <f t="shared" ref="C127" si="17">C126-(D$12*C126)</f>
        <v>10241.206725</v>
      </c>
      <c r="D127" s="38">
        <f t="shared" ref="D127" si="18">D126-(E$12*D126)</f>
        <v>10501.372132500004</v>
      </c>
      <c r="E127" s="38">
        <f t="shared" ref="E127" si="19">E126-(F$12*E126)</f>
        <v>10889.635328850005</v>
      </c>
      <c r="F127" s="38">
        <f t="shared" ref="F127" si="20">F126-(G$12*F126)</f>
        <v>11411.680254717008</v>
      </c>
    </row>
    <row r="128" spans="1:7" hidden="1">
      <c r="A128" t="s">
        <v>42</v>
      </c>
      <c r="B128" s="18">
        <f ca="1">B127*EXP(-$B$4*B$42/365.25)</f>
        <v>9310.763635572499</v>
      </c>
      <c r="C128" s="18">
        <f ca="1">C127*EXP(-$B$4*C$42/365.25)</f>
        <v>8538.8485170544664</v>
      </c>
      <c r="D128" s="18">
        <f ca="1">D127*EXP(-$B$4*D$42/365.25)</f>
        <v>7920.9194941742944</v>
      </c>
      <c r="E128" s="18">
        <f ca="1">E127*EXP(-$B$4*E$42/365.25)</f>
        <v>7432.6411363280868</v>
      </c>
      <c r="F128" s="18">
        <f ca="1">F127*EXP(-$B$4*F$42/365.25)</f>
        <v>7048.2240415137294</v>
      </c>
      <c r="G128" s="18">
        <f ca="1">SUM(B128:F128)</f>
        <v>40251.396824643074</v>
      </c>
    </row>
    <row r="129" spans="1:11" hidden="1">
      <c r="A129" t="s">
        <v>41</v>
      </c>
      <c r="F129" s="38">
        <f>((1+$D$18)/($B$4-$D$18)*(1-(((1+$D$18)/(1+$B$4))^$B$16)))</f>
        <v>4.0092717581387287</v>
      </c>
      <c r="G129" s="18">
        <f ca="1">F129*F128</f>
        <v>28258.245594675405</v>
      </c>
    </row>
    <row r="130" spans="1:11" hidden="1">
      <c r="A130" t="s">
        <v>40</v>
      </c>
      <c r="B130" s="38"/>
      <c r="F130" s="18">
        <f>F127*EXP($C$18*$B$16)</f>
        <v>12611.857143891337</v>
      </c>
    </row>
    <row r="131" spans="1:11" hidden="1">
      <c r="A131" t="s">
        <v>43</v>
      </c>
      <c r="F131" s="18">
        <f ca="1">F130*EXP(-$B$4*B$48/365.25)</f>
        <v>4724.8892539535145</v>
      </c>
      <c r="G131" s="42">
        <f ca="1">F131*B$51</f>
        <v>99222.67433302381</v>
      </c>
    </row>
    <row r="132" spans="1:11" hidden="1">
      <c r="A132" t="s">
        <v>44</v>
      </c>
      <c r="G132" s="18">
        <f ca="1">SUM(G128:G129,G131)</f>
        <v>167732.31675234227</v>
      </c>
    </row>
    <row r="133" spans="1:11" hidden="1">
      <c r="A133" t="s">
        <v>25</v>
      </c>
      <c r="G133" s="43">
        <f ca="1">G132/$G$4</f>
        <v>182.08658578404848</v>
      </c>
    </row>
    <row r="134" spans="1:11" hidden="1"/>
    <row r="135" spans="1:11" hidden="1">
      <c r="A135" s="41" t="s">
        <v>49</v>
      </c>
    </row>
    <row r="136" spans="1:11" hidden="1">
      <c r="A136" t="s">
        <v>37</v>
      </c>
      <c r="B136" s="18">
        <f>$G$3*(1+C$8)</f>
        <v>79255.100000000006</v>
      </c>
      <c r="C136" s="18">
        <f>B136*(1+D$8)</f>
        <v>80323.19</v>
      </c>
      <c r="D136" s="18">
        <f>C136*(1+E$8)</f>
        <v>82363.703000000023</v>
      </c>
      <c r="E136" s="18">
        <f>D136*(1+F$8)</f>
        <v>85408.904540000032</v>
      </c>
      <c r="F136" s="18">
        <f>E136*(1+G$8)</f>
        <v>89503.374546800056</v>
      </c>
    </row>
    <row r="137" spans="1:11" hidden="1">
      <c r="A137" t="s">
        <v>38</v>
      </c>
      <c r="B137" s="18">
        <f>B136*C$10</f>
        <v>13473.367000000002</v>
      </c>
      <c r="C137" s="18">
        <f>C136*D$10</f>
        <v>13654.942300000001</v>
      </c>
      <c r="D137" s="18">
        <f>D136*E$10</f>
        <v>14001.829510000005</v>
      </c>
      <c r="E137" s="18">
        <f>E136*F$10</f>
        <v>14519.513771800006</v>
      </c>
      <c r="F137" s="18">
        <f>F136*G$10</f>
        <v>15215.57367295601</v>
      </c>
    </row>
    <row r="138" spans="1:11" hidden="1">
      <c r="A138" t="s">
        <v>39</v>
      </c>
      <c r="B138" s="38">
        <f>B137-(C$12*B137)</f>
        <v>10105.025250000002</v>
      </c>
      <c r="C138" s="38">
        <f t="shared" ref="C138" si="21">C137-(D$12*C137)</f>
        <v>10241.206725</v>
      </c>
      <c r="D138" s="38">
        <f t="shared" ref="D138" si="22">D137-(E$12*D137)</f>
        <v>10501.372132500004</v>
      </c>
      <c r="E138" s="38">
        <f t="shared" ref="E138" si="23">E137-(F$12*E137)</f>
        <v>10889.635328850005</v>
      </c>
      <c r="F138" s="38">
        <f t="shared" ref="F138" si="24">F137-(G$12*F137)</f>
        <v>11411.680254717008</v>
      </c>
    </row>
    <row r="139" spans="1:11" hidden="1">
      <c r="A139" t="s">
        <v>42</v>
      </c>
      <c r="B139" s="18">
        <f ca="1">B138*EXP(-$B$4*B$42/365.25)</f>
        <v>9310.763635572499</v>
      </c>
      <c r="C139" s="18">
        <f ca="1">C138*EXP(-$B$4*C$42/365.25)</f>
        <v>8538.8485170544664</v>
      </c>
      <c r="D139" s="18">
        <f ca="1">D138*EXP(-$B$4*D$42/365.25)</f>
        <v>7920.9194941742944</v>
      </c>
      <c r="E139" s="18">
        <f ca="1">E138*EXP(-$B$4*E$42/365.25)</f>
        <v>7432.6411363280868</v>
      </c>
      <c r="F139" s="18">
        <f ca="1">F138*EXP(-$B$4*F$42/365.25)</f>
        <v>7048.2240415137294</v>
      </c>
      <c r="G139" s="18">
        <f ca="1">SUM(B139:F139)</f>
        <v>40251.396824643074</v>
      </c>
      <c r="H139" s="18"/>
      <c r="I139" s="18"/>
      <c r="J139" s="18"/>
      <c r="K139" s="18"/>
    </row>
    <row r="140" spans="1:11" hidden="1">
      <c r="A140" t="s">
        <v>41</v>
      </c>
      <c r="F140" s="38">
        <f>((1+$D$17)/($B$4-$D$17)*(1-(((1+$D$17)/(1+$B$4))^$B$16)))</f>
        <v>4.6054841458295943</v>
      </c>
      <c r="G140" s="18">
        <f ca="1">F140*F139</f>
        <v>32460.484079446469</v>
      </c>
    </row>
    <row r="141" spans="1:11" hidden="1">
      <c r="A141" t="s">
        <v>40</v>
      </c>
      <c r="B141" s="38"/>
      <c r="F141" s="18">
        <f>F138*EXP($C$17*$B$16)</f>
        <v>16193.945124391343</v>
      </c>
    </row>
    <row r="142" spans="1:11" hidden="1">
      <c r="A142" t="s">
        <v>43</v>
      </c>
      <c r="F142" s="18">
        <f ca="1">F141*EXP(-$B$4*B$48/365.25)</f>
        <v>6066.8778931110937</v>
      </c>
      <c r="G142" s="42">
        <f ca="1">F142*B$51</f>
        <v>127404.43575533296</v>
      </c>
    </row>
    <row r="143" spans="1:11" hidden="1">
      <c r="A143" t="s">
        <v>44</v>
      </c>
      <c r="G143" s="18">
        <f ca="1">SUM(G139:G140,G142)</f>
        <v>200116.3166594225</v>
      </c>
    </row>
    <row r="144" spans="1:11" hidden="1">
      <c r="A144" t="s">
        <v>25</v>
      </c>
      <c r="G144" s="43">
        <f ca="1">G143/$G$4</f>
        <v>217.24195769617486</v>
      </c>
    </row>
    <row r="145" spans="11:11">
      <c r="K145" s="105"/>
    </row>
  </sheetData>
  <mergeCells count="20">
    <mergeCell ref="I12:L12"/>
    <mergeCell ref="I20:L20"/>
    <mergeCell ref="A41:F41"/>
    <mergeCell ref="A17:A18"/>
    <mergeCell ref="E15:G15"/>
    <mergeCell ref="A15:C15"/>
    <mergeCell ref="A1:G1"/>
    <mergeCell ref="A10:A11"/>
    <mergeCell ref="A8:A9"/>
    <mergeCell ref="I6:J6"/>
    <mergeCell ref="I7:J7"/>
    <mergeCell ref="I8:J8"/>
    <mergeCell ref="I9:J9"/>
    <mergeCell ref="I1:J1"/>
    <mergeCell ref="I2:J2"/>
    <mergeCell ref="I3:J3"/>
    <mergeCell ref="I4:J4"/>
    <mergeCell ref="I5:J5"/>
    <mergeCell ref="A6:G6"/>
    <mergeCell ref="I11:L11"/>
  </mergeCells>
  <dataValidations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3"/>
  <sheetViews>
    <sheetView topLeftCell="A31" workbookViewId="0">
      <selection activeCell="B73" sqref="B73"/>
    </sheetView>
  </sheetViews>
  <sheetFormatPr defaultRowHeight="15"/>
  <cols>
    <col min="1" max="1" width="10.7109375" bestFit="1" customWidth="1"/>
    <col min="3" max="3" width="10.71093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v>19007.3</v>
      </c>
    </row>
    <row r="71" spans="1:2">
      <c r="A71" s="133">
        <v>42916</v>
      </c>
      <c r="B71">
        <v>19246.7</v>
      </c>
    </row>
    <row r="72" spans="1:2">
      <c r="A72" s="133">
        <v>43008</v>
      </c>
      <c r="B72">
        <v>19500.601999999999</v>
      </c>
    </row>
    <row r="73" spans="1:2">
      <c r="A73" s="133">
        <v>43100</v>
      </c>
      <c r="B73">
        <v>19738.886999999999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workbookViewId="0"/>
  </sheetViews>
  <sheetFormatPr defaultRowHeight="15"/>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showGridLines="0" zoomScale="120" zoomScaleNormal="120" workbookViewId="0">
      <selection activeCell="B33" sqref="B33"/>
    </sheetView>
  </sheetViews>
  <sheetFormatPr defaultRowHeight="15"/>
  <cols>
    <col min="1" max="1" width="38.7109375" bestFit="1" customWidth="1"/>
    <col min="2" max="7" width="11.7109375" customWidth="1"/>
    <col min="8" max="11" width="10.7109375" customWidth="1"/>
    <col min="12" max="12" width="11.5703125" bestFit="1" customWidth="1"/>
    <col min="13" max="13" width="12.5703125" bestFit="1" customWidth="1"/>
    <col min="14" max="14" width="15" bestFit="1" customWidth="1"/>
    <col min="15" max="15" width="13.140625" bestFit="1" customWidth="1"/>
    <col min="16" max="16" width="16" bestFit="1" customWidth="1"/>
  </cols>
  <sheetData>
    <row r="1" spans="1:11" s="9" customFormat="1" ht="15.7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39813</v>
      </c>
      <c r="C2" s="106">
        <f>DATE(YEAR('Valuation Model'!$B3)+C1,MONTH('Valuation Model'!$B3),DAY('Valuation Model'!$B3))</f>
        <v>40178</v>
      </c>
      <c r="D2" s="106">
        <f>DATE(YEAR('Valuation Model'!$B3)+D1,MONTH('Valuation Model'!$B3),DAY('Valuation Model'!$B3))</f>
        <v>40543</v>
      </c>
      <c r="E2" s="106">
        <f>DATE(YEAR('Valuation Model'!$B3)+E1,MONTH('Valuation Model'!$B3),DAY('Valuation Model'!$B3))</f>
        <v>40908</v>
      </c>
      <c r="F2" s="106">
        <f>DATE(YEAR('Valuation Model'!$B3)+F1,MONTH('Valuation Model'!$B3),DAY('Valuation Model'!$B3))</f>
        <v>41274</v>
      </c>
      <c r="G2" s="106">
        <f>DATE(YEAR('Valuation Model'!$B3)+G1,MONTH('Valuation Model'!$B3),DAY('Valuation Model'!$B3))</f>
        <v>41639</v>
      </c>
      <c r="H2" s="106">
        <f>DATE(YEAR('Valuation Model'!$B3)+H1,MONTH('Valuation Model'!$B3),DAY('Valuation Model'!$B3))</f>
        <v>42004</v>
      </c>
      <c r="I2" s="106">
        <f>DATE(YEAR('Valuation Model'!$B3)+I1,MONTH('Valuation Model'!$B3),DAY('Valuation Model'!$B3))</f>
        <v>42369</v>
      </c>
      <c r="J2" s="106">
        <f>DATE(YEAR('Valuation Model'!$B3)+J1,MONTH('Valuation Model'!$B3),DAY('Valuation Model'!$B3))</f>
        <v>42735</v>
      </c>
      <c r="K2" s="106">
        <f>DATE(YEAR('Valuation Model'!$B3)+K1,MONTH('Valuation Model'!$B3),DAY('Valuation Model'!$B3))</f>
        <v>43100</v>
      </c>
    </row>
    <row r="3" spans="1:11">
      <c r="A3" s="1" t="s">
        <v>37</v>
      </c>
      <c r="B3" s="107">
        <v>103630</v>
      </c>
      <c r="C3" s="107">
        <v>95758</v>
      </c>
      <c r="D3" s="107">
        <v>99870</v>
      </c>
      <c r="E3" s="107">
        <v>106916</v>
      </c>
      <c r="F3" s="107">
        <v>104507</v>
      </c>
      <c r="G3" s="107">
        <v>98367</v>
      </c>
      <c r="H3" s="107">
        <v>92793</v>
      </c>
      <c r="I3" s="107">
        <v>81741</v>
      </c>
      <c r="J3" s="107">
        <v>79919</v>
      </c>
      <c r="K3" s="107">
        <v>79139</v>
      </c>
    </row>
    <row r="4" spans="1:11">
      <c r="A4" s="108" t="s">
        <v>131</v>
      </c>
      <c r="B4" s="108"/>
      <c r="C4" s="109">
        <f t="shared" ref="C4:F4" si="0">IFERROR(C3/B3-1,"")</f>
        <v>-7.5962559104506444E-2</v>
      </c>
      <c r="D4" s="109">
        <f t="shared" si="0"/>
        <v>4.2941581904383908E-2</v>
      </c>
      <c r="E4" s="109">
        <f t="shared" si="0"/>
        <v>7.0551717232402167E-2</v>
      </c>
      <c r="F4" s="109">
        <f t="shared" si="0"/>
        <v>-2.2531707134572976E-2</v>
      </c>
      <c r="G4" s="109">
        <f>IFERROR(G3/F3-1,"")</f>
        <v>-5.8752045317538526E-2</v>
      </c>
      <c r="H4" s="109">
        <f t="shared" ref="H4:K4" si="1">IFERROR(H3/G3-1,"")</f>
        <v>-5.6665345085242014E-2</v>
      </c>
      <c r="I4" s="109">
        <f t="shared" si="1"/>
        <v>-0.119103811709935</v>
      </c>
      <c r="J4" s="109">
        <f t="shared" si="1"/>
        <v>-2.2289915709374775E-2</v>
      </c>
      <c r="K4" s="109">
        <f t="shared" si="1"/>
        <v>-9.7598818804038867E-3</v>
      </c>
    </row>
    <row r="5" spans="1:11">
      <c r="A5" s="108" t="s">
        <v>132</v>
      </c>
      <c r="B5" s="108"/>
      <c r="C5" s="108"/>
      <c r="D5" s="108"/>
      <c r="E5" s="109">
        <f>IFERROR(SUM(C3:E3)/SUM(B3:D3)-1,"")</f>
        <v>1.0980491749593924E-2</v>
      </c>
      <c r="F5" s="109">
        <f t="shared" ref="F5:K5" si="2">IFERROR(SUM(D3:F3)/SUM(C3:E3)-1,"")</f>
        <v>2.8918107779364322E-2</v>
      </c>
      <c r="G5" s="109">
        <f t="shared" si="2"/>
        <v>-4.8282486274988656E-3</v>
      </c>
      <c r="H5" s="109">
        <f t="shared" si="2"/>
        <v>-4.5588947351431597E-2</v>
      </c>
      <c r="I5" s="109">
        <f t="shared" si="2"/>
        <v>-7.6998785796182911E-2</v>
      </c>
      <c r="J5" s="109">
        <f t="shared" si="2"/>
        <v>-6.7599605717824418E-2</v>
      </c>
      <c r="K5" s="109">
        <f t="shared" si="2"/>
        <v>-5.3660204438540693E-2</v>
      </c>
    </row>
    <row r="6" spans="1:11">
      <c r="A6" s="108" t="s">
        <v>133</v>
      </c>
      <c r="B6" s="108"/>
      <c r="C6" s="108"/>
      <c r="D6" s="108"/>
      <c r="E6" s="108"/>
      <c r="F6" s="110"/>
      <c r="G6" s="109">
        <f>IFERROR(SUM(C3:G3)/SUM(B3:F3)-1,"")</f>
        <v>-1.0305846506919236E-2</v>
      </c>
      <c r="H6" s="109">
        <f t="shared" ref="H6:K6" si="3">IFERROR(SUM(D3:H3)/SUM(C3:G3)-1,"")</f>
        <v>-5.8664313498925091E-3</v>
      </c>
      <c r="I6" s="109">
        <f t="shared" si="3"/>
        <v>-3.6080986679351112E-2</v>
      </c>
      <c r="J6" s="109">
        <f t="shared" si="3"/>
        <v>-5.574161098768593E-2</v>
      </c>
      <c r="K6" s="109">
        <f t="shared" si="3"/>
        <v>-5.5470155927815346E-2</v>
      </c>
    </row>
    <row r="8" spans="1:11" s="9" customFormat="1" ht="15.75" thickBot="1">
      <c r="A8" s="59" t="s">
        <v>134</v>
      </c>
      <c r="B8" s="111">
        <f t="shared" ref="B8:J8" si="4">B2</f>
        <v>39813</v>
      </c>
      <c r="C8" s="111">
        <f t="shared" si="4"/>
        <v>40178</v>
      </c>
      <c r="D8" s="111">
        <f t="shared" si="4"/>
        <v>40543</v>
      </c>
      <c r="E8" s="111">
        <f t="shared" si="4"/>
        <v>40908</v>
      </c>
      <c r="F8" s="111">
        <f t="shared" si="4"/>
        <v>41274</v>
      </c>
      <c r="G8" s="111">
        <f t="shared" si="4"/>
        <v>41639</v>
      </c>
      <c r="H8" s="111">
        <f t="shared" si="4"/>
        <v>42004</v>
      </c>
      <c r="I8" s="111">
        <f t="shared" si="4"/>
        <v>42369</v>
      </c>
      <c r="J8" s="111">
        <f t="shared" si="4"/>
        <v>42735</v>
      </c>
      <c r="K8" s="111">
        <f>K2</f>
        <v>43100</v>
      </c>
    </row>
    <row r="9" spans="1:11">
      <c r="A9" s="112" t="s">
        <v>135</v>
      </c>
      <c r="B9" s="113">
        <v>18812</v>
      </c>
      <c r="C9" s="113">
        <v>20773</v>
      </c>
      <c r="D9" s="113">
        <v>19549</v>
      </c>
      <c r="E9" s="113">
        <v>19846</v>
      </c>
      <c r="F9" s="113">
        <v>19586</v>
      </c>
      <c r="G9" s="113">
        <v>17485</v>
      </c>
      <c r="H9" s="113">
        <v>16868</v>
      </c>
      <c r="I9" s="113">
        <v>17008</v>
      </c>
      <c r="J9" s="113">
        <v>16959</v>
      </c>
      <c r="K9" s="113">
        <v>16724</v>
      </c>
    </row>
    <row r="10" spans="1:11">
      <c r="A10" s="114" t="s">
        <v>136</v>
      </c>
      <c r="B10" s="113">
        <v>-4119.2999999999993</v>
      </c>
      <c r="C10" s="113">
        <v>-3908.8280000000013</v>
      </c>
      <c r="D10" s="113">
        <v>-3726.4830000000002</v>
      </c>
      <c r="E10" s="113">
        <v>-3711.0259999999998</v>
      </c>
      <c r="F10" s="113">
        <v>-3449.6640000000007</v>
      </c>
      <c r="G10" s="113">
        <v>-3366.9239999999991</v>
      </c>
      <c r="H10" s="113">
        <v>-3151.2900000000009</v>
      </c>
      <c r="I10" s="113">
        <v>-2659.3379999999997</v>
      </c>
      <c r="J10" s="113">
        <v>-2879.5550000000003</v>
      </c>
      <c r="K10" s="113">
        <v>-3096.5249999999996</v>
      </c>
    </row>
    <row r="11" spans="1:11">
      <c r="A11" s="115" t="s">
        <v>137</v>
      </c>
      <c r="B11" s="5">
        <f t="shared" ref="B11:K11" si="5">B9+B10</f>
        <v>14692.7</v>
      </c>
      <c r="C11" s="5">
        <f t="shared" si="5"/>
        <v>16864.171999999999</v>
      </c>
      <c r="D11" s="5">
        <f t="shared" si="5"/>
        <v>15822.517</v>
      </c>
      <c r="E11" s="5">
        <f t="shared" si="5"/>
        <v>16134.974</v>
      </c>
      <c r="F11" s="5">
        <f t="shared" si="5"/>
        <v>16136.335999999999</v>
      </c>
      <c r="G11" s="5">
        <f t="shared" si="5"/>
        <v>14118.076000000001</v>
      </c>
      <c r="H11" s="5">
        <f t="shared" si="5"/>
        <v>13716.71</v>
      </c>
      <c r="I11" s="5">
        <f t="shared" si="5"/>
        <v>14348.662</v>
      </c>
      <c r="J11" s="5">
        <f t="shared" si="5"/>
        <v>14079.445</v>
      </c>
      <c r="K11" s="5">
        <f t="shared" si="5"/>
        <v>13627.475</v>
      </c>
    </row>
    <row r="12" spans="1:11">
      <c r="A12" s="108" t="s">
        <v>127</v>
      </c>
      <c r="B12" s="109">
        <f t="shared" ref="B12:K12" si="6">IFERROR(B11/B$3,"")</f>
        <v>0.14178037247901187</v>
      </c>
      <c r="C12" s="109">
        <f t="shared" si="6"/>
        <v>0.17611240836274775</v>
      </c>
      <c r="D12" s="109">
        <f t="shared" si="6"/>
        <v>0.15843113046961049</v>
      </c>
      <c r="E12" s="109">
        <f t="shared" si="6"/>
        <v>0.1509126229937521</v>
      </c>
      <c r="F12" s="109">
        <f t="shared" si="6"/>
        <v>0.15440435568909258</v>
      </c>
      <c r="G12" s="109">
        <f t="shared" si="6"/>
        <v>0.14352451533542754</v>
      </c>
      <c r="H12" s="109">
        <f t="shared" si="6"/>
        <v>0.14782052525513778</v>
      </c>
      <c r="I12" s="109">
        <f t="shared" si="6"/>
        <v>0.17553812652157424</v>
      </c>
      <c r="J12" s="109">
        <f t="shared" si="6"/>
        <v>0.17617143607903002</v>
      </c>
      <c r="K12" s="109">
        <f t="shared" si="6"/>
        <v>0.17219670453253139</v>
      </c>
    </row>
    <row r="13" spans="1:11">
      <c r="A13" s="108" t="s">
        <v>138</v>
      </c>
      <c r="B13" s="108"/>
      <c r="C13" s="109">
        <f t="shared" ref="C13:F13" si="7">IFERROR(C11/B11-1,"")</f>
        <v>0.14779257726626138</v>
      </c>
      <c r="D13" s="109">
        <f t="shared" si="7"/>
        <v>-6.1767337287593982E-2</v>
      </c>
      <c r="E13" s="109">
        <f t="shared" si="7"/>
        <v>1.9747616640260146E-2</v>
      </c>
      <c r="F13" s="109">
        <f t="shared" si="7"/>
        <v>8.44129032993024E-5</v>
      </c>
      <c r="G13" s="109">
        <f>IFERROR(G11/F11-1,"")</f>
        <v>-0.12507548181941663</v>
      </c>
      <c r="H13" s="109">
        <f t="shared" ref="H13:K13" si="8">IFERROR(H11/G11-1,"")</f>
        <v>-2.8429227891959341E-2</v>
      </c>
      <c r="I13" s="109">
        <f t="shared" si="8"/>
        <v>4.607168920243998E-2</v>
      </c>
      <c r="J13" s="109">
        <f t="shared" si="8"/>
        <v>-1.8762515975357164E-2</v>
      </c>
      <c r="K13" s="109">
        <f t="shared" si="8"/>
        <v>-3.210140740632883E-2</v>
      </c>
    </row>
    <row r="14" spans="1:11">
      <c r="A14" s="108" t="s">
        <v>139</v>
      </c>
      <c r="B14" s="108"/>
      <c r="C14" s="108"/>
      <c r="D14" s="108"/>
      <c r="E14" s="109">
        <f>IFERROR(SUM(C11:E11)/SUM(B11:D11)-1,"")</f>
        <v>3.0440958198089119E-2</v>
      </c>
      <c r="F14" s="109">
        <f t="shared" ref="F14:K14" si="9">IFERROR(SUM(D11:F11)/SUM(C11:E11)-1,"")</f>
        <v>-1.4908054238136015E-2</v>
      </c>
      <c r="G14" s="109">
        <f t="shared" si="9"/>
        <v>-3.5439912070212354E-2</v>
      </c>
      <c r="H14" s="109">
        <f t="shared" si="9"/>
        <v>-5.2129683285741191E-2</v>
      </c>
      <c r="I14" s="109">
        <f t="shared" si="9"/>
        <v>-4.0655637579591453E-2</v>
      </c>
      <c r="J14" s="109">
        <f t="shared" si="9"/>
        <v>-9.1578573662376428E-4</v>
      </c>
      <c r="K14" s="109">
        <f t="shared" si="9"/>
        <v>-2.1173422107869655E-3</v>
      </c>
    </row>
    <row r="15" spans="1:11">
      <c r="A15" s="108" t="s">
        <v>133</v>
      </c>
      <c r="B15" s="108"/>
      <c r="C15" s="108"/>
      <c r="D15" s="108"/>
      <c r="E15" s="108"/>
      <c r="F15" s="109"/>
      <c r="G15" s="109">
        <f>IFERROR(SUM(C11:G11)/SUM(B11:F11)-1,"")</f>
        <v>-7.2142995254818043E-3</v>
      </c>
      <c r="H15" s="109">
        <f t="shared" ref="H15:K15" si="10">IFERROR(SUM(D11:H11)/SUM(C11:G11)-1,"")</f>
        <v>-3.9802961894605748E-2</v>
      </c>
      <c r="I15" s="109">
        <f t="shared" si="10"/>
        <v>-1.9411061808807362E-2</v>
      </c>
      <c r="J15" s="109">
        <f t="shared" si="10"/>
        <v>-2.7607758794945148E-2</v>
      </c>
      <c r="K15" s="109">
        <f t="shared" si="10"/>
        <v>-3.4653145270372887E-2</v>
      </c>
    </row>
    <row r="16" spans="1:11" s="9" customFormat="1">
      <c r="A16"/>
      <c r="B16"/>
      <c r="C16"/>
      <c r="D16"/>
      <c r="E16"/>
      <c r="F16"/>
      <c r="G16"/>
      <c r="H16"/>
      <c r="I16"/>
      <c r="J16"/>
      <c r="K16"/>
    </row>
    <row r="17" spans="1:16" s="9" customFormat="1" ht="15.75" thickBot="1">
      <c r="A17" s="59" t="s">
        <v>140</v>
      </c>
      <c r="B17" s="111">
        <f t="shared" ref="B17:J17" si="11">B2</f>
        <v>39813</v>
      </c>
      <c r="C17" s="111">
        <f t="shared" si="11"/>
        <v>40178</v>
      </c>
      <c r="D17" s="111">
        <f t="shared" si="11"/>
        <v>40543</v>
      </c>
      <c r="E17" s="111">
        <f t="shared" si="11"/>
        <v>40908</v>
      </c>
      <c r="F17" s="111">
        <f t="shared" si="11"/>
        <v>41274</v>
      </c>
      <c r="G17" s="111">
        <f t="shared" si="11"/>
        <v>41639</v>
      </c>
      <c r="H17" s="111">
        <f t="shared" si="11"/>
        <v>42004</v>
      </c>
      <c r="I17" s="111">
        <f t="shared" si="11"/>
        <v>42369</v>
      </c>
      <c r="J17" s="111">
        <f t="shared" si="11"/>
        <v>42735</v>
      </c>
      <c r="K17" s="111">
        <f>K2</f>
        <v>43100</v>
      </c>
    </row>
    <row r="18" spans="1:16">
      <c r="A18" s="112" t="s">
        <v>141</v>
      </c>
      <c r="B18" s="113">
        <v>-4171</v>
      </c>
      <c r="C18" s="113">
        <v>-3447</v>
      </c>
      <c r="D18" s="113">
        <v>-4185</v>
      </c>
      <c r="E18" s="113">
        <v>-4108</v>
      </c>
      <c r="F18" s="113">
        <v>-4082</v>
      </c>
      <c r="G18" s="113">
        <v>-3623</v>
      </c>
      <c r="H18" s="113">
        <v>-3740</v>
      </c>
      <c r="I18" s="113">
        <v>-3579</v>
      </c>
      <c r="J18" s="113">
        <v>-3567</v>
      </c>
      <c r="K18" s="113">
        <v>-3229</v>
      </c>
    </row>
    <row r="19" spans="1:16" s="117" customFormat="1">
      <c r="A19" s="114" t="s">
        <v>178</v>
      </c>
      <c r="B19" s="116">
        <f t="shared" ref="B19:K19" si="12">B18-B10</f>
        <v>-51.700000000000728</v>
      </c>
      <c r="C19" s="116">
        <f t="shared" si="12"/>
        <v>461.82800000000134</v>
      </c>
      <c r="D19" s="116">
        <f t="shared" si="12"/>
        <v>-458.51699999999983</v>
      </c>
      <c r="E19" s="116">
        <f t="shared" si="12"/>
        <v>-396.97400000000016</v>
      </c>
      <c r="F19" s="116">
        <f t="shared" si="12"/>
        <v>-632.33599999999933</v>
      </c>
      <c r="G19" s="116">
        <f t="shared" si="12"/>
        <v>-256.07600000000093</v>
      </c>
      <c r="H19" s="116">
        <f t="shared" si="12"/>
        <v>-588.70999999999913</v>
      </c>
      <c r="I19" s="116">
        <f t="shared" si="12"/>
        <v>-919.66200000000026</v>
      </c>
      <c r="J19" s="116">
        <f t="shared" si="12"/>
        <v>-687.44499999999971</v>
      </c>
      <c r="K19" s="116">
        <f t="shared" si="12"/>
        <v>-132.47500000000036</v>
      </c>
    </row>
    <row r="20" spans="1:16" s="117" customFormat="1">
      <c r="A20" s="114" t="s">
        <v>142</v>
      </c>
      <c r="B20" s="113">
        <v>421</v>
      </c>
      <c r="C20" s="113">
        <v>330</v>
      </c>
      <c r="D20" s="113">
        <v>770</v>
      </c>
      <c r="E20" s="113">
        <v>608</v>
      </c>
      <c r="F20" s="113">
        <v>410</v>
      </c>
      <c r="G20" s="113">
        <v>372</v>
      </c>
      <c r="H20" s="113">
        <v>404</v>
      </c>
      <c r="I20" s="113">
        <v>370</v>
      </c>
      <c r="J20" s="113">
        <v>424</v>
      </c>
      <c r="K20" s="113">
        <v>460</v>
      </c>
    </row>
    <row r="21" spans="1:16" s="117" customFormat="1">
      <c r="A21" s="114" t="s">
        <v>143</v>
      </c>
      <c r="B21" s="113">
        <v>-6313</v>
      </c>
      <c r="C21" s="113">
        <v>-794</v>
      </c>
      <c r="D21" s="113">
        <v>-5867</v>
      </c>
      <c r="E21" s="113">
        <v>-1797</v>
      </c>
      <c r="F21" s="113">
        <v>-3722</v>
      </c>
      <c r="G21" s="113">
        <v>-3056</v>
      </c>
      <c r="H21" s="113">
        <v>-656</v>
      </c>
      <c r="I21" s="113">
        <v>-3750</v>
      </c>
      <c r="J21" s="113">
        <v>-6133</v>
      </c>
      <c r="K21" s="113">
        <v>-701</v>
      </c>
    </row>
    <row r="22" spans="1:16">
      <c r="A22" s="112" t="s">
        <v>144</v>
      </c>
      <c r="B22" s="113">
        <v>-716</v>
      </c>
      <c r="C22" s="113">
        <v>-630</v>
      </c>
      <c r="D22" s="113">
        <v>-569</v>
      </c>
      <c r="E22" s="113">
        <v>-559</v>
      </c>
      <c r="F22" s="113">
        <v>-635</v>
      </c>
      <c r="G22" s="113">
        <v>-517</v>
      </c>
      <c r="H22" s="113">
        <v>-443</v>
      </c>
      <c r="I22" s="113">
        <v>-970</v>
      </c>
      <c r="J22" s="113">
        <v>-1474</v>
      </c>
      <c r="K22" s="113">
        <v>-2572</v>
      </c>
    </row>
    <row r="23" spans="1:16">
      <c r="A23" s="112" t="s">
        <v>189</v>
      </c>
      <c r="B23" s="113">
        <v>0</v>
      </c>
      <c r="C23" s="113">
        <v>0</v>
      </c>
      <c r="D23" s="113">
        <v>0</v>
      </c>
      <c r="E23" s="113">
        <v>0</v>
      </c>
      <c r="F23" s="113">
        <v>0</v>
      </c>
      <c r="G23" s="113">
        <v>0</v>
      </c>
      <c r="H23" s="113">
        <v>0</v>
      </c>
      <c r="I23" s="113">
        <v>0</v>
      </c>
      <c r="J23" s="113">
        <v>0</v>
      </c>
      <c r="K23" s="113">
        <v>0</v>
      </c>
    </row>
    <row r="24" spans="1:16">
      <c r="A24" s="118" t="s">
        <v>145</v>
      </c>
      <c r="B24" s="119">
        <v>110.0620953</v>
      </c>
      <c r="C24" s="119">
        <v>109.27515870000001</v>
      </c>
      <c r="D24" s="119">
        <v>131.86524800000001</v>
      </c>
      <c r="E24" s="119">
        <v>170.92611110000001</v>
      </c>
      <c r="F24" s="119">
        <v>196.59096</v>
      </c>
      <c r="G24" s="119">
        <v>194.1487698</v>
      </c>
      <c r="H24" s="119">
        <v>182.30412699999999</v>
      </c>
      <c r="I24" s="119">
        <v>155.35</v>
      </c>
      <c r="J24" s="119">
        <v>150.51</v>
      </c>
      <c r="K24" s="119">
        <v>157.66</v>
      </c>
    </row>
    <row r="25" spans="1:16">
      <c r="A25" s="120" t="s">
        <v>146</v>
      </c>
      <c r="B25" s="121">
        <v>40.869011</v>
      </c>
      <c r="C25" s="121">
        <v>34.497563999999997</v>
      </c>
      <c r="D25" s="121">
        <v>37.001531999999997</v>
      </c>
      <c r="E25" s="121">
        <v>24.627321999999996</v>
      </c>
      <c r="F25" s="121">
        <v>13.270344000000001</v>
      </c>
      <c r="G25" s="121">
        <v>9.1481519999999996</v>
      </c>
      <c r="H25" s="121">
        <v>7.7262570000000004</v>
      </c>
      <c r="I25" s="121">
        <v>5.6221560000000004</v>
      </c>
      <c r="J25" s="121">
        <v>2.6415070000000003</v>
      </c>
      <c r="K25" s="121">
        <v>3.431899</v>
      </c>
      <c r="M25" s="17"/>
      <c r="N25" s="18"/>
      <c r="O25" s="18"/>
      <c r="P25" s="18"/>
    </row>
    <row r="26" spans="1:16">
      <c r="A26" s="122" t="s">
        <v>147</v>
      </c>
      <c r="B26" s="123">
        <v>3774</v>
      </c>
      <c r="C26" s="123">
        <v>3052</v>
      </c>
      <c r="D26" s="123">
        <v>3774</v>
      </c>
      <c r="E26" s="123">
        <v>2453</v>
      </c>
      <c r="F26" s="123">
        <v>1540</v>
      </c>
      <c r="G26" s="123">
        <v>1074</v>
      </c>
      <c r="H26" s="123">
        <v>709</v>
      </c>
      <c r="I26" s="123">
        <v>322</v>
      </c>
      <c r="J26" s="123">
        <v>204</v>
      </c>
      <c r="K26" s="123">
        <v>175</v>
      </c>
    </row>
    <row r="27" spans="1:16">
      <c r="A27" s="112" t="s">
        <v>148</v>
      </c>
      <c r="B27" s="124">
        <f t="shared" ref="B27:E27" si="13">-B24*B25+B26</f>
        <v>-724.12898349874831</v>
      </c>
      <c r="C27" s="124">
        <f t="shared" si="13"/>
        <v>-717.72678086340647</v>
      </c>
      <c r="D27" s="124">
        <f t="shared" si="13"/>
        <v>-1105.2161935599361</v>
      </c>
      <c r="E27" s="124">
        <f t="shared" si="13"/>
        <v>-1756.4523762674735</v>
      </c>
      <c r="F27" s="124">
        <f>-F24*F25+F26</f>
        <v>-1068.82966649024</v>
      </c>
      <c r="G27" s="124">
        <f t="shared" ref="G27:K27" si="14">-G24*G25+G26</f>
        <v>-702.10245674340945</v>
      </c>
      <c r="H27" s="124">
        <f t="shared" si="14"/>
        <v>-699.5285373626391</v>
      </c>
      <c r="I27" s="124">
        <f t="shared" si="14"/>
        <v>-551.4019346</v>
      </c>
      <c r="J27" s="124">
        <f t="shared" si="14"/>
        <v>-193.57321856999999</v>
      </c>
      <c r="K27" s="124">
        <f t="shared" si="14"/>
        <v>-366.07319633999998</v>
      </c>
    </row>
    <row r="28" spans="1:16">
      <c r="A28" s="1" t="s">
        <v>149</v>
      </c>
      <c r="B28" s="5">
        <f>B19+B20+B21+B22+B23+B27</f>
        <v>-7383.828983498749</v>
      </c>
      <c r="C28" s="5">
        <f t="shared" ref="C28:K28" si="15">C19+C20+C21+C22+C23+C27</f>
        <v>-1349.8987808634051</v>
      </c>
      <c r="D28" s="5">
        <f t="shared" si="15"/>
        <v>-7229.7331935599359</v>
      </c>
      <c r="E28" s="5">
        <f t="shared" si="15"/>
        <v>-3901.4263762674736</v>
      </c>
      <c r="F28" s="5">
        <f t="shared" si="15"/>
        <v>-5648.1656664902393</v>
      </c>
      <c r="G28" s="5">
        <f t="shared" si="15"/>
        <v>-4159.1784567434106</v>
      </c>
      <c r="H28" s="5">
        <f t="shared" si="15"/>
        <v>-1983.2385373626382</v>
      </c>
      <c r="I28" s="5">
        <f t="shared" si="15"/>
        <v>-5821.0639346000007</v>
      </c>
      <c r="J28" s="5">
        <f t="shared" si="15"/>
        <v>-8064.0182185699996</v>
      </c>
      <c r="K28" s="5">
        <f t="shared" si="15"/>
        <v>-3311.5481963400002</v>
      </c>
    </row>
    <row r="29" spans="1:16">
      <c r="A29" s="108" t="s">
        <v>150</v>
      </c>
      <c r="B29" s="109">
        <f t="shared" ref="B29:E29" si="16">IFERROR(-B28/B11,"")</f>
        <v>0.50255085746654793</v>
      </c>
      <c r="C29" s="109">
        <f t="shared" si="16"/>
        <v>8.0045363677707107E-2</v>
      </c>
      <c r="D29" s="109">
        <f t="shared" si="16"/>
        <v>0.45692687159444584</v>
      </c>
      <c r="E29" s="109">
        <f t="shared" si="16"/>
        <v>0.24179935934619254</v>
      </c>
      <c r="F29" s="109">
        <f>IFERROR(-F28/F11,"")</f>
        <v>0.3500277675483604</v>
      </c>
      <c r="G29" s="109">
        <f t="shared" ref="G29:K29" si="17">IFERROR(-G28/G11,"")</f>
        <v>0.2945995231038146</v>
      </c>
      <c r="H29" s="109">
        <f t="shared" si="17"/>
        <v>0.14458558483503978</v>
      </c>
      <c r="I29" s="109">
        <f t="shared" si="17"/>
        <v>0.40568688109037626</v>
      </c>
      <c r="J29" s="109">
        <f t="shared" si="17"/>
        <v>0.5727511431430713</v>
      </c>
      <c r="K29" s="109">
        <f t="shared" si="17"/>
        <v>0.24300526666458755</v>
      </c>
    </row>
    <row r="31" spans="1:16" s="9" customFormat="1" ht="15.75" thickBot="1">
      <c r="A31" s="59" t="s">
        <v>151</v>
      </c>
      <c r="B31" s="111">
        <f t="shared" ref="B31:J31" si="18">B2</f>
        <v>39813</v>
      </c>
      <c r="C31" s="111">
        <f t="shared" si="18"/>
        <v>40178</v>
      </c>
      <c r="D31" s="111">
        <f t="shared" si="18"/>
        <v>40543</v>
      </c>
      <c r="E31" s="111">
        <f t="shared" si="18"/>
        <v>40908</v>
      </c>
      <c r="F31" s="111">
        <f t="shared" si="18"/>
        <v>41274</v>
      </c>
      <c r="G31" s="111">
        <f t="shared" si="18"/>
        <v>41639</v>
      </c>
      <c r="H31" s="111">
        <f t="shared" si="18"/>
        <v>42004</v>
      </c>
      <c r="I31" s="111">
        <f t="shared" si="18"/>
        <v>42369</v>
      </c>
      <c r="J31" s="111">
        <f t="shared" si="18"/>
        <v>42735</v>
      </c>
      <c r="K31" s="111">
        <f>K2</f>
        <v>43100</v>
      </c>
    </row>
    <row r="32" spans="1:16" ht="15.75" thickBot="1">
      <c r="A32" s="125" t="s">
        <v>152</v>
      </c>
      <c r="B32" s="4">
        <f t="shared" ref="B32:K32" si="19">B11+B28</f>
        <v>7308.8710165012517</v>
      </c>
      <c r="C32" s="4">
        <f t="shared" si="19"/>
        <v>15514.273219136594</v>
      </c>
      <c r="D32" s="4">
        <f t="shared" si="19"/>
        <v>8592.7838064400639</v>
      </c>
      <c r="E32" s="4">
        <f t="shared" si="19"/>
        <v>12233.547623732527</v>
      </c>
      <c r="F32" s="4">
        <f t="shared" si="19"/>
        <v>10488.170333509759</v>
      </c>
      <c r="G32" s="4">
        <f t="shared" si="19"/>
        <v>9958.8975432565894</v>
      </c>
      <c r="H32" s="4">
        <f t="shared" si="19"/>
        <v>11733.471462637361</v>
      </c>
      <c r="I32" s="4">
        <f t="shared" si="19"/>
        <v>8527.5980653999995</v>
      </c>
      <c r="J32" s="4">
        <f t="shared" si="19"/>
        <v>6015.4267814300001</v>
      </c>
      <c r="K32" s="4">
        <f t="shared" si="19"/>
        <v>10315.926803660001</v>
      </c>
    </row>
    <row r="33" spans="1:11" ht="15.75" thickTop="1">
      <c r="A33" s="108" t="s">
        <v>128</v>
      </c>
      <c r="B33" s="109">
        <f t="shared" ref="B33:K33" si="20">IFERROR(B32/B$3,"")</f>
        <v>7.0528524717757904E-2</v>
      </c>
      <c r="C33" s="109">
        <f t="shared" si="20"/>
        <v>0.16201542658719473</v>
      </c>
      <c r="D33" s="109">
        <f t="shared" si="20"/>
        <v>8.6039689660959887E-2</v>
      </c>
      <c r="E33" s="109">
        <f t="shared" si="20"/>
        <v>0.11442204743660937</v>
      </c>
      <c r="F33" s="109">
        <f t="shared" si="20"/>
        <v>0.10035854376749652</v>
      </c>
      <c r="G33" s="109">
        <f t="shared" si="20"/>
        <v>0.10124226156390445</v>
      </c>
      <c r="H33" s="109">
        <f t="shared" si="20"/>
        <v>0.12644780816050091</v>
      </c>
      <c r="I33" s="109">
        <f t="shared" si="20"/>
        <v>0.10432461146058893</v>
      </c>
      <c r="J33" s="109">
        <f t="shared" si="20"/>
        <v>7.5269044675609062E-2</v>
      </c>
      <c r="K33" s="109">
        <f t="shared" si="20"/>
        <v>0.1303519984288404</v>
      </c>
    </row>
    <row r="34" spans="1:11">
      <c r="A34" s="108" t="s">
        <v>138</v>
      </c>
      <c r="B34" s="108"/>
      <c r="C34" s="109">
        <f t="shared" ref="C34:F34" si="21">IFERROR(C32/B32-1,"")</f>
        <v>1.1226634297020688</v>
      </c>
      <c r="D34" s="109">
        <f t="shared" si="21"/>
        <v>-0.44613687763078647</v>
      </c>
      <c r="E34" s="109">
        <f t="shared" si="21"/>
        <v>0.42370015344314926</v>
      </c>
      <c r="F34" s="109">
        <f t="shared" si="21"/>
        <v>-0.14267139376944227</v>
      </c>
      <c r="G34" s="109">
        <f>IFERROR(G32/F32-1,"")</f>
        <v>-5.046378666850404E-2</v>
      </c>
      <c r="H34" s="109">
        <f t="shared" ref="H34:K34" si="22">IFERROR(H32/G32-1,"")</f>
        <v>0.17818979577537464</v>
      </c>
      <c r="I34" s="109">
        <f t="shared" si="22"/>
        <v>-0.27322462985023266</v>
      </c>
      <c r="J34" s="109">
        <f t="shared" si="22"/>
        <v>-0.29459306884583591</v>
      </c>
      <c r="K34" s="109">
        <f t="shared" si="22"/>
        <v>0.71491187217271324</v>
      </c>
    </row>
    <row r="35" spans="1:11">
      <c r="A35" s="108" t="s">
        <v>139</v>
      </c>
      <c r="B35" s="108"/>
      <c r="C35" s="108"/>
      <c r="D35" s="108"/>
      <c r="E35" s="109">
        <f>IFERROR(SUM(C32:E32)/SUM(B32:D32)-1,"")</f>
        <v>0.15675731751852928</v>
      </c>
      <c r="F35" s="109">
        <f t="shared" ref="F35" si="23">IFERROR(SUM(D32:F32)/SUM(C32:E32)-1,"")</f>
        <v>-0.13830542816029834</v>
      </c>
      <c r="G35" s="109">
        <f t="shared" ref="G35:K35" si="24">IFERROR(SUM(E32:G32)/SUM(D32:F32)-1,"")</f>
        <v>4.3625593890205261E-2</v>
      </c>
      <c r="H35" s="109">
        <f t="shared" si="24"/>
        <v>-1.5301919912969031E-2</v>
      </c>
      <c r="I35" s="109">
        <f t="shared" si="24"/>
        <v>-6.0924158151355878E-2</v>
      </c>
      <c r="J35" s="109">
        <f t="shared" si="24"/>
        <v>-0.13049222563754881</v>
      </c>
      <c r="K35" s="109">
        <f t="shared" si="24"/>
        <v>-5.3947247847751401E-2</v>
      </c>
    </row>
    <row r="36" spans="1:11">
      <c r="A36" s="108" t="s">
        <v>133</v>
      </c>
      <c r="B36" s="108"/>
      <c r="C36" s="108"/>
      <c r="D36" s="108"/>
      <c r="E36" s="108"/>
      <c r="F36" s="109"/>
      <c r="G36" s="109">
        <f>IFERROR(SUM(C32:G32)/SUM(B32:F32)-1,"")</f>
        <v>4.8949792290352123E-2</v>
      </c>
      <c r="H36" s="109">
        <f t="shared" ref="H36" si="25">IFERROR(SUM(D32:H32)/SUM(C32:G32)-1,"")</f>
        <v>-6.6577860798277655E-2</v>
      </c>
      <c r="I36" s="109">
        <f t="shared" ref="I36:K36" si="26">IFERROR(SUM(E32:I32)/SUM(D32:H32)-1,"")</f>
        <v>-1.2297602196407187E-3</v>
      </c>
      <c r="J36" s="109">
        <f t="shared" si="26"/>
        <v>-0.11745226543036713</v>
      </c>
      <c r="K36" s="109">
        <f t="shared" si="26"/>
        <v>-3.6864381570553828E-3</v>
      </c>
    </row>
    <row r="38" spans="1:11" s="9" customFormat="1" ht="15.75" thickBot="1">
      <c r="A38" s="59" t="s">
        <v>153</v>
      </c>
      <c r="B38" s="126">
        <f t="shared" ref="B38:E38" si="27">B2</f>
        <v>39813</v>
      </c>
      <c r="C38" s="126">
        <f t="shared" si="27"/>
        <v>40178</v>
      </c>
      <c r="D38" s="126">
        <f t="shared" si="27"/>
        <v>40543</v>
      </c>
      <c r="E38" s="126">
        <f t="shared" si="27"/>
        <v>40908</v>
      </c>
      <c r="F38" s="126">
        <f>F2</f>
        <v>41274</v>
      </c>
      <c r="G38" s="126">
        <f t="shared" ref="G38:K38" si="28">G2</f>
        <v>41639</v>
      </c>
      <c r="H38" s="126">
        <f t="shared" si="28"/>
        <v>42004</v>
      </c>
      <c r="I38" s="126">
        <f t="shared" si="28"/>
        <v>42369</v>
      </c>
      <c r="J38" s="126">
        <f t="shared" si="28"/>
        <v>42735</v>
      </c>
      <c r="K38" s="126">
        <f t="shared" si="28"/>
        <v>43100</v>
      </c>
    </row>
    <row r="39" spans="1:11" s="117" customFormat="1" ht="15.75" thickBot="1">
      <c r="A39" s="127" t="s">
        <v>154</v>
      </c>
      <c r="B39" s="128">
        <f>VLOOKUP(B38,'GDP Data'!$A$2:$B$73,2,TRUE)</f>
        <v>14549.9</v>
      </c>
      <c r="C39" s="128">
        <f>VLOOKUP(C38,'GDP Data'!$A$2:$B$73,2,TRUE)</f>
        <v>14566.5</v>
      </c>
      <c r="D39" s="128">
        <f>VLOOKUP(D38,'GDP Data'!$A$2:$B$73,2,TRUE)</f>
        <v>15230.2</v>
      </c>
      <c r="E39" s="128">
        <f>VLOOKUP(E38,'GDP Data'!$A$2:$B$73,2,TRUE)</f>
        <v>15785.3</v>
      </c>
      <c r="F39" s="128">
        <f>VLOOKUP(F38,'GDP Data'!$A$2:$B$73,2,TRUE)</f>
        <v>16332.5</v>
      </c>
      <c r="G39" s="128">
        <f>VLOOKUP(G38,'GDP Data'!$A$2:$B$73,2,TRUE)</f>
        <v>17078.3</v>
      </c>
      <c r="H39" s="128">
        <f>VLOOKUP(H38,'GDP Data'!$A$2:$B$73,2,TRUE)</f>
        <v>17703.7</v>
      </c>
      <c r="I39" s="128">
        <f>VLOOKUP(I38,'GDP Data'!$A$2:$B$73,2,TRUE)</f>
        <v>18164.8</v>
      </c>
      <c r="J39" s="128">
        <f>VLOOKUP(J38,'GDP Data'!$A$2:$B$73,2,TRUE)</f>
        <v>18869.400000000001</v>
      </c>
      <c r="K39" s="128">
        <f>VLOOKUP(K38,'GDP Data'!$A$2:$B$73,2,TRUE)</f>
        <v>19738.886999999999</v>
      </c>
    </row>
    <row r="40" spans="1:11">
      <c r="A40" t="s">
        <v>155</v>
      </c>
      <c r="C40" s="129">
        <f t="shared" ref="C40" si="29">C39/B39-1</f>
        <v>1.1409013120364797E-3</v>
      </c>
      <c r="D40" s="129">
        <f t="shared" ref="D40" si="30">D39/C39-1</f>
        <v>4.5563450382727577E-2</v>
      </c>
      <c r="E40" s="129">
        <f t="shared" ref="E40:F40" si="31">E39/D39-1</f>
        <v>3.6447321768591223E-2</v>
      </c>
      <c r="F40" s="129">
        <f t="shared" si="31"/>
        <v>3.4665163158128287E-2</v>
      </c>
      <c r="G40" s="129">
        <f>G39/F39-1</f>
        <v>4.5663554262972639E-2</v>
      </c>
      <c r="H40" s="129">
        <f t="shared" ref="H40:K40" si="32">H39/G39-1</f>
        <v>3.6619569863511003E-2</v>
      </c>
      <c r="I40" s="129">
        <f t="shared" si="32"/>
        <v>2.6045402938368767E-2</v>
      </c>
      <c r="J40" s="129">
        <f t="shared" si="32"/>
        <v>3.8789306791156664E-2</v>
      </c>
      <c r="K40" s="129">
        <f t="shared" si="32"/>
        <v>4.6079207605965067E-2</v>
      </c>
    </row>
    <row r="41" spans="1:11">
      <c r="A41" s="130" t="s">
        <v>156</v>
      </c>
      <c r="B41" s="130"/>
      <c r="C41" s="131">
        <f t="shared" ref="C41:F41" si="33">C13</f>
        <v>0.14779257726626138</v>
      </c>
      <c r="D41" s="131">
        <f t="shared" si="33"/>
        <v>-6.1767337287593982E-2</v>
      </c>
      <c r="E41" s="131">
        <f t="shared" si="33"/>
        <v>1.9747616640260146E-2</v>
      </c>
      <c r="F41" s="131">
        <f t="shared" si="33"/>
        <v>8.44129032993024E-5</v>
      </c>
      <c r="G41" s="131">
        <f>G13</f>
        <v>-0.12507548181941663</v>
      </c>
      <c r="H41" s="131">
        <f t="shared" ref="H41:K41" si="34">H13</f>
        <v>-2.8429227891959341E-2</v>
      </c>
      <c r="I41" s="131">
        <f t="shared" si="34"/>
        <v>4.607168920243998E-2</v>
      </c>
      <c r="J41" s="131">
        <f t="shared" si="34"/>
        <v>-1.8762515975357164E-2</v>
      </c>
      <c r="K41" s="131">
        <f t="shared" si="34"/>
        <v>-3.210140740632883E-2</v>
      </c>
    </row>
    <row r="42" spans="1:11">
      <c r="A42" t="s">
        <v>157</v>
      </c>
      <c r="D42" s="132"/>
      <c r="E42" s="132">
        <f t="shared" ref="E42" si="35">SUM(C39:E39)/SUM(B39:D39)-1</f>
        <v>2.7857829010566659E-2</v>
      </c>
      <c r="F42" s="132">
        <f t="shared" ref="F42" si="36">SUM(D39:F39)/SUM(C39:E39)-1</f>
        <v>3.8743363608441994E-2</v>
      </c>
      <c r="G42" s="132">
        <f t="shared" ref="G42:J42" si="37">SUM(E39:G39)/SUM(D39:F39)-1</f>
        <v>3.9032271690462084E-2</v>
      </c>
      <c r="H42" s="132">
        <f t="shared" si="37"/>
        <v>3.8994960982679627E-2</v>
      </c>
      <c r="I42" s="132">
        <f t="shared" si="37"/>
        <v>3.5846971016052276E-2</v>
      </c>
      <c r="J42" s="132">
        <f t="shared" si="37"/>
        <v>3.3828295572159162E-2</v>
      </c>
      <c r="K42" s="132">
        <f>SUM(I39:K39)/SUM(H39:J39)-1</f>
        <v>3.7180582375282878E-2</v>
      </c>
    </row>
    <row r="43" spans="1:11">
      <c r="A43" s="130" t="s">
        <v>158</v>
      </c>
      <c r="B43" s="130"/>
      <c r="C43" s="130"/>
      <c r="D43" s="131"/>
      <c r="E43" s="131">
        <f t="shared" ref="E43:J43" si="38">E14</f>
        <v>3.0440958198089119E-2</v>
      </c>
      <c r="F43" s="131">
        <f t="shared" si="38"/>
        <v>-1.4908054238136015E-2</v>
      </c>
      <c r="G43" s="131">
        <f t="shared" si="38"/>
        <v>-3.5439912070212354E-2</v>
      </c>
      <c r="H43" s="131">
        <f t="shared" si="38"/>
        <v>-5.2129683285741191E-2</v>
      </c>
      <c r="I43" s="131">
        <f t="shared" si="38"/>
        <v>-4.0655637579591453E-2</v>
      </c>
      <c r="J43" s="131">
        <f t="shared" si="38"/>
        <v>-9.1578573662376428E-4</v>
      </c>
      <c r="K43" s="131">
        <f>K14</f>
        <v>-2.1173422107869655E-3</v>
      </c>
    </row>
    <row r="44" spans="1:11">
      <c r="A44" t="s">
        <v>159</v>
      </c>
      <c r="G44" s="132">
        <f t="shared" ref="G44:J44" si="39">SUM(C39:G39)/SUM(B39:F39)-1</f>
        <v>3.3066368139944791E-2</v>
      </c>
      <c r="H44" s="132">
        <f t="shared" si="39"/>
        <v>3.9715012001093841E-2</v>
      </c>
      <c r="I44" s="132">
        <f t="shared" si="39"/>
        <v>3.5731157920370293E-2</v>
      </c>
      <c r="J44" s="132">
        <f t="shared" si="39"/>
        <v>3.625597487086285E-2</v>
      </c>
      <c r="K44" s="132">
        <f>SUM(G39:K39)/SUM(F39:J39)-1</f>
        <v>3.8643644205756944E-2</v>
      </c>
    </row>
    <row r="45" spans="1:11">
      <c r="A45" s="130" t="s">
        <v>160</v>
      </c>
      <c r="B45" s="130"/>
      <c r="C45" s="130"/>
      <c r="D45" s="130"/>
      <c r="E45" s="131"/>
      <c r="F45" s="131"/>
      <c r="G45" s="131">
        <f t="shared" ref="G45:J45" si="40">G15</f>
        <v>-7.2142995254818043E-3</v>
      </c>
      <c r="H45" s="131">
        <f t="shared" si="40"/>
        <v>-3.9802961894605748E-2</v>
      </c>
      <c r="I45" s="131">
        <f t="shared" si="40"/>
        <v>-1.9411061808807362E-2</v>
      </c>
      <c r="J45" s="131">
        <f t="shared" si="40"/>
        <v>-2.7607758794945148E-2</v>
      </c>
      <c r="K45" s="131">
        <f>K15</f>
        <v>-3.4653145270372887E-2</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6D7DF-0812-4358-9E70-243A9A32F58A}">
  <dimension ref="A1:L16"/>
  <sheetViews>
    <sheetView workbookViewId="0">
      <selection activeCell="X32" sqref="X32"/>
    </sheetView>
  </sheetViews>
  <sheetFormatPr defaultRowHeight="15"/>
  <cols>
    <col min="1" max="1" width="12.5703125" bestFit="1" customWidth="1"/>
    <col min="2" max="12" width="10.5703125" bestFit="1" customWidth="1"/>
  </cols>
  <sheetData>
    <row r="1" spans="1:12">
      <c r="B1">
        <v>2007</v>
      </c>
      <c r="C1">
        <v>2008</v>
      </c>
      <c r="D1">
        <v>2009</v>
      </c>
      <c r="E1">
        <v>2010</v>
      </c>
      <c r="F1">
        <v>2011</v>
      </c>
      <c r="G1">
        <v>2012</v>
      </c>
      <c r="H1">
        <v>2013</v>
      </c>
      <c r="I1">
        <v>2014</v>
      </c>
      <c r="J1">
        <v>2015</v>
      </c>
      <c r="K1">
        <v>2016</v>
      </c>
      <c r="L1">
        <v>2017</v>
      </c>
    </row>
    <row r="2" spans="1:12">
      <c r="A2" t="s">
        <v>37</v>
      </c>
      <c r="B2" s="17">
        <v>98786</v>
      </c>
      <c r="C2" s="17">
        <v>103630</v>
      </c>
      <c r="D2" s="17">
        <v>95758</v>
      </c>
      <c r="E2" s="17">
        <v>99870</v>
      </c>
      <c r="F2" s="17">
        <v>106916</v>
      </c>
      <c r="G2" s="17">
        <v>104507</v>
      </c>
      <c r="H2" s="17">
        <v>98367</v>
      </c>
      <c r="I2" s="17">
        <v>92793</v>
      </c>
      <c r="J2" s="17">
        <v>81741</v>
      </c>
      <c r="K2" s="17">
        <v>79919</v>
      </c>
      <c r="L2">
        <v>79139</v>
      </c>
    </row>
    <row r="4" spans="1:12">
      <c r="A4" t="s">
        <v>193</v>
      </c>
      <c r="B4" s="17">
        <v>16089</v>
      </c>
      <c r="C4" s="17">
        <v>18812</v>
      </c>
      <c r="D4" s="17">
        <v>20773</v>
      </c>
      <c r="E4" s="17">
        <v>19549</v>
      </c>
      <c r="F4" s="17">
        <v>19846</v>
      </c>
      <c r="G4" s="17">
        <v>19586</v>
      </c>
      <c r="H4" s="17">
        <v>17485</v>
      </c>
      <c r="I4" s="17">
        <v>16868</v>
      </c>
      <c r="J4" s="17">
        <v>17008</v>
      </c>
      <c r="K4" s="17">
        <v>16959</v>
      </c>
      <c r="L4" s="17">
        <v>16724</v>
      </c>
    </row>
    <row r="5" spans="1:12">
      <c r="A5" t="s">
        <v>194</v>
      </c>
      <c r="B5" s="17">
        <v>4038</v>
      </c>
      <c r="C5" s="17">
        <v>4140</v>
      </c>
      <c r="D5" s="17">
        <v>3773</v>
      </c>
      <c r="E5" s="17">
        <v>3657</v>
      </c>
      <c r="F5" s="17">
        <v>3589</v>
      </c>
      <c r="G5" s="17">
        <v>3392</v>
      </c>
      <c r="H5" s="17">
        <v>3327</v>
      </c>
      <c r="I5" s="17">
        <v>3145</v>
      </c>
      <c r="J5" s="17">
        <v>2662</v>
      </c>
      <c r="K5" s="17">
        <v>2837</v>
      </c>
      <c r="L5" s="17">
        <v>3021</v>
      </c>
    </row>
    <row r="6" spans="1:12">
      <c r="A6" t="s">
        <v>195</v>
      </c>
      <c r="B6" s="17">
        <v>1163</v>
      </c>
      <c r="C6" s="17">
        <v>1310</v>
      </c>
      <c r="D6" s="17">
        <v>1221</v>
      </c>
      <c r="E6" s="17">
        <v>1174</v>
      </c>
      <c r="F6" s="17">
        <v>1226</v>
      </c>
      <c r="G6" s="17">
        <v>1284</v>
      </c>
      <c r="H6" s="17">
        <v>1351</v>
      </c>
      <c r="I6" s="17">
        <v>1347</v>
      </c>
      <c r="J6" s="17">
        <v>1193</v>
      </c>
      <c r="K6" s="17">
        <v>1544</v>
      </c>
      <c r="L6" s="17">
        <v>1520</v>
      </c>
    </row>
    <row r="7" spans="1:12">
      <c r="A7" t="s">
        <v>196</v>
      </c>
      <c r="B7" s="163">
        <v>4.4999999999999998E-2</v>
      </c>
      <c r="C7" s="163">
        <v>-5.0000000000000001E-3</v>
      </c>
      <c r="D7" s="163">
        <v>3.5999999999999997E-2</v>
      </c>
      <c r="E7" s="163">
        <v>1.9E-2</v>
      </c>
      <c r="F7" s="163">
        <v>3.4000000000000002E-2</v>
      </c>
      <c r="G7" s="163">
        <v>1.7000000000000001E-2</v>
      </c>
      <c r="H7" s="163">
        <v>1.2E-2</v>
      </c>
      <c r="I7" s="163">
        <v>2E-3</v>
      </c>
      <c r="J7" s="163">
        <v>-1E-3</v>
      </c>
      <c r="K7" s="163">
        <v>1.4999999999999999E-2</v>
      </c>
      <c r="L7" s="163">
        <v>2.5000000000000001E-2</v>
      </c>
    </row>
    <row r="9" spans="1:12">
      <c r="A9" t="s">
        <v>197</v>
      </c>
      <c r="B9" s="17">
        <f>-B5*(1+B7)</f>
        <v>-4219.71</v>
      </c>
      <c r="C9" s="17">
        <f t="shared" ref="C9:L9" si="0">-C5*(1+C7)</f>
        <v>-4119.3</v>
      </c>
      <c r="D9" s="17">
        <f t="shared" si="0"/>
        <v>-3908.828</v>
      </c>
      <c r="E9" s="17">
        <f t="shared" si="0"/>
        <v>-3726.4829999999997</v>
      </c>
      <c r="F9" s="17">
        <f t="shared" si="0"/>
        <v>-3711.0260000000003</v>
      </c>
      <c r="G9" s="17">
        <f t="shared" si="0"/>
        <v>-3449.6639999999998</v>
      </c>
      <c r="H9" s="17">
        <f t="shared" si="0"/>
        <v>-3366.924</v>
      </c>
      <c r="I9" s="17">
        <f t="shared" si="0"/>
        <v>-3151.29</v>
      </c>
      <c r="J9" s="17">
        <f t="shared" si="0"/>
        <v>-2659.3380000000002</v>
      </c>
      <c r="K9" s="17">
        <f t="shared" si="0"/>
        <v>-2879.5549999999998</v>
      </c>
      <c r="L9" s="17">
        <f t="shared" si="0"/>
        <v>-3096.5249999999996</v>
      </c>
    </row>
    <row r="10" spans="1:12">
      <c r="A10" t="s">
        <v>198</v>
      </c>
      <c r="B10" s="17">
        <f>-SUM(B5:B6)*(1+B7)</f>
        <v>-5435.0450000000001</v>
      </c>
      <c r="C10" s="17">
        <f t="shared" ref="C10:L10" si="1">-SUM(C5:C6)*(1+C7)</f>
        <v>-5422.75</v>
      </c>
      <c r="D10" s="17">
        <f t="shared" si="1"/>
        <v>-5173.7840000000006</v>
      </c>
      <c r="E10" s="17">
        <f t="shared" si="1"/>
        <v>-4922.7889999999998</v>
      </c>
      <c r="F10" s="17">
        <f t="shared" si="1"/>
        <v>-4978.71</v>
      </c>
      <c r="G10" s="17">
        <f t="shared" si="1"/>
        <v>-4755.4919999999993</v>
      </c>
      <c r="H10" s="17">
        <f t="shared" si="1"/>
        <v>-4734.1360000000004</v>
      </c>
      <c r="I10" s="17">
        <f t="shared" si="1"/>
        <v>-4500.9840000000004</v>
      </c>
      <c r="J10" s="17">
        <f t="shared" si="1"/>
        <v>-3851.145</v>
      </c>
      <c r="K10" s="17">
        <f t="shared" si="1"/>
        <v>-4446.7149999999992</v>
      </c>
      <c r="L10" s="17">
        <f t="shared" si="1"/>
        <v>-4654.5249999999996</v>
      </c>
    </row>
    <row r="12" spans="1:12">
      <c r="A12" t="s">
        <v>199</v>
      </c>
      <c r="B12" s="18">
        <f>B4+B9</f>
        <v>11869.29</v>
      </c>
      <c r="C12" s="18">
        <f t="shared" ref="C12:L12" si="2">C4+C9</f>
        <v>14692.7</v>
      </c>
      <c r="D12" s="18">
        <f t="shared" si="2"/>
        <v>16864.171999999999</v>
      </c>
      <c r="E12" s="18">
        <f t="shared" si="2"/>
        <v>15822.517</v>
      </c>
      <c r="F12" s="18">
        <f t="shared" si="2"/>
        <v>16134.974</v>
      </c>
      <c r="G12" s="18">
        <f t="shared" si="2"/>
        <v>16136.335999999999</v>
      </c>
      <c r="H12" s="18">
        <f t="shared" si="2"/>
        <v>14118.076000000001</v>
      </c>
      <c r="I12" s="18">
        <f t="shared" si="2"/>
        <v>13716.71</v>
      </c>
      <c r="J12" s="18">
        <f t="shared" si="2"/>
        <v>14348.662</v>
      </c>
      <c r="K12" s="18">
        <f t="shared" si="2"/>
        <v>14079.445</v>
      </c>
      <c r="L12" s="18">
        <f t="shared" si="2"/>
        <v>13627.475</v>
      </c>
    </row>
    <row r="13" spans="1:12">
      <c r="A13" t="s">
        <v>200</v>
      </c>
      <c r="B13" s="18">
        <f>B4+B10</f>
        <v>10653.955</v>
      </c>
      <c r="C13" s="18">
        <f t="shared" ref="C13:L13" si="3">C4+C10</f>
        <v>13389.25</v>
      </c>
      <c r="D13" s="18">
        <f t="shared" si="3"/>
        <v>15599.216</v>
      </c>
      <c r="E13" s="18">
        <f t="shared" si="3"/>
        <v>14626.210999999999</v>
      </c>
      <c r="F13" s="18">
        <f t="shared" si="3"/>
        <v>14867.29</v>
      </c>
      <c r="G13" s="18">
        <f t="shared" si="3"/>
        <v>14830.508000000002</v>
      </c>
      <c r="H13" s="18">
        <f t="shared" si="3"/>
        <v>12750.864</v>
      </c>
      <c r="I13" s="18">
        <f t="shared" si="3"/>
        <v>12367.016</v>
      </c>
      <c r="J13" s="18">
        <f t="shared" si="3"/>
        <v>13156.855</v>
      </c>
      <c r="K13" s="18">
        <f t="shared" si="3"/>
        <v>12512.285</v>
      </c>
      <c r="L13" s="18">
        <f t="shared" si="3"/>
        <v>12069.475</v>
      </c>
    </row>
    <row r="15" spans="1:12">
      <c r="A15" t="s">
        <v>201</v>
      </c>
      <c r="B15" s="164">
        <f>B12/B$2</f>
        <v>0.12015153969185918</v>
      </c>
      <c r="C15" s="164">
        <f t="shared" ref="C15:L16" si="4">C12/C$2</f>
        <v>0.14178037247901187</v>
      </c>
      <c r="D15" s="164">
        <f t="shared" si="4"/>
        <v>0.17611240836274775</v>
      </c>
      <c r="E15" s="164">
        <f t="shared" si="4"/>
        <v>0.15843113046961049</v>
      </c>
      <c r="F15" s="164">
        <f t="shared" si="4"/>
        <v>0.1509126229937521</v>
      </c>
      <c r="G15" s="164">
        <f t="shared" si="4"/>
        <v>0.15440435568909258</v>
      </c>
      <c r="H15" s="164">
        <f t="shared" si="4"/>
        <v>0.14352451533542754</v>
      </c>
      <c r="I15" s="164">
        <f t="shared" si="4"/>
        <v>0.14782052525513778</v>
      </c>
      <c r="J15" s="164">
        <f t="shared" si="4"/>
        <v>0.17553812652157424</v>
      </c>
      <c r="K15" s="164">
        <f t="shared" si="4"/>
        <v>0.17617143607903002</v>
      </c>
      <c r="L15" s="164">
        <f t="shared" si="4"/>
        <v>0.17219670453253139</v>
      </c>
    </row>
    <row r="16" spans="1:12">
      <c r="A16" t="s">
        <v>202</v>
      </c>
      <c r="B16" s="164">
        <f>B13/B$2</f>
        <v>0.10784883485514142</v>
      </c>
      <c r="C16" s="164">
        <f t="shared" si="4"/>
        <v>0.12920245102769468</v>
      </c>
      <c r="D16" s="164">
        <f t="shared" si="4"/>
        <v>0.16290248334342822</v>
      </c>
      <c r="E16" s="164">
        <f t="shared" si="4"/>
        <v>0.14645249824772202</v>
      </c>
      <c r="F16" s="164">
        <f t="shared" si="4"/>
        <v>0.13905580081559357</v>
      </c>
      <c r="G16" s="164">
        <f t="shared" si="4"/>
        <v>0.14190923096060554</v>
      </c>
      <c r="H16" s="164">
        <f t="shared" si="4"/>
        <v>0.12962542316020617</v>
      </c>
      <c r="I16" s="164">
        <f t="shared" si="4"/>
        <v>0.13327531171532336</v>
      </c>
      <c r="J16" s="164">
        <f t="shared" si="4"/>
        <v>0.16095784245360345</v>
      </c>
      <c r="K16" s="164">
        <f t="shared" si="4"/>
        <v>0.15656208160762772</v>
      </c>
      <c r="L16" s="164">
        <f t="shared" si="4"/>
        <v>0.15250982448603093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B9E0E-C43E-403E-804C-F1E0D7776A71}">
  <dimension ref="A1:L19"/>
  <sheetViews>
    <sheetView workbookViewId="0">
      <selection activeCell="F15" sqref="F15"/>
    </sheetView>
  </sheetViews>
  <sheetFormatPr defaultRowHeight="15"/>
  <sheetData>
    <row r="1" spans="1:12">
      <c r="A1" s="10" t="s">
        <v>203</v>
      </c>
      <c r="B1">
        <v>2014</v>
      </c>
      <c r="C1">
        <v>2015</v>
      </c>
      <c r="D1">
        <v>2016</v>
      </c>
      <c r="E1">
        <v>2017</v>
      </c>
      <c r="F1">
        <v>2018</v>
      </c>
      <c r="G1">
        <v>2019</v>
      </c>
      <c r="H1">
        <v>2020</v>
      </c>
      <c r="I1">
        <v>2021</v>
      </c>
      <c r="J1">
        <v>2022</v>
      </c>
      <c r="L1" s="165" t="s">
        <v>204</v>
      </c>
    </row>
    <row r="2" spans="1:12">
      <c r="B2" s="17">
        <v>92793</v>
      </c>
      <c r="C2" s="17">
        <v>81741</v>
      </c>
      <c r="D2" s="17">
        <v>79919</v>
      </c>
      <c r="E2" s="17">
        <v>79139</v>
      </c>
      <c r="F2" s="17">
        <f t="shared" ref="F2:J2" si="0">SUM(F3:F4)</f>
        <v>79255.100000000006</v>
      </c>
      <c r="G2" s="17">
        <f t="shared" si="0"/>
        <v>80323.19</v>
      </c>
      <c r="H2" s="17">
        <f t="shared" si="0"/>
        <v>82363.703000000009</v>
      </c>
      <c r="I2" s="17">
        <f t="shared" si="0"/>
        <v>85408.904540000018</v>
      </c>
      <c r="J2" s="17">
        <f t="shared" si="0"/>
        <v>89503.374546800042</v>
      </c>
      <c r="L2" s="17">
        <v>79855.064799999993</v>
      </c>
    </row>
    <row r="3" spans="1:12">
      <c r="A3" t="s">
        <v>205</v>
      </c>
      <c r="B3" s="17">
        <f>C3/1.17</f>
        <v>24700.854700854703</v>
      </c>
      <c r="C3" s="17">
        <v>28900</v>
      </c>
      <c r="D3" s="17">
        <f>D2*41%</f>
        <v>32766.789999999997</v>
      </c>
      <c r="E3" s="17">
        <v>36500</v>
      </c>
      <c r="F3" s="17">
        <f>E3*(1+F5)</f>
        <v>40880.000000000007</v>
      </c>
      <c r="G3" s="17">
        <f t="shared" ref="G3:J4" si="1">F3*(1+G5)</f>
        <v>45785.600000000013</v>
      </c>
      <c r="H3" s="17">
        <f t="shared" si="1"/>
        <v>51279.872000000018</v>
      </c>
      <c r="I3" s="17">
        <f t="shared" si="1"/>
        <v>57433.456640000026</v>
      </c>
      <c r="J3" s="17">
        <f t="shared" si="1"/>
        <v>64325.471436800035</v>
      </c>
      <c r="L3" s="17">
        <v>36698.804799999998</v>
      </c>
    </row>
    <row r="4" spans="1:12">
      <c r="A4" t="s">
        <v>206</v>
      </c>
      <c r="B4" s="17">
        <f>B2-B3</f>
        <v>68092.145299145297</v>
      </c>
      <c r="C4" s="17">
        <f>C2-C3</f>
        <v>52841</v>
      </c>
      <c r="D4" s="17">
        <f>D2*60%</f>
        <v>47951.4</v>
      </c>
      <c r="E4" s="18">
        <f>E2-E3</f>
        <v>42639</v>
      </c>
      <c r="F4" s="17">
        <f>E4*(1+F6)</f>
        <v>38375.1</v>
      </c>
      <c r="G4" s="17">
        <f t="shared" si="1"/>
        <v>34537.589999999997</v>
      </c>
      <c r="H4" s="17">
        <f t="shared" si="1"/>
        <v>31083.830999999998</v>
      </c>
      <c r="I4" s="17">
        <f t="shared" si="1"/>
        <v>27975.447899999999</v>
      </c>
      <c r="J4" s="17">
        <f t="shared" si="1"/>
        <v>25177.903109999999</v>
      </c>
      <c r="L4" s="17">
        <v>43156.26</v>
      </c>
    </row>
    <row r="5" spans="1:12">
      <c r="A5" t="s">
        <v>207</v>
      </c>
      <c r="C5" s="20">
        <f>C3/B3-1</f>
        <v>0.16999999999999993</v>
      </c>
      <c r="D5" s="20">
        <f>D3/C3-1</f>
        <v>0.13379896193771623</v>
      </c>
      <c r="E5" s="20">
        <f>E3/D3-1</f>
        <v>0.11393273494291023</v>
      </c>
      <c r="F5" s="166">
        <v>0.12</v>
      </c>
      <c r="G5" s="166">
        <v>0.12</v>
      </c>
      <c r="H5" s="166">
        <v>0.12</v>
      </c>
      <c r="I5" s="166">
        <v>0.12</v>
      </c>
      <c r="J5" s="166">
        <v>0.12</v>
      </c>
      <c r="L5" s="99">
        <v>0.12</v>
      </c>
    </row>
    <row r="6" spans="1:12">
      <c r="A6" t="s">
        <v>208</v>
      </c>
      <c r="C6" s="20">
        <f>C4/B4-1</f>
        <v>-0.22397804081723849</v>
      </c>
      <c r="D6" s="20">
        <f>D4/C4-1</f>
        <v>-9.2534206392763219E-2</v>
      </c>
      <c r="E6" s="20">
        <f>E4/D4-1</f>
        <v>-0.11078717201166188</v>
      </c>
      <c r="F6" s="166">
        <v>-0.1</v>
      </c>
      <c r="G6" s="166">
        <v>-0.1</v>
      </c>
      <c r="H6" s="166">
        <v>-0.1</v>
      </c>
      <c r="I6" s="166">
        <v>-0.1</v>
      </c>
      <c r="J6" s="166">
        <v>-0.1</v>
      </c>
      <c r="L6" s="99">
        <v>-0.1</v>
      </c>
    </row>
    <row r="7" spans="1:12">
      <c r="F7" s="99">
        <f>F2/E2-1</f>
        <v>1.467039007316373E-3</v>
      </c>
      <c r="G7" s="99">
        <f t="shared" ref="G7:J7" si="2">G2/F2-1</f>
        <v>1.3476609076261248E-2</v>
      </c>
      <c r="H7" s="99">
        <f t="shared" si="2"/>
        <v>2.5403784386551553E-2</v>
      </c>
      <c r="I7" s="99">
        <f t="shared" si="2"/>
        <v>3.6972615716415858E-2</v>
      </c>
      <c r="J7" s="99">
        <f t="shared" si="2"/>
        <v>4.7939615065340613E-2</v>
      </c>
      <c r="L7" s="99">
        <v>-8.0000000000013394E-4</v>
      </c>
    </row>
    <row r="9" spans="1:12">
      <c r="A9" s="10" t="s">
        <v>209</v>
      </c>
      <c r="B9">
        <v>2014</v>
      </c>
      <c r="C9">
        <v>2015</v>
      </c>
      <c r="D9">
        <v>2016</v>
      </c>
      <c r="E9">
        <v>2017</v>
      </c>
      <c r="F9">
        <v>2018</v>
      </c>
      <c r="G9">
        <v>2019</v>
      </c>
      <c r="H9">
        <v>2020</v>
      </c>
      <c r="I9">
        <v>2021</v>
      </c>
      <c r="J9">
        <v>2022</v>
      </c>
      <c r="L9">
        <v>2017</v>
      </c>
    </row>
    <row r="10" spans="1:12">
      <c r="B10" s="17">
        <v>92793</v>
      </c>
      <c r="C10" s="17">
        <v>81741</v>
      </c>
      <c r="D10" s="17">
        <v>79919</v>
      </c>
      <c r="E10" s="17">
        <v>79139</v>
      </c>
      <c r="F10" s="17">
        <f t="shared" ref="F10" si="3">SUM(F11:F12)</f>
        <v>77430.100000000006</v>
      </c>
      <c r="G10" s="17">
        <f t="shared" ref="G10:J10" si="4">SUM(G11:G12)</f>
        <v>75545.34</v>
      </c>
      <c r="H10" s="17">
        <f t="shared" si="4"/>
        <v>74141.968500000003</v>
      </c>
      <c r="I10" s="17">
        <f t="shared" si="4"/>
        <v>73186.492274999997</v>
      </c>
      <c r="J10" s="17">
        <f t="shared" si="4"/>
        <v>72649.499703750014</v>
      </c>
      <c r="L10" s="17">
        <v>77561.38949999999</v>
      </c>
    </row>
    <row r="11" spans="1:12">
      <c r="A11" t="s">
        <v>205</v>
      </c>
      <c r="B11" s="17">
        <f>C11/1.17</f>
        <v>24700.854700854703</v>
      </c>
      <c r="C11" s="17">
        <v>28900</v>
      </c>
      <c r="D11" s="17">
        <f>D10*41%</f>
        <v>32766.789999999997</v>
      </c>
      <c r="E11" s="17">
        <v>36500</v>
      </c>
      <c r="F11" s="17">
        <f>E11*(1+F13)</f>
        <v>39055</v>
      </c>
      <c r="G11" s="17">
        <f t="shared" ref="G11:J12" si="5">F11*(1+G13)</f>
        <v>41007.75</v>
      </c>
      <c r="H11" s="17">
        <f t="shared" si="5"/>
        <v>43058.137500000004</v>
      </c>
      <c r="I11" s="17">
        <f t="shared" si="5"/>
        <v>45211.044375000005</v>
      </c>
      <c r="J11" s="17">
        <f t="shared" si="5"/>
        <v>47471.596593750008</v>
      </c>
      <c r="L11" s="17">
        <v>34405.129499999995</v>
      </c>
    </row>
    <row r="12" spans="1:12">
      <c r="A12" t="s">
        <v>206</v>
      </c>
      <c r="B12" s="17">
        <f>B10-B11</f>
        <v>68092.145299145297</v>
      </c>
      <c r="C12" s="17">
        <f>C10-C11</f>
        <v>52841</v>
      </c>
      <c r="D12" s="17">
        <f>D10*60%</f>
        <v>47951.4</v>
      </c>
      <c r="E12" s="18">
        <f>E10-E11</f>
        <v>42639</v>
      </c>
      <c r="F12" s="17">
        <f>E12*(1+F14)</f>
        <v>38375.1</v>
      </c>
      <c r="G12" s="17">
        <f t="shared" si="5"/>
        <v>34537.589999999997</v>
      </c>
      <c r="H12" s="17">
        <f t="shared" si="5"/>
        <v>31083.830999999998</v>
      </c>
      <c r="I12" s="17">
        <f t="shared" si="5"/>
        <v>27975.447899999999</v>
      </c>
      <c r="J12" s="17">
        <f t="shared" si="5"/>
        <v>25177.903109999999</v>
      </c>
      <c r="L12" s="17">
        <v>43156.26</v>
      </c>
    </row>
    <row r="13" spans="1:12">
      <c r="A13" t="s">
        <v>207</v>
      </c>
      <c r="C13" s="20">
        <f>C11/B11-1</f>
        <v>0.16999999999999993</v>
      </c>
      <c r="D13" s="20">
        <f>D11/C11-1</f>
        <v>0.13379896193771623</v>
      </c>
      <c r="E13" s="20">
        <f>E11/D11-1</f>
        <v>0.11393273494291023</v>
      </c>
      <c r="F13" s="166">
        <v>7.0000000000000007E-2</v>
      </c>
      <c r="G13" s="166">
        <v>0.05</v>
      </c>
      <c r="H13" s="166">
        <v>0.05</v>
      </c>
      <c r="I13" s="166">
        <v>0.05</v>
      </c>
      <c r="J13" s="166">
        <v>0.05</v>
      </c>
      <c r="L13" s="99">
        <v>0.05</v>
      </c>
    </row>
    <row r="14" spans="1:12">
      <c r="A14" t="s">
        <v>208</v>
      </c>
      <c r="C14" s="20">
        <f>C12/B12-1</f>
        <v>-0.22397804081723849</v>
      </c>
      <c r="D14" s="20">
        <f>D12/C12-1</f>
        <v>-9.2534206392763219E-2</v>
      </c>
      <c r="E14" s="20">
        <f>E12/D12-1</f>
        <v>-0.11078717201166188</v>
      </c>
      <c r="F14" s="166">
        <v>-0.1</v>
      </c>
      <c r="G14" s="166">
        <v>-0.1</v>
      </c>
      <c r="H14" s="166">
        <v>-0.1</v>
      </c>
      <c r="I14" s="166">
        <v>-0.1</v>
      </c>
      <c r="J14" s="166">
        <v>-0.1</v>
      </c>
      <c r="L14" s="99">
        <v>-0.1</v>
      </c>
    </row>
    <row r="15" spans="1:12">
      <c r="F15" s="99">
        <f>F10/E10-1</f>
        <v>-2.1593651676164671E-2</v>
      </c>
      <c r="G15" s="99">
        <f t="shared" ref="G15:J15" si="6">G10/F10-1</f>
        <v>-2.4341438277879157E-2</v>
      </c>
      <c r="H15" s="99">
        <f t="shared" si="6"/>
        <v>-1.8576546217145773E-2</v>
      </c>
      <c r="I15" s="99">
        <f t="shared" si="6"/>
        <v>-1.2887117031428752E-2</v>
      </c>
      <c r="J15" s="99">
        <f t="shared" si="6"/>
        <v>-7.337318056345965E-3</v>
      </c>
      <c r="L15" s="99">
        <v>-2.9500000000000082E-2</v>
      </c>
    </row>
    <row r="17" spans="5:7">
      <c r="E17" t="s">
        <v>210</v>
      </c>
    </row>
    <row r="18" spans="5:7">
      <c r="E18" t="s">
        <v>211</v>
      </c>
      <c r="F18">
        <v>77.44</v>
      </c>
      <c r="G18" t="s">
        <v>212</v>
      </c>
    </row>
    <row r="19" spans="5:7">
      <c r="E19" t="s">
        <v>213</v>
      </c>
      <c r="F19">
        <v>81.66</v>
      </c>
      <c r="G19" t="s">
        <v>212</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DE825-9C1B-4D90-A012-EC08C3FA2ABE}">
  <dimension ref="A1:S29"/>
  <sheetViews>
    <sheetView topLeftCell="G1" zoomScaleNormal="100" workbookViewId="0">
      <selection activeCell="L12" sqref="L12"/>
    </sheetView>
  </sheetViews>
  <sheetFormatPr defaultRowHeight="15"/>
  <cols>
    <col min="1" max="1" width="21.7109375" bestFit="1" customWidth="1"/>
    <col min="2" max="4" width="10.5703125" bestFit="1" customWidth="1"/>
    <col min="5" max="5" width="11.5703125" bestFit="1" customWidth="1"/>
    <col min="6" max="7" width="10.5703125" bestFit="1" customWidth="1"/>
    <col min="8" max="9" width="11.5703125" bestFit="1" customWidth="1"/>
    <col min="10" max="16" width="10.5703125" bestFit="1" customWidth="1"/>
  </cols>
  <sheetData>
    <row r="1" spans="1:19">
      <c r="B1">
        <v>2005</v>
      </c>
      <c r="C1">
        <v>2006</v>
      </c>
      <c r="D1">
        <v>2007</v>
      </c>
      <c r="E1">
        <v>2008</v>
      </c>
      <c r="F1">
        <v>2009</v>
      </c>
      <c r="G1">
        <v>2010</v>
      </c>
      <c r="H1">
        <v>2011</v>
      </c>
      <c r="I1">
        <v>2012</v>
      </c>
      <c r="J1">
        <v>2013</v>
      </c>
      <c r="K1">
        <v>2014</v>
      </c>
      <c r="L1">
        <v>2015</v>
      </c>
      <c r="M1">
        <v>2016</v>
      </c>
      <c r="N1">
        <v>2017</v>
      </c>
      <c r="O1">
        <v>2018</v>
      </c>
      <c r="P1">
        <v>2019</v>
      </c>
      <c r="Q1">
        <v>2020</v>
      </c>
      <c r="R1">
        <v>2021</v>
      </c>
      <c r="S1">
        <v>2022</v>
      </c>
    </row>
    <row r="2" spans="1:19">
      <c r="A2" t="s">
        <v>37</v>
      </c>
      <c r="B2" s="17">
        <v>91134</v>
      </c>
      <c r="C2" s="17">
        <v>91424</v>
      </c>
      <c r="D2" s="17">
        <v>98786</v>
      </c>
      <c r="E2" s="17">
        <v>103630</v>
      </c>
      <c r="F2" s="17">
        <v>95758</v>
      </c>
      <c r="G2" s="17">
        <v>99870</v>
      </c>
      <c r="H2" s="17">
        <v>106916</v>
      </c>
      <c r="I2" s="17">
        <v>104507</v>
      </c>
      <c r="J2" s="17">
        <v>98367</v>
      </c>
      <c r="K2" s="17">
        <v>92793</v>
      </c>
      <c r="L2" s="17">
        <v>81741</v>
      </c>
      <c r="M2" s="17">
        <v>79919</v>
      </c>
      <c r="N2" s="17">
        <v>79139</v>
      </c>
    </row>
    <row r="3" spans="1:19">
      <c r="A3" t="s">
        <v>214</v>
      </c>
      <c r="K3" s="18"/>
      <c r="L3" s="17">
        <f>L2</f>
        <v>81741</v>
      </c>
      <c r="M3" s="17">
        <f>M2</f>
        <v>79919</v>
      </c>
      <c r="N3" s="17">
        <v>70689.616800000003</v>
      </c>
      <c r="O3" s="17">
        <v>70689.616800000003</v>
      </c>
      <c r="P3" s="17">
        <v>72810.305304000009</v>
      </c>
      <c r="Q3" s="17">
        <v>74994.614463120015</v>
      </c>
    </row>
    <row r="4" spans="1:19">
      <c r="A4" t="s">
        <v>215</v>
      </c>
      <c r="K4" s="18"/>
      <c r="L4" s="17">
        <f>L3</f>
        <v>81741</v>
      </c>
      <c r="M4" s="17">
        <f>M3</f>
        <v>79919</v>
      </c>
      <c r="N4" s="17">
        <v>76877.410499999998</v>
      </c>
      <c r="O4" s="17">
        <v>80721.281025000004</v>
      </c>
      <c r="P4" s="17">
        <v>85564.557886500013</v>
      </c>
      <c r="Q4" s="17">
        <v>90698.431359690017</v>
      </c>
    </row>
    <row r="5" spans="1:19">
      <c r="A5" t="s">
        <v>216</v>
      </c>
      <c r="L5" s="17">
        <f t="shared" ref="L5:M8" si="0">L4</f>
        <v>81741</v>
      </c>
      <c r="M5" s="17">
        <f t="shared" si="0"/>
        <v>79919</v>
      </c>
      <c r="N5" s="17">
        <v>76782.179250000001</v>
      </c>
      <c r="O5" s="17">
        <v>75246.535665000003</v>
      </c>
      <c r="P5" s="17">
        <v>73741.604951700006</v>
      </c>
      <c r="Q5" s="17">
        <v>72266.772852666007</v>
      </c>
      <c r="R5" s="17">
        <v>70821.43739561268</v>
      </c>
    </row>
    <row r="6" spans="1:19">
      <c r="A6" t="s">
        <v>217</v>
      </c>
      <c r="L6" s="17">
        <f t="shared" si="0"/>
        <v>81741</v>
      </c>
      <c r="M6" s="17">
        <f t="shared" si="0"/>
        <v>79919</v>
      </c>
      <c r="N6" s="17">
        <v>79319.607499999998</v>
      </c>
      <c r="O6" s="17">
        <v>78526.411424999998</v>
      </c>
      <c r="P6" s="17">
        <v>77645.309415617128</v>
      </c>
      <c r="Q6" s="17">
        <v>77083.793527599773</v>
      </c>
      <c r="R6" s="17">
        <v>76789.599728937668</v>
      </c>
    </row>
    <row r="7" spans="1:19">
      <c r="A7" t="s">
        <v>218</v>
      </c>
      <c r="L7" s="17">
        <f t="shared" si="0"/>
        <v>81741</v>
      </c>
      <c r="M7" s="17">
        <f t="shared" si="0"/>
        <v>79919</v>
      </c>
      <c r="N7" s="18">
        <f>N2</f>
        <v>79139</v>
      </c>
      <c r="O7" s="17">
        <v>77430.100000000006</v>
      </c>
      <c r="P7" s="17">
        <v>75545.34</v>
      </c>
      <c r="Q7" s="17">
        <v>74141.968500000003</v>
      </c>
      <c r="R7" s="17">
        <v>73186.492274999997</v>
      </c>
      <c r="S7" s="17">
        <v>72649.499703750014</v>
      </c>
    </row>
    <row r="8" spans="1:19">
      <c r="A8" t="s">
        <v>219</v>
      </c>
      <c r="L8" s="17">
        <f t="shared" si="0"/>
        <v>81741</v>
      </c>
      <c r="M8" s="17">
        <f t="shared" si="0"/>
        <v>79919</v>
      </c>
      <c r="N8" s="18">
        <f>N7</f>
        <v>79139</v>
      </c>
      <c r="O8" s="17">
        <v>79255.100000000006</v>
      </c>
      <c r="P8" s="17">
        <v>80323.19</v>
      </c>
      <c r="Q8" s="17">
        <v>82363.703000000023</v>
      </c>
      <c r="R8" s="17">
        <v>85408.904540000032</v>
      </c>
      <c r="S8" s="17">
        <v>89503.374546800056</v>
      </c>
    </row>
    <row r="9" spans="1:19">
      <c r="M9" s="17"/>
      <c r="N9" s="17"/>
      <c r="O9" s="17"/>
      <c r="P9" s="17"/>
      <c r="Q9" s="17"/>
      <c r="R9" s="17"/>
    </row>
    <row r="10" spans="1:19">
      <c r="M10" s="17"/>
      <c r="N10" s="17"/>
      <c r="O10" s="17"/>
      <c r="P10" s="17"/>
      <c r="Q10" s="17"/>
      <c r="R10" s="17"/>
    </row>
    <row r="11" spans="1:19">
      <c r="B11">
        <v>2005</v>
      </c>
      <c r="C11">
        <v>2006</v>
      </c>
      <c r="D11">
        <v>2007</v>
      </c>
      <c r="E11">
        <v>2008</v>
      </c>
      <c r="F11">
        <v>2009</v>
      </c>
      <c r="G11">
        <v>2010</v>
      </c>
      <c r="H11">
        <v>2011</v>
      </c>
      <c r="I11">
        <v>2012</v>
      </c>
      <c r="J11">
        <v>2013</v>
      </c>
      <c r="K11">
        <v>2014</v>
      </c>
      <c r="L11">
        <v>2015</v>
      </c>
      <c r="M11">
        <v>2016</v>
      </c>
      <c r="N11">
        <v>2017</v>
      </c>
      <c r="O11">
        <v>2018</v>
      </c>
      <c r="P11">
        <v>2019</v>
      </c>
      <c r="Q11">
        <v>2020</v>
      </c>
      <c r="R11">
        <v>2021</v>
      </c>
      <c r="S11">
        <v>2022</v>
      </c>
    </row>
    <row r="12" spans="1:19">
      <c r="A12" t="s">
        <v>220</v>
      </c>
      <c r="B12" s="17">
        <v>9508.7934999999998</v>
      </c>
      <c r="C12" s="17">
        <v>9897.3968999999997</v>
      </c>
      <c r="D12" s="17">
        <v>10675.731599999999</v>
      </c>
      <c r="E12" s="17">
        <v>13357.018700000001</v>
      </c>
      <c r="F12" s="17">
        <v>15643.0983</v>
      </c>
      <c r="G12" s="17">
        <v>14645.742700000001</v>
      </c>
      <c r="H12" s="17">
        <v>14888.3604</v>
      </c>
      <c r="I12" s="17">
        <v>14828.5908</v>
      </c>
      <c r="J12" s="17">
        <v>12736.7505</v>
      </c>
      <c r="K12" s="17">
        <v>12342.018</v>
      </c>
      <c r="L12" s="17">
        <v>13156.855</v>
      </c>
      <c r="M12" s="18">
        <v>12512.285</v>
      </c>
      <c r="N12" s="18">
        <v>13627.475</v>
      </c>
    </row>
    <row r="13" spans="1:19">
      <c r="A13" t="s">
        <v>214</v>
      </c>
      <c r="B13" s="17"/>
      <c r="C13" s="17"/>
      <c r="D13" s="17"/>
      <c r="E13" s="17"/>
      <c r="F13" s="17"/>
      <c r="G13" s="17"/>
      <c r="H13" s="17"/>
      <c r="I13" s="17"/>
      <c r="J13" s="17"/>
      <c r="K13" s="17"/>
      <c r="L13" s="17">
        <f>L12</f>
        <v>13156.855</v>
      </c>
      <c r="M13" s="18">
        <v>9776.2236000000012</v>
      </c>
      <c r="N13" s="18">
        <v>9189.6501840000001</v>
      </c>
      <c r="O13" s="18">
        <v>9189.6501840000001</v>
      </c>
      <c r="P13" s="18">
        <v>9465.3396895200021</v>
      </c>
      <c r="Q13" s="18">
        <v>9749.2998802056027</v>
      </c>
    </row>
    <row r="14" spans="1:19">
      <c r="A14" t="s">
        <v>215</v>
      </c>
      <c r="B14" s="17"/>
      <c r="C14" s="17"/>
      <c r="D14" s="17"/>
      <c r="E14" s="17"/>
      <c r="F14" s="17"/>
      <c r="G14" s="17"/>
      <c r="H14" s="17"/>
      <c r="I14" s="17"/>
      <c r="J14" s="17"/>
      <c r="K14" s="17"/>
      <c r="L14" s="17">
        <f>L13</f>
        <v>13156.855</v>
      </c>
      <c r="M14" s="18">
        <v>12424.632</v>
      </c>
      <c r="N14" s="18">
        <v>12300.385679999999</v>
      </c>
      <c r="O14" s="18">
        <v>12915.404964000001</v>
      </c>
      <c r="P14" s="18">
        <v>13690.329261840003</v>
      </c>
      <c r="Q14" s="18">
        <v>14511.749017550403</v>
      </c>
    </row>
    <row r="15" spans="1:19">
      <c r="A15" t="s">
        <v>216</v>
      </c>
      <c r="M15" s="18">
        <f>M12</f>
        <v>12512.285</v>
      </c>
      <c r="N15" s="18">
        <v>11517.326887499999</v>
      </c>
      <c r="O15" s="17">
        <v>11286.98034975</v>
      </c>
      <c r="P15" s="17">
        <v>11061.240742755001</v>
      </c>
      <c r="Q15" s="17">
        <v>10840.0159278999</v>
      </c>
      <c r="R15" s="17">
        <v>10623.215609341902</v>
      </c>
    </row>
    <row r="16" spans="1:19">
      <c r="A16" t="s">
        <v>217</v>
      </c>
      <c r="M16" s="18">
        <f>M15</f>
        <v>12512.285</v>
      </c>
      <c r="N16" s="18">
        <v>13484.333275000001</v>
      </c>
      <c r="O16" s="17">
        <v>13349.48994225</v>
      </c>
      <c r="P16" s="17">
        <v>13199.702600654913</v>
      </c>
      <c r="Q16" s="17">
        <v>13104.244899691963</v>
      </c>
      <c r="R16" s="17">
        <v>13054.231953919405</v>
      </c>
    </row>
    <row r="17" spans="1:19">
      <c r="A17" t="s">
        <v>218</v>
      </c>
      <c r="M17" s="18">
        <v>12512.285</v>
      </c>
      <c r="N17" s="18">
        <v>13627.475</v>
      </c>
      <c r="O17" s="17">
        <v>11614.515000000001</v>
      </c>
      <c r="P17" s="17">
        <v>11331.800999999999</v>
      </c>
      <c r="Q17" s="17">
        <v>11121.295275</v>
      </c>
      <c r="R17" s="17">
        <v>10977.973841249999</v>
      </c>
      <c r="S17" s="17">
        <v>10897.424955562501</v>
      </c>
    </row>
    <row r="18" spans="1:19">
      <c r="A18" t="s">
        <v>219</v>
      </c>
      <c r="M18" s="18">
        <v>12512.285</v>
      </c>
      <c r="N18" s="17">
        <f>N17</f>
        <v>13627.475</v>
      </c>
      <c r="O18" s="17">
        <v>13473.367000000002</v>
      </c>
      <c r="P18" s="17">
        <v>13654.942300000001</v>
      </c>
      <c r="Q18" s="17">
        <v>14001.829510000005</v>
      </c>
      <c r="R18" s="17">
        <v>14519.513771800006</v>
      </c>
      <c r="S18" s="17">
        <v>15215.57367295601</v>
      </c>
    </row>
    <row r="19" spans="1:19">
      <c r="M19" s="18"/>
      <c r="N19" s="18"/>
      <c r="O19" s="17"/>
      <c r="P19" s="17"/>
      <c r="Q19" s="17"/>
      <c r="R19" s="17"/>
      <c r="S19" s="17"/>
    </row>
    <row r="20" spans="1:19">
      <c r="B20">
        <v>2005</v>
      </c>
      <c r="C20">
        <v>2006</v>
      </c>
      <c r="D20">
        <v>2007</v>
      </c>
      <c r="E20">
        <v>2008</v>
      </c>
      <c r="F20">
        <v>2009</v>
      </c>
      <c r="G20">
        <v>2010</v>
      </c>
      <c r="H20">
        <v>2011</v>
      </c>
      <c r="I20">
        <v>2012</v>
      </c>
      <c r="J20">
        <v>2013</v>
      </c>
      <c r="K20">
        <v>2014</v>
      </c>
      <c r="L20">
        <v>2015</v>
      </c>
      <c r="M20">
        <v>2016</v>
      </c>
      <c r="N20">
        <v>2017</v>
      </c>
      <c r="O20">
        <v>2018</v>
      </c>
      <c r="P20">
        <v>2019</v>
      </c>
      <c r="Q20">
        <v>2020</v>
      </c>
      <c r="R20">
        <v>2021</v>
      </c>
      <c r="S20">
        <v>2022</v>
      </c>
    </row>
    <row r="21" spans="1:19">
      <c r="A21" t="s">
        <v>73</v>
      </c>
      <c r="B21" s="17">
        <v>11050.524313040853</v>
      </c>
      <c r="C21" s="17">
        <v>5952.8533250323326</v>
      </c>
      <c r="D21" s="17">
        <v>9053.4158259782162</v>
      </c>
      <c r="E21" s="17">
        <v>7308.8710165012517</v>
      </c>
      <c r="F21" s="17">
        <v>15514.273219136594</v>
      </c>
      <c r="G21" s="17">
        <v>8592.7838064400639</v>
      </c>
      <c r="H21" s="17">
        <v>12233.547623732527</v>
      </c>
      <c r="I21" s="17">
        <v>10488.170333509759</v>
      </c>
      <c r="J21" s="17">
        <v>9958.8975432565894</v>
      </c>
      <c r="K21" s="17">
        <v>11733.471462637361</v>
      </c>
      <c r="L21" s="17">
        <v>8925.5980653999995</v>
      </c>
      <c r="M21" s="17">
        <v>6906.4267814300001</v>
      </c>
      <c r="N21" s="17">
        <v>10315.926803660001</v>
      </c>
      <c r="O21" s="17"/>
      <c r="P21" s="17"/>
    </row>
    <row r="22" spans="1:19">
      <c r="A22" t="s">
        <v>214</v>
      </c>
      <c r="B22" s="17"/>
      <c r="C22" s="17"/>
      <c r="D22" s="17"/>
      <c r="E22" s="17"/>
      <c r="F22" s="17"/>
      <c r="G22" s="17"/>
      <c r="H22" s="17"/>
      <c r="I22" s="17"/>
      <c r="J22" s="17"/>
      <c r="K22" s="18"/>
      <c r="L22" s="18">
        <f>L21</f>
        <v>8925.5980653999995</v>
      </c>
      <c r="M22" s="17">
        <v>7332.1677000000009</v>
      </c>
      <c r="N22" s="17">
        <v>6892.2376380000005</v>
      </c>
      <c r="O22" s="17">
        <v>6892.2376380000005</v>
      </c>
      <c r="P22" s="17">
        <v>7099.0047671400016</v>
      </c>
      <c r="Q22" s="17">
        <v>7311.974910154202</v>
      </c>
    </row>
    <row r="23" spans="1:19">
      <c r="A23" t="s">
        <v>215</v>
      </c>
      <c r="B23" s="17"/>
      <c r="C23" s="17"/>
      <c r="D23" s="17"/>
      <c r="E23" s="17"/>
      <c r="F23" s="17"/>
      <c r="G23" s="17"/>
      <c r="H23" s="17"/>
      <c r="I23" s="17"/>
      <c r="J23" s="17"/>
      <c r="K23" s="18"/>
      <c r="L23" s="18">
        <f>L22</f>
        <v>8925.5980653999995</v>
      </c>
      <c r="M23" s="17">
        <v>9318.4740000000002</v>
      </c>
      <c r="N23" s="17">
        <v>9225.2892599999996</v>
      </c>
      <c r="O23" s="17">
        <v>9686.5537230000009</v>
      </c>
      <c r="P23" s="17">
        <v>10267.746946380003</v>
      </c>
      <c r="Q23" s="17">
        <v>10883.811763162801</v>
      </c>
    </row>
    <row r="24" spans="1:19">
      <c r="A24" t="s">
        <v>216</v>
      </c>
      <c r="L24" s="18"/>
      <c r="M24" s="18">
        <f>M21</f>
        <v>6906.4267814300001</v>
      </c>
      <c r="N24" s="17">
        <v>8631.2520000000004</v>
      </c>
      <c r="O24" s="17">
        <v>8334.5527125000008</v>
      </c>
      <c r="P24" s="17">
        <v>8095.8446493750016</v>
      </c>
      <c r="Q24" s="17">
        <v>7910.7447529687515</v>
      </c>
      <c r="R24" s="17">
        <v>7775.37907462969</v>
      </c>
    </row>
    <row r="25" spans="1:19">
      <c r="A25" t="s">
        <v>217</v>
      </c>
      <c r="L25" s="18"/>
      <c r="M25" s="18">
        <f>M24</f>
        <v>6906.4267814300001</v>
      </c>
      <c r="N25" s="17">
        <v>10067.396430000003</v>
      </c>
      <c r="O25" s="17">
        <v>10064.950908600003</v>
      </c>
      <c r="P25" s="17">
        <v>10183.265233932005</v>
      </c>
      <c r="Q25" s="17">
        <v>10424.725256673846</v>
      </c>
      <c r="R25" s="17">
        <v>10793.213662677706</v>
      </c>
    </row>
    <row r="26" spans="1:19">
      <c r="A26" t="s">
        <v>218</v>
      </c>
      <c r="C26" s="99"/>
      <c r="L26" s="18"/>
      <c r="M26" s="18">
        <f t="shared" ref="M26:M27" si="1">M25</f>
        <v>6906.4267814300001</v>
      </c>
      <c r="N26" s="18">
        <f>N21</f>
        <v>10315.926803660001</v>
      </c>
      <c r="O26" s="18">
        <v>8710.8862500000014</v>
      </c>
      <c r="P26" s="18">
        <v>8498.8507499999996</v>
      </c>
      <c r="Q26" s="18">
        <v>8340.9714562500012</v>
      </c>
      <c r="R26" s="18">
        <v>8233.4803809374989</v>
      </c>
      <c r="S26" s="18">
        <v>8173.0687166718762</v>
      </c>
    </row>
    <row r="27" spans="1:19">
      <c r="A27" t="s">
        <v>219</v>
      </c>
      <c r="C27" s="99"/>
      <c r="L27" s="18"/>
      <c r="M27" s="18">
        <f t="shared" si="1"/>
        <v>6906.4267814300001</v>
      </c>
      <c r="N27" s="18">
        <f>N21</f>
        <v>10315.926803660001</v>
      </c>
      <c r="O27" s="18">
        <v>10105.025250000002</v>
      </c>
      <c r="P27" s="18">
        <v>10241.206725</v>
      </c>
      <c r="Q27" s="18">
        <v>10501.372132500004</v>
      </c>
      <c r="R27" s="18">
        <v>10889.635328850005</v>
      </c>
      <c r="S27" s="18">
        <v>11411.680254717008</v>
      </c>
    </row>
    <row r="29" spans="1:19">
      <c r="C29" s="99"/>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1A5A6-98FF-4415-A062-A50B78C2AC4E}">
  <dimension ref="A1:J50"/>
  <sheetViews>
    <sheetView workbookViewId="0">
      <selection activeCell="L12" sqref="L12"/>
    </sheetView>
  </sheetViews>
  <sheetFormatPr defaultRowHeight="15"/>
  <cols>
    <col min="1" max="1" width="30" bestFit="1" customWidth="1"/>
    <col min="2" max="4" width="10.5703125" bestFit="1" customWidth="1"/>
    <col min="5" max="6" width="10.5703125" customWidth="1"/>
  </cols>
  <sheetData>
    <row r="1" spans="1:10">
      <c r="A1" s="10" t="s">
        <v>37</v>
      </c>
      <c r="B1">
        <v>2014</v>
      </c>
      <c r="C1">
        <v>2015</v>
      </c>
      <c r="D1">
        <v>2016</v>
      </c>
      <c r="E1" s="165">
        <v>2017</v>
      </c>
      <c r="F1" s="167">
        <v>2017</v>
      </c>
      <c r="G1" s="168">
        <v>2018</v>
      </c>
      <c r="H1" s="168">
        <v>2019</v>
      </c>
      <c r="I1" s="168">
        <v>2020</v>
      </c>
      <c r="J1" s="168">
        <v>2021</v>
      </c>
    </row>
    <row r="2" spans="1:10">
      <c r="A2" t="s">
        <v>221</v>
      </c>
      <c r="B2" s="17">
        <v>21906</v>
      </c>
      <c r="C2" s="17">
        <v>20055</v>
      </c>
      <c r="D2" s="17">
        <v>20817</v>
      </c>
      <c r="E2" s="169">
        <v>21100</v>
      </c>
      <c r="F2" s="169">
        <f>D2*(1+$D11)</f>
        <v>21607.952580403889</v>
      </c>
      <c r="G2" s="17">
        <f t="shared" ref="G2:J6" si="0">F2*(1+$D11)</f>
        <v>22428.957809337709</v>
      </c>
      <c r="H2" s="17">
        <f t="shared" si="0"/>
        <v>23281.15755257956</v>
      </c>
      <c r="I2" s="17">
        <f t="shared" si="0"/>
        <v>24165.737061682805</v>
      </c>
      <c r="J2" s="17">
        <f t="shared" si="0"/>
        <v>25083.926622440835</v>
      </c>
    </row>
    <row r="3" spans="1:10">
      <c r="A3" t="s">
        <v>222</v>
      </c>
      <c r="B3" s="17">
        <v>20055</v>
      </c>
      <c r="C3" s="17">
        <v>17664</v>
      </c>
      <c r="D3" s="17">
        <v>17109</v>
      </c>
      <c r="E3" s="169">
        <v>16711</v>
      </c>
      <c r="F3" s="169">
        <f>D3*(1+$D12)</f>
        <v>16571.438009510868</v>
      </c>
      <c r="G3" s="17">
        <f t="shared" si="0"/>
        <v>16050.76612911693</v>
      </c>
      <c r="H3" s="17">
        <f t="shared" si="0"/>
        <v>15546.453674312814</v>
      </c>
      <c r="I3" s="17">
        <f t="shared" si="0"/>
        <v>15057.986634613788</v>
      </c>
      <c r="J3" s="17">
        <f t="shared" si="0"/>
        <v>14584.867149660739</v>
      </c>
    </row>
    <row r="4" spans="1:10">
      <c r="A4" t="s">
        <v>223</v>
      </c>
      <c r="B4" s="17">
        <v>39729</v>
      </c>
      <c r="C4" s="17">
        <v>35840</v>
      </c>
      <c r="D4" s="17">
        <v>36052</v>
      </c>
      <c r="E4" s="169">
        <v>34934</v>
      </c>
      <c r="F4" s="169">
        <f>D4*(1+$D13)</f>
        <v>36265.254017857143</v>
      </c>
      <c r="G4" s="17">
        <f t="shared" si="0"/>
        <v>36479.769471310989</v>
      </c>
      <c r="H4" s="17">
        <f t="shared" si="0"/>
        <v>36695.553821978341</v>
      </c>
      <c r="I4" s="17">
        <f t="shared" si="0"/>
        <v>36912.614575612817</v>
      </c>
      <c r="J4" s="17">
        <f t="shared" si="0"/>
        <v>37130.95928236589</v>
      </c>
    </row>
    <row r="5" spans="1:10">
      <c r="A5" t="s">
        <v>224</v>
      </c>
      <c r="B5" s="17">
        <v>13300</v>
      </c>
      <c r="C5" s="17">
        <v>10325</v>
      </c>
      <c r="D5" s="17">
        <v>8464</v>
      </c>
      <c r="E5" s="169">
        <v>8945</v>
      </c>
      <c r="F5" s="169">
        <f>D5*(1+$D14)</f>
        <v>6938.4306053268765</v>
      </c>
      <c r="G5" s="17">
        <f t="shared" si="0"/>
        <v>5687.8330889575482</v>
      </c>
      <c r="H5" s="17">
        <f t="shared" si="0"/>
        <v>4662.645933650042</v>
      </c>
      <c r="I5" s="17">
        <f t="shared" si="0"/>
        <v>3822.240695633313</v>
      </c>
      <c r="J5" s="17">
        <f t="shared" si="0"/>
        <v>3133.3118884106884</v>
      </c>
    </row>
    <row r="6" spans="1:10">
      <c r="A6" t="s">
        <v>225</v>
      </c>
      <c r="B6" s="17">
        <v>4522</v>
      </c>
      <c r="C6" s="17">
        <v>4477</v>
      </c>
      <c r="D6" s="17">
        <v>3494</v>
      </c>
      <c r="E6" s="169">
        <v>3168</v>
      </c>
      <c r="F6" s="169">
        <f>D6*(1+$D15)</f>
        <v>2726.8340406522225</v>
      </c>
      <c r="G6" s="17">
        <f t="shared" si="0"/>
        <v>2128.1121594904766</v>
      </c>
      <c r="H6" s="17">
        <f t="shared" si="0"/>
        <v>1660.8496504935727</v>
      </c>
      <c r="I6" s="17">
        <f t="shared" si="0"/>
        <v>1296.1824165344076</v>
      </c>
      <c r="J6" s="17">
        <f t="shared" si="0"/>
        <v>1011.5839542933259</v>
      </c>
    </row>
    <row r="7" spans="1:10">
      <c r="B7" s="17"/>
      <c r="C7" s="17"/>
      <c r="D7" s="17"/>
      <c r="E7" s="169"/>
      <c r="F7" s="169"/>
      <c r="G7" s="17"/>
      <c r="H7" s="17"/>
      <c r="I7" s="17"/>
      <c r="J7" s="17"/>
    </row>
    <row r="8" spans="1:10">
      <c r="B8" s="18">
        <f t="shared" ref="B8:C8" si="1">SUM(B2:B6)</f>
        <v>99512</v>
      </c>
      <c r="C8" s="18">
        <f t="shared" si="1"/>
        <v>88361</v>
      </c>
      <c r="D8" s="18">
        <f>SUM(D2:D6)</f>
        <v>85936</v>
      </c>
      <c r="E8" s="170">
        <f>SUM(E2:E6)</f>
        <v>84858</v>
      </c>
      <c r="F8" s="170">
        <f>SUM(F2:F6)</f>
        <v>84109.909253751001</v>
      </c>
      <c r="G8" s="18">
        <f t="shared" ref="G8:J8" si="2">SUM(G2:G6)</f>
        <v>82775.43865821365</v>
      </c>
      <c r="H8" s="18">
        <f t="shared" si="2"/>
        <v>81846.66063301434</v>
      </c>
      <c r="I8" s="18">
        <f t="shared" si="2"/>
        <v>81254.761384077123</v>
      </c>
      <c r="J8" s="18">
        <f t="shared" si="2"/>
        <v>80944.648897171486</v>
      </c>
    </row>
    <row r="9" spans="1:10">
      <c r="C9" s="20">
        <f t="shared" ref="C9:D9" si="3">C8/B8-1</f>
        <v>-0.11205683736634775</v>
      </c>
      <c r="D9" s="20">
        <f t="shared" si="3"/>
        <v>-2.7444234447324023E-2</v>
      </c>
      <c r="E9" s="171">
        <f>E8/D8-1</f>
        <v>-1.2544218953639885E-2</v>
      </c>
      <c r="F9" s="171">
        <f>F8/D8-1</f>
        <v>-2.1249426855438958E-2</v>
      </c>
      <c r="G9" s="20">
        <f t="shared" ref="G9:J9" si="4">G8/F8-1</f>
        <v>-1.5865795212207212E-2</v>
      </c>
      <c r="H9" s="20">
        <f t="shared" si="4"/>
        <v>-1.1220454282752979E-2</v>
      </c>
      <c r="I9" s="20">
        <f t="shared" si="4"/>
        <v>-7.2318069467878221E-3</v>
      </c>
      <c r="J9" s="20">
        <f t="shared" si="4"/>
        <v>-3.816545413748651E-3</v>
      </c>
    </row>
    <row r="10" spans="1:10">
      <c r="A10" s="10" t="s">
        <v>226</v>
      </c>
      <c r="E10" s="165"/>
      <c r="F10" s="171"/>
      <c r="G10" s="20"/>
      <c r="H10" s="20"/>
      <c r="I10" s="20"/>
      <c r="J10" s="20"/>
    </row>
    <row r="11" spans="1:10">
      <c r="A11" t="s">
        <v>221</v>
      </c>
      <c r="C11" s="20">
        <f t="shared" ref="C11:E15" si="5">C2/B2-1</f>
        <v>-8.4497397973158028E-2</v>
      </c>
      <c r="D11" s="20">
        <f t="shared" si="5"/>
        <v>3.7995512341062021E-2</v>
      </c>
      <c r="E11" s="171">
        <f>E2/D2-1</f>
        <v>1.3594658212038313E-2</v>
      </c>
      <c r="F11" s="165"/>
    </row>
    <row r="12" spans="1:10">
      <c r="A12" t="s">
        <v>222</v>
      </c>
      <c r="C12" s="20">
        <f t="shared" si="5"/>
        <v>-0.11922213911742707</v>
      </c>
      <c r="D12" s="20">
        <f t="shared" si="5"/>
        <v>-3.1419836956521729E-2</v>
      </c>
      <c r="E12" s="171">
        <f t="shared" si="5"/>
        <v>-2.3262610322052679E-2</v>
      </c>
      <c r="F12" s="165"/>
    </row>
    <row r="13" spans="1:10">
      <c r="A13" t="s">
        <v>223</v>
      </c>
      <c r="C13" s="20">
        <f t="shared" si="5"/>
        <v>-9.7888192504216098E-2</v>
      </c>
      <c r="D13" s="20">
        <f t="shared" si="5"/>
        <v>5.9151785714286476E-3</v>
      </c>
      <c r="E13" s="171">
        <f t="shared" si="5"/>
        <v>-3.1010762232331124E-2</v>
      </c>
      <c r="F13" s="165"/>
    </row>
    <row r="14" spans="1:10">
      <c r="A14" t="s">
        <v>224</v>
      </c>
      <c r="C14" s="20">
        <f t="shared" si="5"/>
        <v>-0.22368421052631582</v>
      </c>
      <c r="D14" s="20">
        <f t="shared" si="5"/>
        <v>-0.18024213075060536</v>
      </c>
      <c r="E14" s="171">
        <f t="shared" si="5"/>
        <v>5.6828922495274048E-2</v>
      </c>
      <c r="F14" s="165"/>
    </row>
    <row r="15" spans="1:10">
      <c r="A15" t="s">
        <v>225</v>
      </c>
      <c r="C15" s="20">
        <f t="shared" si="5"/>
        <v>-9.9513489606368744E-3</v>
      </c>
      <c r="D15" s="20">
        <f t="shared" si="5"/>
        <v>-0.21956667411212871</v>
      </c>
      <c r="E15" s="171">
        <f t="shared" si="5"/>
        <v>-9.3302804808242712E-2</v>
      </c>
      <c r="F15" s="165"/>
    </row>
    <row r="17" spans="1:9">
      <c r="A17" s="10" t="s">
        <v>227</v>
      </c>
    </row>
    <row r="18" spans="1:9">
      <c r="A18" t="s">
        <v>221</v>
      </c>
      <c r="D18" s="164">
        <f>SUM(C2:D2)/SUM(B2:C2)-1</f>
        <v>-2.5952670336741313E-2</v>
      </c>
      <c r="E18" s="164"/>
    </row>
    <row r="19" spans="1:9">
      <c r="A19" t="s">
        <v>222</v>
      </c>
      <c r="D19" s="164">
        <f>SUM(C3:D3)/SUM(B3:C3)-1</f>
        <v>-7.8103873379463895E-2</v>
      </c>
      <c r="E19" s="164"/>
    </row>
    <row r="20" spans="1:9">
      <c r="A20" t="s">
        <v>223</v>
      </c>
      <c r="D20" s="164">
        <f>SUM(C4:D4)/SUM(B4:C4)-1</f>
        <v>-4.8657518294538793E-2</v>
      </c>
      <c r="E20" s="164"/>
    </row>
    <row r="21" spans="1:9">
      <c r="A21" t="s">
        <v>224</v>
      </c>
      <c r="D21" s="164">
        <f>SUM(C5:D5)/SUM(B5:C5)-1</f>
        <v>-0.20469841269841271</v>
      </c>
      <c r="E21" s="164"/>
    </row>
    <row r="22" spans="1:9">
      <c r="A22" t="s">
        <v>225</v>
      </c>
      <c r="D22" s="164">
        <f>SUM(C6:D6)/SUM(B6:C6)-1</f>
        <v>-0.11423491499055449</v>
      </c>
      <c r="E22" s="164"/>
    </row>
    <row r="23" spans="1:9">
      <c r="D23" s="164"/>
      <c r="E23" s="164"/>
    </row>
    <row r="24" spans="1:9">
      <c r="A24" s="10" t="s">
        <v>228</v>
      </c>
      <c r="H24" t="s">
        <v>229</v>
      </c>
      <c r="I24" t="s">
        <v>230</v>
      </c>
    </row>
    <row r="25" spans="1:9">
      <c r="A25" t="s">
        <v>221</v>
      </c>
      <c r="B25" s="172">
        <f>B2/SUM(B$2:B$6)</f>
        <v>0.22013425516520621</v>
      </c>
      <c r="C25" s="172">
        <f t="shared" ref="C25:D25" si="6">C2/SUM(C$2:C$6)</f>
        <v>0.22696664818189019</v>
      </c>
      <c r="D25" s="172">
        <f t="shared" si="6"/>
        <v>0.24223840997951965</v>
      </c>
      <c r="E25" s="172"/>
      <c r="H25" t="s">
        <v>221</v>
      </c>
      <c r="I25" s="135">
        <v>9.2039724958560797E-3</v>
      </c>
    </row>
    <row r="26" spans="1:9">
      <c r="A26" t="s">
        <v>222</v>
      </c>
      <c r="B26" s="172">
        <f t="shared" ref="B26:D29" si="7">B3/SUM(B$2:B$6)</f>
        <v>0.20153348339898705</v>
      </c>
      <c r="C26" s="172">
        <f t="shared" si="7"/>
        <v>0.19990719887733277</v>
      </c>
      <c r="D26" s="172">
        <f t="shared" si="7"/>
        <v>0.19909002048035748</v>
      </c>
      <c r="E26" s="172"/>
      <c r="H26" t="s">
        <v>223</v>
      </c>
      <c r="I26" s="135">
        <v>2.4815446129345746E-3</v>
      </c>
    </row>
    <row r="27" spans="1:9">
      <c r="A27" t="s">
        <v>223</v>
      </c>
      <c r="B27" s="172">
        <f t="shared" si="7"/>
        <v>0.39923828282016238</v>
      </c>
      <c r="C27" s="172">
        <f t="shared" si="7"/>
        <v>0.40560880931632731</v>
      </c>
      <c r="D27" s="172">
        <f t="shared" si="7"/>
        <v>0.41952150437534907</v>
      </c>
      <c r="E27" s="172"/>
      <c r="H27" t="s">
        <v>222</v>
      </c>
      <c r="I27" s="135">
        <v>-6.2553759831634036E-3</v>
      </c>
    </row>
    <row r="28" spans="1:9">
      <c r="A28" t="s">
        <v>224</v>
      </c>
      <c r="B28" s="172">
        <f t="shared" si="7"/>
        <v>0.13365222284749578</v>
      </c>
      <c r="C28" s="172">
        <f t="shared" si="7"/>
        <v>0.11685019409015289</v>
      </c>
      <c r="D28" s="172">
        <f t="shared" si="7"/>
        <v>9.849190094954384E-2</v>
      </c>
      <c r="E28" s="172"/>
      <c r="H28" t="s">
        <v>225</v>
      </c>
      <c r="I28" s="135">
        <v>-8.9271778922428054E-3</v>
      </c>
    </row>
    <row r="29" spans="1:9">
      <c r="A29" t="s">
        <v>225</v>
      </c>
      <c r="B29" s="172">
        <f t="shared" si="7"/>
        <v>4.5441755768148566E-2</v>
      </c>
      <c r="C29" s="172">
        <f t="shared" si="7"/>
        <v>5.0667149534296803E-2</v>
      </c>
      <c r="D29" s="172">
        <f t="shared" si="7"/>
        <v>4.0658164215229942E-2</v>
      </c>
      <c r="E29" s="172"/>
      <c r="H29" t="s">
        <v>224</v>
      </c>
      <c r="I29" s="135">
        <v>-1.7752390088823351E-2</v>
      </c>
    </row>
    <row r="30" spans="1:9">
      <c r="D30" s="164"/>
      <c r="E30" s="164"/>
      <c r="F30" s="135"/>
    </row>
    <row r="31" spans="1:9">
      <c r="A31" s="10" t="s">
        <v>231</v>
      </c>
    </row>
    <row r="32" spans="1:9">
      <c r="A32" t="s">
        <v>221</v>
      </c>
      <c r="B32" s="17">
        <v>8215</v>
      </c>
      <c r="C32" s="17">
        <v>7245</v>
      </c>
      <c r="D32" s="17">
        <v>6352</v>
      </c>
      <c r="E32" s="17"/>
    </row>
    <row r="33" spans="1:7">
      <c r="A33" t="s">
        <v>222</v>
      </c>
      <c r="B33" s="17">
        <v>3347</v>
      </c>
      <c r="C33" s="17">
        <v>2602</v>
      </c>
      <c r="D33" s="17">
        <v>1732</v>
      </c>
      <c r="E33" s="17"/>
    </row>
    <row r="34" spans="1:7">
      <c r="A34" t="s">
        <v>223</v>
      </c>
      <c r="B34" s="17">
        <v>7084</v>
      </c>
      <c r="C34" s="17">
        <v>5669</v>
      </c>
      <c r="D34" s="17">
        <v>4707</v>
      </c>
      <c r="E34" s="17"/>
    </row>
    <row r="35" spans="1:7">
      <c r="A35" t="s">
        <v>224</v>
      </c>
      <c r="B35" s="17">
        <v>1384</v>
      </c>
      <c r="C35" s="17">
        <v>1722</v>
      </c>
      <c r="D35" s="17">
        <v>933</v>
      </c>
      <c r="E35" s="17"/>
    </row>
    <row r="36" spans="1:7">
      <c r="A36" t="s">
        <v>225</v>
      </c>
      <c r="B36" s="17">
        <v>2189</v>
      </c>
      <c r="C36" s="17">
        <v>2364</v>
      </c>
      <c r="D36" s="17">
        <v>1656</v>
      </c>
      <c r="E36" s="17"/>
    </row>
    <row r="38" spans="1:7">
      <c r="A38" s="10" t="s">
        <v>232</v>
      </c>
    </row>
    <row r="39" spans="1:7">
      <c r="A39" t="s">
        <v>221</v>
      </c>
      <c r="B39" s="20">
        <f t="shared" ref="B39:D43" si="8">B32/B2</f>
        <v>0.37501141239842967</v>
      </c>
      <c r="C39" s="20">
        <f t="shared" si="8"/>
        <v>0.36125654450261779</v>
      </c>
      <c r="D39" s="20">
        <f t="shared" si="8"/>
        <v>0.3051352260171975</v>
      </c>
      <c r="E39" s="20"/>
      <c r="G39" s="99"/>
    </row>
    <row r="40" spans="1:7">
      <c r="A40" t="s">
        <v>222</v>
      </c>
      <c r="B40" s="20">
        <f t="shared" si="8"/>
        <v>0.16689104961356271</v>
      </c>
      <c r="C40" s="20">
        <f t="shared" si="8"/>
        <v>0.14730525362318841</v>
      </c>
      <c r="D40" s="20">
        <f t="shared" si="8"/>
        <v>0.10123326903968671</v>
      </c>
      <c r="E40" s="20"/>
    </row>
    <row r="41" spans="1:7">
      <c r="A41" t="s">
        <v>223</v>
      </c>
      <c r="B41" s="20">
        <f t="shared" si="8"/>
        <v>0.17830803695033853</v>
      </c>
      <c r="C41" s="20">
        <f t="shared" si="8"/>
        <v>0.1581752232142857</v>
      </c>
      <c r="D41" s="20">
        <f t="shared" si="8"/>
        <v>0.1305614112947964</v>
      </c>
      <c r="E41" s="20"/>
    </row>
    <row r="42" spans="1:7">
      <c r="A42" t="s">
        <v>224</v>
      </c>
      <c r="B42" s="20">
        <f t="shared" si="8"/>
        <v>0.10406015037593985</v>
      </c>
      <c r="C42" s="20">
        <f t="shared" si="8"/>
        <v>0.16677966101694916</v>
      </c>
      <c r="D42" s="20">
        <f t="shared" si="8"/>
        <v>0.11023156899810964</v>
      </c>
      <c r="E42" s="20"/>
    </row>
    <row r="43" spans="1:7">
      <c r="A43" t="s">
        <v>225</v>
      </c>
      <c r="B43" s="20">
        <f t="shared" si="8"/>
        <v>0.48407784166298096</v>
      </c>
      <c r="C43" s="20">
        <f t="shared" si="8"/>
        <v>0.52803216439580081</v>
      </c>
      <c r="D43" s="20">
        <f t="shared" si="8"/>
        <v>0.47395535203205497</v>
      </c>
      <c r="E43" s="20"/>
    </row>
    <row r="45" spans="1:7">
      <c r="A45" s="10" t="s">
        <v>233</v>
      </c>
    </row>
    <row r="46" spans="1:7">
      <c r="A46" t="s">
        <v>221</v>
      </c>
      <c r="B46" s="172">
        <f>B32/SUM(B$32:B$36)</f>
        <v>0.36972861064854406</v>
      </c>
      <c r="C46" s="172">
        <f t="shared" ref="C46:D46" si="9">C32/SUM(C$32:C$36)</f>
        <v>0.36960514233241504</v>
      </c>
      <c r="D46" s="172">
        <f t="shared" si="9"/>
        <v>0.41300390117035113</v>
      </c>
      <c r="E46" s="172"/>
    </row>
    <row r="47" spans="1:7">
      <c r="A47" t="s">
        <v>222</v>
      </c>
      <c r="B47" s="172">
        <f t="shared" ref="B47:D50" si="10">B33/SUM(B$32:B$36)</f>
        <v>0.15063684234213962</v>
      </c>
      <c r="C47" s="172">
        <f t="shared" si="10"/>
        <v>0.13274155698398121</v>
      </c>
      <c r="D47" s="172">
        <f t="shared" si="10"/>
        <v>0.11261378413524058</v>
      </c>
      <c r="E47" s="172"/>
    </row>
    <row r="48" spans="1:7">
      <c r="A48" t="s">
        <v>223</v>
      </c>
      <c r="B48" s="172">
        <f t="shared" si="10"/>
        <v>0.31882622980332148</v>
      </c>
      <c r="C48" s="172">
        <f t="shared" si="10"/>
        <v>0.2892051831445771</v>
      </c>
      <c r="D48" s="172">
        <f t="shared" si="10"/>
        <v>0.30604681404421324</v>
      </c>
      <c r="E48" s="172"/>
    </row>
    <row r="49" spans="1:5">
      <c r="A49" t="s">
        <v>224</v>
      </c>
      <c r="B49" s="172">
        <f t="shared" si="10"/>
        <v>6.2289031909626896E-2</v>
      </c>
      <c r="C49" s="172">
        <f t="shared" si="10"/>
        <v>8.7848178757269663E-2</v>
      </c>
      <c r="D49" s="172">
        <f t="shared" si="10"/>
        <v>6.0663198959687907E-2</v>
      </c>
      <c r="E49" s="172"/>
    </row>
    <row r="50" spans="1:5">
      <c r="A50" t="s">
        <v>225</v>
      </c>
      <c r="B50" s="172">
        <f t="shared" si="10"/>
        <v>9.851928529636797E-2</v>
      </c>
      <c r="C50" s="172">
        <f t="shared" si="10"/>
        <v>0.12059993878175697</v>
      </c>
      <c r="D50" s="172">
        <f t="shared" si="10"/>
        <v>0.10767230169050715</v>
      </c>
      <c r="E50" s="17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A233A-3661-4371-9F5D-13E458A8EE11}">
  <dimension ref="A1:P139"/>
  <sheetViews>
    <sheetView workbookViewId="0">
      <pane ySplit="1" topLeftCell="A2" activePane="bottomLeft" state="frozen"/>
      <selection activeCell="L12" sqref="L12"/>
      <selection pane="bottomLeft" activeCell="L12" sqref="L12"/>
    </sheetView>
  </sheetViews>
  <sheetFormatPr defaultRowHeight="12.75"/>
  <cols>
    <col min="1" max="1" width="29.42578125" style="173" customWidth="1"/>
    <col min="2" max="5" width="10.7109375" style="173" hidden="1" customWidth="1"/>
    <col min="6" max="14" width="10.7109375" style="173" customWidth="1"/>
    <col min="15" max="16384" width="9.140625" style="173"/>
  </cols>
  <sheetData>
    <row r="1" spans="1:16">
      <c r="B1" s="173">
        <v>2000</v>
      </c>
      <c r="C1" s="173">
        <v>2001</v>
      </c>
      <c r="D1" s="173">
        <v>2002</v>
      </c>
      <c r="E1" s="173">
        <v>2003</v>
      </c>
      <c r="F1" s="173">
        <v>2004</v>
      </c>
      <c r="G1" s="173">
        <v>2005</v>
      </c>
      <c r="H1" s="173">
        <v>2006</v>
      </c>
      <c r="I1" s="173">
        <v>2007</v>
      </c>
      <c r="J1" s="173">
        <v>2008</v>
      </c>
      <c r="K1" s="173">
        <v>2009</v>
      </c>
      <c r="L1" s="173">
        <v>2010</v>
      </c>
      <c r="M1" s="173">
        <v>2011</v>
      </c>
      <c r="N1" s="173">
        <v>2012</v>
      </c>
      <c r="O1" s="173">
        <v>2013</v>
      </c>
      <c r="P1" s="173">
        <v>2014</v>
      </c>
    </row>
    <row r="2" spans="1:16">
      <c r="A2" s="174" t="s">
        <v>234</v>
      </c>
      <c r="B2" s="175"/>
      <c r="C2" s="175"/>
      <c r="D2" s="175"/>
      <c r="E2" s="175"/>
      <c r="F2" s="175"/>
      <c r="G2" s="175"/>
      <c r="H2" s="175"/>
      <c r="I2" s="175"/>
      <c r="J2" s="175"/>
      <c r="K2" s="175"/>
      <c r="L2" s="175"/>
      <c r="M2" s="175"/>
      <c r="N2" s="175"/>
      <c r="O2" s="175"/>
      <c r="P2" s="175"/>
    </row>
    <row r="3" spans="1:16" ht="15">
      <c r="A3" s="176" t="s">
        <v>37</v>
      </c>
      <c r="B3" s="177"/>
      <c r="C3" s="177"/>
      <c r="D3" s="177"/>
      <c r="E3" s="177"/>
      <c r="F3" s="177"/>
      <c r="G3" s="177"/>
      <c r="H3" s="177"/>
      <c r="I3" s="177"/>
      <c r="J3" s="177"/>
      <c r="K3" s="177"/>
      <c r="L3" s="177"/>
      <c r="M3" s="177"/>
      <c r="N3" s="177"/>
    </row>
    <row r="4" spans="1:16" ht="15">
      <c r="A4" s="173" t="s">
        <v>235</v>
      </c>
      <c r="B4" s="177"/>
      <c r="C4" s="177"/>
      <c r="D4" s="177"/>
      <c r="E4" s="177"/>
      <c r="F4" s="177">
        <v>32458</v>
      </c>
      <c r="G4" s="177">
        <v>33603</v>
      </c>
      <c r="H4" s="177">
        <v>34086</v>
      </c>
      <c r="I4" s="177">
        <v>37739</v>
      </c>
      <c r="J4" s="177">
        <v>40810</v>
      </c>
      <c r="K4" s="177">
        <v>38734</v>
      </c>
      <c r="L4" s="177">
        <v>39514</v>
      </c>
      <c r="M4" s="177">
        <v>42121</v>
      </c>
      <c r="N4" s="177">
        <v>41402</v>
      </c>
      <c r="O4" s="177">
        <v>38551</v>
      </c>
      <c r="P4" s="177">
        <v>37130</v>
      </c>
    </row>
    <row r="5" spans="1:16" ht="15">
      <c r="A5" s="173" t="s">
        <v>236</v>
      </c>
      <c r="B5" s="177"/>
      <c r="C5" s="177"/>
      <c r="D5" s="177"/>
      <c r="E5" s="177"/>
      <c r="F5" s="177">
        <v>17574</v>
      </c>
      <c r="G5" s="177">
        <v>17245</v>
      </c>
      <c r="H5" s="177">
        <v>17341</v>
      </c>
      <c r="I5" s="177">
        <v>19234</v>
      </c>
      <c r="J5" s="177">
        <v>20671</v>
      </c>
      <c r="K5" s="177">
        <v>18540</v>
      </c>
      <c r="L5" s="177">
        <v>19021</v>
      </c>
      <c r="M5" s="177">
        <v>20081</v>
      </c>
      <c r="N5" s="177">
        <v>19286</v>
      </c>
      <c r="O5" s="177">
        <v>18396</v>
      </c>
      <c r="P5" s="177">
        <v>17825</v>
      </c>
    </row>
    <row r="6" spans="1:16" ht="15">
      <c r="A6" s="173" t="s">
        <v>237</v>
      </c>
      <c r="B6" s="177"/>
      <c r="C6" s="177"/>
      <c r="D6" s="177"/>
      <c r="E6" s="177"/>
      <c r="F6" s="177">
        <v>17954</v>
      </c>
      <c r="G6" s="177">
        <v>18809</v>
      </c>
      <c r="H6" s="177">
        <v>20409</v>
      </c>
      <c r="I6" s="177">
        <v>22398</v>
      </c>
      <c r="J6" s="177">
        <v>24850</v>
      </c>
      <c r="K6" s="177">
        <v>24073</v>
      </c>
      <c r="L6" s="177">
        <v>25436</v>
      </c>
      <c r="M6" s="177">
        <v>28219</v>
      </c>
      <c r="N6" s="177">
        <v>28722</v>
      </c>
      <c r="O6" s="177">
        <v>25932</v>
      </c>
      <c r="P6" s="177">
        <v>25434</v>
      </c>
    </row>
    <row r="7" spans="1:16" ht="15">
      <c r="A7" s="173" t="s">
        <v>238</v>
      </c>
      <c r="B7" s="177"/>
      <c r="C7" s="177"/>
      <c r="D7" s="177"/>
      <c r="E7" s="177"/>
      <c r="F7" s="177">
        <v>21068</v>
      </c>
      <c r="G7" s="177">
        <v>22099</v>
      </c>
      <c r="H7" s="177">
        <v>23138</v>
      </c>
      <c r="I7" s="177">
        <v>22315</v>
      </c>
      <c r="J7" s="177">
        <v>20169</v>
      </c>
      <c r="K7" s="177">
        <v>17102</v>
      </c>
      <c r="L7" s="177">
        <v>18777</v>
      </c>
      <c r="M7" s="177">
        <v>19823</v>
      </c>
      <c r="N7" s="177">
        <v>18343</v>
      </c>
      <c r="O7" s="177">
        <v>12988</v>
      </c>
      <c r="P7" s="177">
        <v>9996</v>
      </c>
    </row>
    <row r="8" spans="1:16" ht="15">
      <c r="A8" s="173" t="s">
        <v>225</v>
      </c>
      <c r="B8" s="177"/>
      <c r="C8" s="177"/>
      <c r="D8" s="177"/>
      <c r="E8" s="177"/>
      <c r="F8" s="177">
        <v>3894</v>
      </c>
      <c r="G8" s="177">
        <v>3907</v>
      </c>
      <c r="H8" s="177">
        <v>3892</v>
      </c>
      <c r="I8" s="177">
        <v>3984</v>
      </c>
      <c r="J8" s="177">
        <v>4451</v>
      </c>
      <c r="K8" s="177">
        <v>4076</v>
      </c>
      <c r="L8" s="177">
        <v>4080</v>
      </c>
      <c r="M8" s="177">
        <v>4195</v>
      </c>
      <c r="N8" s="177">
        <v>4073</v>
      </c>
      <c r="O8" s="177">
        <v>2022</v>
      </c>
      <c r="P8" s="177">
        <v>2034</v>
      </c>
    </row>
    <row r="9" spans="1:16" ht="15">
      <c r="A9" s="178" t="s">
        <v>8</v>
      </c>
      <c r="B9" s="179"/>
      <c r="C9" s="179"/>
      <c r="D9" s="179"/>
      <c r="E9" s="179"/>
      <c r="F9" s="179">
        <f>SUM(F4:F8)</f>
        <v>92948</v>
      </c>
      <c r="G9" s="179">
        <f t="shared" ref="G9:P9" si="0">SUM(G4:G8)</f>
        <v>95663</v>
      </c>
      <c r="H9" s="179">
        <f t="shared" si="0"/>
        <v>98866</v>
      </c>
      <c r="I9" s="179">
        <f t="shared" si="0"/>
        <v>105670</v>
      </c>
      <c r="J9" s="179">
        <f t="shared" si="0"/>
        <v>110951</v>
      </c>
      <c r="K9" s="179">
        <f t="shared" si="0"/>
        <v>102525</v>
      </c>
      <c r="L9" s="179">
        <f t="shared" si="0"/>
        <v>106828</v>
      </c>
      <c r="M9" s="179">
        <f t="shared" si="0"/>
        <v>114439</v>
      </c>
      <c r="N9" s="179">
        <f t="shared" si="0"/>
        <v>111826</v>
      </c>
      <c r="O9" s="179">
        <f t="shared" si="0"/>
        <v>97889</v>
      </c>
      <c r="P9" s="179">
        <f t="shared" si="0"/>
        <v>92419</v>
      </c>
    </row>
    <row r="10" spans="1:16" ht="15">
      <c r="B10" s="177"/>
      <c r="C10" s="177"/>
      <c r="D10" s="177"/>
      <c r="E10" s="177"/>
      <c r="F10" s="177"/>
      <c r="G10" s="177"/>
      <c r="H10" s="177"/>
      <c r="I10" s="177"/>
      <c r="J10" s="177"/>
      <c r="K10" s="177"/>
      <c r="L10" s="177"/>
      <c r="M10" s="177"/>
      <c r="N10" s="177"/>
    </row>
    <row r="11" spans="1:16" ht="15">
      <c r="A11" s="176" t="s">
        <v>239</v>
      </c>
      <c r="B11" s="177"/>
      <c r="C11" s="177"/>
      <c r="D11" s="177"/>
      <c r="E11" s="177"/>
      <c r="F11" s="177"/>
      <c r="G11" s="177"/>
      <c r="H11" s="177"/>
      <c r="I11" s="177"/>
      <c r="J11" s="177"/>
      <c r="K11" s="177"/>
      <c r="L11" s="177"/>
      <c r="M11" s="177"/>
      <c r="N11" s="177"/>
    </row>
    <row r="12" spans="1:16" ht="15">
      <c r="A12" s="173" t="s">
        <v>235</v>
      </c>
      <c r="B12" s="177"/>
      <c r="C12" s="177"/>
      <c r="D12" s="177"/>
      <c r="E12" s="177"/>
      <c r="F12" s="177">
        <v>2940</v>
      </c>
      <c r="G12" s="177">
        <v>2619</v>
      </c>
      <c r="H12" s="177">
        <v>3288</v>
      </c>
      <c r="I12" s="177">
        <v>3557</v>
      </c>
      <c r="J12" s="177">
        <v>4607</v>
      </c>
      <c r="K12" s="177">
        <v>5537</v>
      </c>
      <c r="L12" s="177">
        <v>5499</v>
      </c>
      <c r="M12" s="177">
        <v>6284</v>
      </c>
      <c r="N12" s="177">
        <v>6961</v>
      </c>
      <c r="O12" s="177">
        <v>6983</v>
      </c>
      <c r="P12" s="177">
        <v>6340</v>
      </c>
    </row>
    <row r="13" spans="1:16" ht="15">
      <c r="A13" s="173" t="s">
        <v>236</v>
      </c>
      <c r="B13" s="177"/>
      <c r="C13" s="177"/>
      <c r="D13" s="177"/>
      <c r="E13" s="177"/>
      <c r="F13" s="177">
        <v>1105</v>
      </c>
      <c r="G13" s="177">
        <v>786</v>
      </c>
      <c r="H13" s="177">
        <v>1706</v>
      </c>
      <c r="I13" s="177">
        <v>2064</v>
      </c>
      <c r="J13" s="177">
        <v>2681</v>
      </c>
      <c r="K13" s="177">
        <v>2555</v>
      </c>
      <c r="L13" s="177">
        <v>2546</v>
      </c>
      <c r="M13" s="177">
        <v>3066</v>
      </c>
      <c r="N13" s="177">
        <v>2983</v>
      </c>
      <c r="O13" s="177">
        <v>3214</v>
      </c>
      <c r="P13" s="177">
        <v>2999</v>
      </c>
    </row>
    <row r="14" spans="1:16" ht="15">
      <c r="A14" s="173" t="s">
        <v>237</v>
      </c>
      <c r="B14" s="177"/>
      <c r="C14" s="177"/>
      <c r="D14" s="177"/>
      <c r="E14" s="177"/>
      <c r="F14" s="177">
        <v>4014</v>
      </c>
      <c r="G14" s="177">
        <v>4779</v>
      </c>
      <c r="H14" s="177">
        <v>5493</v>
      </c>
      <c r="I14" s="177">
        <v>6002</v>
      </c>
      <c r="J14" s="177">
        <v>7075</v>
      </c>
      <c r="K14" s="177">
        <v>8095</v>
      </c>
      <c r="L14" s="177">
        <v>9466</v>
      </c>
      <c r="M14" s="177">
        <v>9970</v>
      </c>
      <c r="N14" s="177">
        <v>10810</v>
      </c>
      <c r="O14" s="177">
        <v>11106</v>
      </c>
      <c r="P14" s="177">
        <v>10699</v>
      </c>
    </row>
    <row r="15" spans="1:16" ht="15">
      <c r="A15" s="173" t="s">
        <v>238</v>
      </c>
      <c r="B15" s="177"/>
      <c r="C15" s="177"/>
      <c r="D15" s="177"/>
      <c r="E15" s="177"/>
      <c r="F15" s="177">
        <v>2045</v>
      </c>
      <c r="G15" s="177">
        <v>1883</v>
      </c>
      <c r="H15" s="177">
        <v>1739</v>
      </c>
      <c r="I15" s="177">
        <v>2153</v>
      </c>
      <c r="J15" s="177">
        <v>1550</v>
      </c>
      <c r="K15" s="177">
        <v>1419</v>
      </c>
      <c r="L15" s="177">
        <v>1456</v>
      </c>
      <c r="M15" s="177">
        <v>1633</v>
      </c>
      <c r="N15" s="177">
        <v>1227</v>
      </c>
      <c r="O15" s="177">
        <v>213</v>
      </c>
      <c r="P15" s="177">
        <v>34</v>
      </c>
    </row>
    <row r="16" spans="1:16" ht="15">
      <c r="A16" s="173" t="s">
        <v>225</v>
      </c>
      <c r="B16" s="177"/>
      <c r="C16" s="177"/>
      <c r="D16" s="177"/>
      <c r="E16" s="177"/>
      <c r="F16" s="177">
        <v>1458</v>
      </c>
      <c r="G16" s="177">
        <v>1583</v>
      </c>
      <c r="H16" s="177">
        <v>1455</v>
      </c>
      <c r="I16" s="177">
        <v>1386</v>
      </c>
      <c r="J16" s="177">
        <v>1617</v>
      </c>
      <c r="K16" s="177">
        <v>1730</v>
      </c>
      <c r="L16" s="177">
        <v>1956</v>
      </c>
      <c r="M16" s="177">
        <v>2011</v>
      </c>
      <c r="N16" s="177">
        <v>2034</v>
      </c>
      <c r="O16" s="177">
        <v>2171</v>
      </c>
      <c r="P16" s="177">
        <v>2189</v>
      </c>
    </row>
    <row r="17" spans="1:16" ht="15">
      <c r="A17" s="178" t="s">
        <v>8</v>
      </c>
      <c r="B17" s="179"/>
      <c r="C17" s="179"/>
      <c r="D17" s="179"/>
      <c r="E17" s="179"/>
      <c r="F17" s="179">
        <f>SUM(F12:F16)</f>
        <v>11562</v>
      </c>
      <c r="G17" s="179">
        <f t="shared" ref="G17:P17" si="1">SUM(G12:G16)</f>
        <v>11650</v>
      </c>
      <c r="H17" s="179">
        <f t="shared" si="1"/>
        <v>13681</v>
      </c>
      <c r="I17" s="179">
        <f t="shared" si="1"/>
        <v>15162</v>
      </c>
      <c r="J17" s="179">
        <f t="shared" si="1"/>
        <v>17530</v>
      </c>
      <c r="K17" s="179">
        <f t="shared" si="1"/>
        <v>19336</v>
      </c>
      <c r="L17" s="179">
        <f t="shared" si="1"/>
        <v>20923</v>
      </c>
      <c r="M17" s="179">
        <f t="shared" si="1"/>
        <v>22964</v>
      </c>
      <c r="N17" s="179">
        <f t="shared" si="1"/>
        <v>24015</v>
      </c>
      <c r="O17" s="179">
        <f t="shared" si="1"/>
        <v>23687</v>
      </c>
      <c r="P17" s="179">
        <f t="shared" si="1"/>
        <v>22261</v>
      </c>
    </row>
    <row r="19" spans="1:16">
      <c r="A19" s="174" t="s">
        <v>129</v>
      </c>
      <c r="B19" s="175"/>
      <c r="C19" s="175"/>
      <c r="D19" s="175"/>
      <c r="E19" s="175"/>
      <c r="F19" s="175"/>
      <c r="G19" s="175"/>
      <c r="H19" s="175"/>
      <c r="I19" s="175"/>
      <c r="J19" s="175"/>
      <c r="K19" s="175"/>
      <c r="L19" s="175"/>
      <c r="M19" s="175"/>
      <c r="N19" s="175"/>
      <c r="O19" s="175"/>
      <c r="P19" s="175"/>
    </row>
    <row r="20" spans="1:16">
      <c r="A20" s="176" t="s">
        <v>240</v>
      </c>
    </row>
    <row r="21" spans="1:16" ht="15">
      <c r="A21" s="173" t="s">
        <v>235</v>
      </c>
      <c r="G21" s="180">
        <f>G4/F4-1</f>
        <v>3.5276357138455783E-2</v>
      </c>
      <c r="H21" s="180">
        <f t="shared" ref="H21:P26" si="2">H4/G4-1</f>
        <v>1.4373716632443578E-2</v>
      </c>
      <c r="I21" s="180">
        <f t="shared" si="2"/>
        <v>0.10717009916094589</v>
      </c>
      <c r="J21" s="180">
        <f t="shared" si="2"/>
        <v>8.1374705212114762E-2</v>
      </c>
      <c r="K21" s="180">
        <f t="shared" si="2"/>
        <v>-5.0869884832148937E-2</v>
      </c>
      <c r="L21" s="180">
        <f t="shared" si="2"/>
        <v>2.0137347033613917E-2</v>
      </c>
      <c r="M21" s="180">
        <f t="shared" si="2"/>
        <v>6.5976615882978207E-2</v>
      </c>
      <c r="N21" s="180">
        <f t="shared" si="2"/>
        <v>-1.7069870136036669E-2</v>
      </c>
      <c r="O21" s="180">
        <f t="shared" si="2"/>
        <v>-6.8861407661465646E-2</v>
      </c>
      <c r="P21" s="180">
        <f t="shared" si="2"/>
        <v>-3.6860263028196449E-2</v>
      </c>
    </row>
    <row r="22" spans="1:16" ht="15">
      <c r="A22" s="173" t="s">
        <v>236</v>
      </c>
      <c r="G22" s="180">
        <f t="shared" ref="G22:N26" si="3">G5/F5-1</f>
        <v>-1.8720837601001517E-2</v>
      </c>
      <c r="H22" s="180">
        <f t="shared" si="3"/>
        <v>5.5668309654972603E-3</v>
      </c>
      <c r="I22" s="180">
        <f t="shared" si="3"/>
        <v>0.10916325471426092</v>
      </c>
      <c r="J22" s="180">
        <f t="shared" si="3"/>
        <v>7.4711448476656006E-2</v>
      </c>
      <c r="K22" s="180">
        <f t="shared" si="3"/>
        <v>-0.10309128731072514</v>
      </c>
      <c r="L22" s="180">
        <f t="shared" si="3"/>
        <v>2.5943905070118678E-2</v>
      </c>
      <c r="M22" s="180">
        <f t="shared" si="3"/>
        <v>5.572787971189741E-2</v>
      </c>
      <c r="N22" s="180">
        <f t="shared" si="3"/>
        <v>-3.9589661869428805E-2</v>
      </c>
      <c r="O22" s="180">
        <f t="shared" si="2"/>
        <v>-4.6147464482007683E-2</v>
      </c>
      <c r="P22" s="180">
        <f t="shared" si="2"/>
        <v>-3.1039356381822092E-2</v>
      </c>
    </row>
    <row r="23" spans="1:16" ht="15">
      <c r="A23" s="173" t="s">
        <v>237</v>
      </c>
      <c r="G23" s="180">
        <f t="shared" si="3"/>
        <v>4.7621699899743852E-2</v>
      </c>
      <c r="H23" s="180">
        <f t="shared" si="3"/>
        <v>8.5065660056355963E-2</v>
      </c>
      <c r="I23" s="180">
        <f t="shared" si="3"/>
        <v>9.7457004262825331E-2</v>
      </c>
      <c r="J23" s="180">
        <f t="shared" si="3"/>
        <v>0.10947406018394501</v>
      </c>
      <c r="K23" s="180">
        <f t="shared" si="3"/>
        <v>-3.126760563380282E-2</v>
      </c>
      <c r="L23" s="180">
        <f t="shared" si="3"/>
        <v>5.661944917542483E-2</v>
      </c>
      <c r="M23" s="180">
        <f t="shared" si="3"/>
        <v>0.10941185721025315</v>
      </c>
      <c r="N23" s="180">
        <f t="shared" si="3"/>
        <v>1.7824869768595653E-2</v>
      </c>
      <c r="O23" s="180">
        <f t="shared" si="2"/>
        <v>-9.7138082306246099E-2</v>
      </c>
      <c r="P23" s="180">
        <f t="shared" si="2"/>
        <v>-1.9204072188801491E-2</v>
      </c>
    </row>
    <row r="24" spans="1:16" ht="15">
      <c r="A24" s="173" t="s">
        <v>238</v>
      </c>
      <c r="G24" s="180">
        <f t="shared" si="3"/>
        <v>4.8936776153408079E-2</v>
      </c>
      <c r="H24" s="180">
        <f t="shared" si="3"/>
        <v>4.7015702067966902E-2</v>
      </c>
      <c r="I24" s="180">
        <f t="shared" si="3"/>
        <v>-3.5569193534445542E-2</v>
      </c>
      <c r="J24" s="180">
        <f t="shared" si="3"/>
        <v>-9.6168496526999769E-2</v>
      </c>
      <c r="K24" s="180">
        <f t="shared" si="3"/>
        <v>-0.15206505032475581</v>
      </c>
      <c r="L24" s="180">
        <f t="shared" si="3"/>
        <v>9.7941761197520849E-2</v>
      </c>
      <c r="M24" s="180">
        <f t="shared" si="3"/>
        <v>5.5706449379560041E-2</v>
      </c>
      <c r="N24" s="180">
        <f t="shared" si="3"/>
        <v>-7.4660747616405176E-2</v>
      </c>
      <c r="O24" s="180">
        <f t="shared" si="2"/>
        <v>-0.29193697868396662</v>
      </c>
      <c r="P24" s="180">
        <f t="shared" si="2"/>
        <v>-0.23036649214659688</v>
      </c>
    </row>
    <row r="25" spans="1:16" ht="15">
      <c r="A25" s="173" t="s">
        <v>225</v>
      </c>
      <c r="G25" s="180">
        <f t="shared" si="3"/>
        <v>3.33846944016436E-3</v>
      </c>
      <c r="H25" s="180">
        <f t="shared" si="3"/>
        <v>-3.8392628615305791E-3</v>
      </c>
      <c r="I25" s="180">
        <f t="shared" si="3"/>
        <v>2.3638232271325776E-2</v>
      </c>
      <c r="J25" s="180">
        <f t="shared" si="3"/>
        <v>0.11721887550200805</v>
      </c>
      <c r="K25" s="180">
        <f t="shared" si="3"/>
        <v>-8.4250730172994781E-2</v>
      </c>
      <c r="L25" s="180">
        <f t="shared" si="3"/>
        <v>9.8135426889101041E-4</v>
      </c>
      <c r="M25" s="180">
        <f t="shared" si="3"/>
        <v>2.8186274509803821E-2</v>
      </c>
      <c r="N25" s="180">
        <f t="shared" si="3"/>
        <v>-2.908224076281285E-2</v>
      </c>
      <c r="O25" s="180">
        <f t="shared" si="2"/>
        <v>-0.50356002946231282</v>
      </c>
      <c r="P25" s="180">
        <f t="shared" si="2"/>
        <v>5.9347181008901906E-3</v>
      </c>
    </row>
    <row r="26" spans="1:16" ht="15">
      <c r="A26" s="178" t="s">
        <v>8</v>
      </c>
      <c r="F26" s="178"/>
      <c r="G26" s="181">
        <f t="shared" si="3"/>
        <v>2.9209880793561904E-2</v>
      </c>
      <c r="H26" s="181">
        <f t="shared" si="3"/>
        <v>3.3482119523744913E-2</v>
      </c>
      <c r="I26" s="181">
        <f t="shared" si="3"/>
        <v>6.8820423603665581E-2</v>
      </c>
      <c r="J26" s="181">
        <f t="shared" si="3"/>
        <v>4.9976341440333139E-2</v>
      </c>
      <c r="K26" s="181">
        <f t="shared" si="3"/>
        <v>-7.5943434489098793E-2</v>
      </c>
      <c r="L26" s="181">
        <f t="shared" si="3"/>
        <v>4.1970251158254035E-2</v>
      </c>
      <c r="M26" s="181">
        <f t="shared" si="3"/>
        <v>7.1245366383345221E-2</v>
      </c>
      <c r="N26" s="181">
        <f t="shared" si="3"/>
        <v>-2.283312507099855E-2</v>
      </c>
      <c r="O26" s="181">
        <f t="shared" si="2"/>
        <v>-0.12463112335235094</v>
      </c>
      <c r="P26" s="181">
        <f t="shared" si="2"/>
        <v>-5.5879618751851545E-2</v>
      </c>
    </row>
    <row r="28" spans="1:16">
      <c r="A28" s="176" t="s">
        <v>241</v>
      </c>
    </row>
    <row r="29" spans="1:16" ht="15">
      <c r="A29" s="173" t="s">
        <v>235</v>
      </c>
      <c r="I29" s="180">
        <f t="shared" ref="I29:P34" si="4">(I4/F4)^(1/3)-1</f>
        <v>5.1532929334640265E-2</v>
      </c>
      <c r="J29" s="180">
        <f t="shared" si="4"/>
        <v>6.6914246437192348E-2</v>
      </c>
      <c r="K29" s="180">
        <f t="shared" si="4"/>
        <v>4.3531194819488084E-2</v>
      </c>
      <c r="L29" s="180">
        <f t="shared" si="4"/>
        <v>1.5438290235326946E-2</v>
      </c>
      <c r="M29" s="180">
        <f t="shared" si="4"/>
        <v>1.0595498672858028E-2</v>
      </c>
      <c r="N29" s="180">
        <f t="shared" si="4"/>
        <v>2.2452146324712929E-2</v>
      </c>
      <c r="O29" s="180">
        <f t="shared" si="4"/>
        <v>-8.190605857259281E-3</v>
      </c>
      <c r="P29" s="180">
        <f t="shared" si="4"/>
        <v>-4.1168944354860293E-2</v>
      </c>
    </row>
    <row r="30" spans="1:16" ht="15">
      <c r="A30" s="173" t="s">
        <v>236</v>
      </c>
      <c r="I30" s="180">
        <f t="shared" si="4"/>
        <v>3.0543503534658845E-2</v>
      </c>
      <c r="J30" s="180">
        <f t="shared" si="4"/>
        <v>6.2264731877309742E-2</v>
      </c>
      <c r="K30" s="180">
        <f t="shared" si="4"/>
        <v>2.2535820001060136E-2</v>
      </c>
      <c r="L30" s="180">
        <f t="shared" si="4"/>
        <v>-3.7050905903487363E-3</v>
      </c>
      <c r="M30" s="180">
        <f t="shared" si="4"/>
        <v>-9.6061161241348669E-3</v>
      </c>
      <c r="N30" s="180">
        <f t="shared" si="4"/>
        <v>1.323646454692895E-2</v>
      </c>
      <c r="O30" s="180">
        <f t="shared" si="4"/>
        <v>-1.1075009579477935E-2</v>
      </c>
      <c r="P30" s="180">
        <f t="shared" si="4"/>
        <v>-3.8945387395169617E-2</v>
      </c>
    </row>
    <row r="31" spans="1:16" ht="15">
      <c r="A31" s="173" t="s">
        <v>237</v>
      </c>
      <c r="I31" s="180">
        <f t="shared" si="4"/>
        <v>7.650488888531437E-2</v>
      </c>
      <c r="J31" s="180">
        <f t="shared" si="4"/>
        <v>9.7286987127009006E-2</v>
      </c>
      <c r="K31" s="180">
        <f t="shared" si="4"/>
        <v>5.6581081123044497E-2</v>
      </c>
      <c r="L31" s="180">
        <f t="shared" si="4"/>
        <v>4.3309572241182259E-2</v>
      </c>
      <c r="M31" s="180">
        <f t="shared" si="4"/>
        <v>4.3290074062401596E-2</v>
      </c>
      <c r="N31" s="180">
        <f t="shared" si="4"/>
        <v>6.0624090731499658E-2</v>
      </c>
      <c r="O31" s="180">
        <f t="shared" si="4"/>
        <v>6.45817596765208E-3</v>
      </c>
      <c r="P31" s="180">
        <f t="shared" si="4"/>
        <v>-3.404324814896631E-2</v>
      </c>
    </row>
    <row r="32" spans="1:16" ht="15">
      <c r="A32" s="173" t="s">
        <v>238</v>
      </c>
      <c r="I32" s="180">
        <f t="shared" si="4"/>
        <v>1.9352816358210179E-2</v>
      </c>
      <c r="J32" s="180">
        <f t="shared" si="4"/>
        <v>-3.0002575030372736E-2</v>
      </c>
      <c r="K32" s="180">
        <f t="shared" si="4"/>
        <v>-9.5850259918822789E-2</v>
      </c>
      <c r="L32" s="180">
        <f t="shared" si="4"/>
        <v>-5.5917881946789039E-2</v>
      </c>
      <c r="M32" s="180">
        <f t="shared" si="4"/>
        <v>-5.7513613804952568E-3</v>
      </c>
      <c r="N32" s="180">
        <f t="shared" si="4"/>
        <v>2.3625637641393693E-2</v>
      </c>
      <c r="O32" s="180">
        <f t="shared" si="4"/>
        <v>-0.11562045073926508</v>
      </c>
      <c r="P32" s="180">
        <f t="shared" si="4"/>
        <v>-0.20405030224667065</v>
      </c>
    </row>
    <row r="33" spans="1:16" ht="15">
      <c r="A33" s="173" t="s">
        <v>225</v>
      </c>
      <c r="I33" s="180">
        <f t="shared" si="4"/>
        <v>7.6455567362312404E-3</v>
      </c>
      <c r="J33" s="180">
        <f t="shared" si="4"/>
        <v>4.4410896780667786E-2</v>
      </c>
      <c r="K33" s="180">
        <f t="shared" si="4"/>
        <v>1.5516804945080009E-2</v>
      </c>
      <c r="L33" s="180">
        <f t="shared" si="4"/>
        <v>7.9684634480599037E-3</v>
      </c>
      <c r="M33" s="180">
        <f t="shared" si="4"/>
        <v>-1.9551491264856558E-2</v>
      </c>
      <c r="N33" s="180">
        <f t="shared" si="4"/>
        <v>-2.4539878285934069E-4</v>
      </c>
      <c r="O33" s="180">
        <f t="shared" si="4"/>
        <v>-0.20864078710487033</v>
      </c>
      <c r="P33" s="180">
        <f t="shared" si="4"/>
        <v>-0.21439122125515087</v>
      </c>
    </row>
    <row r="34" spans="1:16" ht="15">
      <c r="A34" s="178" t="s">
        <v>8</v>
      </c>
      <c r="F34" s="178"/>
      <c r="G34" s="178"/>
      <c r="H34" s="178"/>
      <c r="I34" s="181">
        <f t="shared" si="4"/>
        <v>4.3687669776670157E-2</v>
      </c>
      <c r="J34" s="181">
        <f t="shared" si="4"/>
        <v>5.0660507534356247E-2</v>
      </c>
      <c r="K34" s="181">
        <f t="shared" si="4"/>
        <v>1.2187426516180766E-2</v>
      </c>
      <c r="L34" s="181">
        <f t="shared" si="4"/>
        <v>3.6396187170320005E-3</v>
      </c>
      <c r="M34" s="181">
        <f t="shared" si="4"/>
        <v>1.0371167425119898E-2</v>
      </c>
      <c r="N34" s="181">
        <f t="shared" si="4"/>
        <v>2.9368808223568799E-2</v>
      </c>
      <c r="O34" s="181">
        <f t="shared" si="4"/>
        <v>-2.8708477810955202E-2</v>
      </c>
      <c r="P34" s="181">
        <f t="shared" si="4"/>
        <v>-6.875832436321494E-2</v>
      </c>
    </row>
    <row r="36" spans="1:16">
      <c r="A36" s="176" t="s">
        <v>242</v>
      </c>
    </row>
    <row r="37" spans="1:16" ht="15">
      <c r="A37" s="173" t="s">
        <v>235</v>
      </c>
      <c r="K37" s="180">
        <f t="shared" ref="K37:P42" si="5">(K4/F4)^(1/5)-1</f>
        <v>3.5986553268368082E-2</v>
      </c>
      <c r="L37" s="180">
        <f t="shared" si="5"/>
        <v>3.2938794519189241E-2</v>
      </c>
      <c r="M37" s="180">
        <f t="shared" si="5"/>
        <v>4.324071165770027E-2</v>
      </c>
      <c r="N37" s="180">
        <f t="shared" si="5"/>
        <v>1.8699719505010259E-2</v>
      </c>
      <c r="O37" s="180">
        <f t="shared" si="5"/>
        <v>-1.1324412483706192E-2</v>
      </c>
      <c r="P37" s="180">
        <f t="shared" si="5"/>
        <v>-8.4228273630346795E-3</v>
      </c>
    </row>
    <row r="38" spans="1:16" ht="15">
      <c r="A38" s="173" t="s">
        <v>236</v>
      </c>
      <c r="K38" s="180">
        <f t="shared" si="5"/>
        <v>1.0759475900533166E-2</v>
      </c>
      <c r="L38" s="180">
        <f t="shared" si="5"/>
        <v>1.979770288010263E-2</v>
      </c>
      <c r="M38" s="180">
        <f t="shared" si="5"/>
        <v>2.9774751964421364E-2</v>
      </c>
      <c r="N38" s="180">
        <f t="shared" si="5"/>
        <v>5.4012537478742573E-4</v>
      </c>
      <c r="O38" s="180">
        <f t="shared" si="5"/>
        <v>-2.3049897524062612E-2</v>
      </c>
      <c r="P38" s="180">
        <f t="shared" si="5"/>
        <v>-7.8348649504188517E-3</v>
      </c>
    </row>
    <row r="39" spans="1:16" ht="15">
      <c r="A39" s="173" t="s">
        <v>237</v>
      </c>
      <c r="K39" s="180">
        <f t="shared" si="5"/>
        <v>6.0409961870096396E-2</v>
      </c>
      <c r="L39" s="180">
        <f t="shared" si="5"/>
        <v>6.2225252976207068E-2</v>
      </c>
      <c r="M39" s="180">
        <f t="shared" si="5"/>
        <v>6.6949781398439878E-2</v>
      </c>
      <c r="N39" s="180">
        <f t="shared" si="5"/>
        <v>5.0996058968399316E-2</v>
      </c>
      <c r="O39" s="180">
        <f t="shared" si="5"/>
        <v>8.5604276427886372E-3</v>
      </c>
      <c r="P39" s="180">
        <f t="shared" si="5"/>
        <v>1.1059909773265986E-2</v>
      </c>
    </row>
    <row r="40" spans="1:16" ht="15">
      <c r="A40" s="173" t="s">
        <v>238</v>
      </c>
      <c r="K40" s="180">
        <f t="shared" si="5"/>
        <v>-4.0854003270512806E-2</v>
      </c>
      <c r="L40" s="180">
        <f t="shared" si="5"/>
        <v>-3.2054919566193329E-2</v>
      </c>
      <c r="M40" s="180">
        <f t="shared" si="5"/>
        <v>-3.0453343900644914E-2</v>
      </c>
      <c r="N40" s="180">
        <f t="shared" si="5"/>
        <v>-3.8443750216734518E-2</v>
      </c>
      <c r="O40" s="180">
        <f t="shared" si="5"/>
        <v>-8.4261269387949422E-2</v>
      </c>
      <c r="P40" s="180">
        <f t="shared" si="5"/>
        <v>-0.10183553408642987</v>
      </c>
    </row>
    <row r="41" spans="1:16" ht="15">
      <c r="A41" s="173" t="s">
        <v>225</v>
      </c>
      <c r="K41" s="180">
        <f t="shared" si="5"/>
        <v>9.1777008595468335E-3</v>
      </c>
      <c r="L41" s="180">
        <f t="shared" si="5"/>
        <v>8.7030880287943813E-3</v>
      </c>
      <c r="M41" s="180">
        <f t="shared" si="5"/>
        <v>1.5107009605229038E-2</v>
      </c>
      <c r="N41" s="180">
        <f t="shared" si="5"/>
        <v>4.4284746288554278E-3</v>
      </c>
      <c r="O41" s="180">
        <f t="shared" si="5"/>
        <v>-0.14598654827832558</v>
      </c>
      <c r="P41" s="180">
        <f t="shared" si="5"/>
        <v>-0.12979143270939753</v>
      </c>
    </row>
    <row r="42" spans="1:16" ht="15">
      <c r="A42" s="178" t="s">
        <v>8</v>
      </c>
      <c r="F42" s="178"/>
      <c r="G42" s="178"/>
      <c r="H42" s="178"/>
      <c r="I42" s="178"/>
      <c r="J42" s="178"/>
      <c r="K42" s="181">
        <f t="shared" si="5"/>
        <v>1.9806899193095306E-2</v>
      </c>
      <c r="L42" s="181">
        <f t="shared" si="5"/>
        <v>2.2323208868608502E-2</v>
      </c>
      <c r="M42" s="181">
        <f t="shared" si="5"/>
        <v>2.9687446718143162E-2</v>
      </c>
      <c r="N42" s="181">
        <f t="shared" si="5"/>
        <v>1.1388978440093123E-2</v>
      </c>
      <c r="O42" s="181">
        <f t="shared" si="5"/>
        <v>-2.4739725834781456E-2</v>
      </c>
      <c r="P42" s="181">
        <f t="shared" si="5"/>
        <v>-2.0540918360314686E-2</v>
      </c>
    </row>
    <row r="44" spans="1:16">
      <c r="A44" s="176" t="s">
        <v>243</v>
      </c>
    </row>
    <row r="45" spans="1:16" ht="15">
      <c r="A45" s="173" t="s">
        <v>235</v>
      </c>
      <c r="N45" s="180">
        <f t="shared" ref="N45:P50" si="6">(N4/F4)^(1/8)-1</f>
        <v>3.0890282007664638E-2</v>
      </c>
      <c r="O45" s="180">
        <f t="shared" si="6"/>
        <v>1.7319102628254646E-2</v>
      </c>
      <c r="P45" s="180">
        <f t="shared" si="6"/>
        <v>1.0749682760495372E-2</v>
      </c>
    </row>
    <row r="46" spans="1:16" ht="15">
      <c r="A46" s="173" t="s">
        <v>236</v>
      </c>
      <c r="N46" s="180">
        <f t="shared" si="6"/>
        <v>1.16876362386793E-2</v>
      </c>
      <c r="O46" s="180">
        <f t="shared" si="6"/>
        <v>8.1090773093179802E-3</v>
      </c>
      <c r="P46" s="180">
        <f t="shared" si="6"/>
        <v>3.4469679880264614E-3</v>
      </c>
    </row>
    <row r="47" spans="1:16" ht="15">
      <c r="A47" s="173" t="s">
        <v>237</v>
      </c>
      <c r="N47" s="180">
        <f t="shared" si="6"/>
        <v>6.0490255126595116E-2</v>
      </c>
      <c r="O47" s="180">
        <f t="shared" si="6"/>
        <v>4.0959392886448232E-2</v>
      </c>
      <c r="P47" s="180">
        <f t="shared" si="6"/>
        <v>2.7895861846572556E-2</v>
      </c>
    </row>
    <row r="48" spans="1:16" ht="15">
      <c r="A48" s="173" t="s">
        <v>238</v>
      </c>
      <c r="N48" s="180">
        <f t="shared" si="6"/>
        <v>-1.7164393077090612E-2</v>
      </c>
      <c r="O48" s="180">
        <f t="shared" si="6"/>
        <v>-6.4279364170792608E-2</v>
      </c>
      <c r="P48" s="180">
        <f t="shared" si="6"/>
        <v>-9.9595713527268925E-2</v>
      </c>
    </row>
    <row r="49" spans="1:16" ht="15">
      <c r="A49" s="173" t="s">
        <v>225</v>
      </c>
      <c r="N49" s="180">
        <f t="shared" si="6"/>
        <v>5.6336750112213618E-3</v>
      </c>
      <c r="O49" s="180">
        <f t="shared" si="6"/>
        <v>-7.9036926024844134E-2</v>
      </c>
      <c r="P49" s="180">
        <f t="shared" si="6"/>
        <v>-7.7912224106584937E-2</v>
      </c>
    </row>
    <row r="50" spans="1:16" ht="15">
      <c r="A50" s="178" t="s">
        <v>8</v>
      </c>
      <c r="F50" s="178"/>
      <c r="G50" s="178"/>
      <c r="H50" s="178"/>
      <c r="I50" s="178"/>
      <c r="J50" s="178"/>
      <c r="K50" s="178"/>
      <c r="L50" s="178"/>
      <c r="M50" s="178"/>
      <c r="N50" s="181">
        <f t="shared" si="6"/>
        <v>2.3382161746059227E-2</v>
      </c>
      <c r="O50" s="181">
        <f t="shared" si="6"/>
        <v>2.8794608115563225E-3</v>
      </c>
      <c r="P50" s="181">
        <f t="shared" si="6"/>
        <v>-8.3936763162196781E-3</v>
      </c>
    </row>
    <row r="52" spans="1:16">
      <c r="A52" s="174" t="s">
        <v>244</v>
      </c>
      <c r="B52" s="175"/>
      <c r="C52" s="175"/>
      <c r="D52" s="175"/>
      <c r="E52" s="175"/>
      <c r="F52" s="175"/>
      <c r="G52" s="175"/>
      <c r="H52" s="175"/>
      <c r="I52" s="175"/>
      <c r="J52" s="175"/>
      <c r="K52" s="175"/>
      <c r="L52" s="175"/>
      <c r="M52" s="175"/>
      <c r="N52" s="175"/>
      <c r="O52" s="175"/>
      <c r="P52" s="175"/>
    </row>
    <row r="53" spans="1:16">
      <c r="A53" s="176" t="s">
        <v>245</v>
      </c>
    </row>
    <row r="54" spans="1:16" ht="15">
      <c r="A54" s="173" t="s">
        <v>235</v>
      </c>
      <c r="F54" s="180">
        <f>F12/F4</f>
        <v>9.0578593875161748E-2</v>
      </c>
      <c r="G54" s="180">
        <f t="shared" ref="G54:P59" si="7">G12/G4</f>
        <v>7.7939469690206237E-2</v>
      </c>
      <c r="H54" s="180">
        <f t="shared" si="7"/>
        <v>9.6461890512233764E-2</v>
      </c>
      <c r="I54" s="180">
        <f t="shared" si="7"/>
        <v>9.4252629905402896E-2</v>
      </c>
      <c r="J54" s="180">
        <f t="shared" si="7"/>
        <v>0.11288899779465818</v>
      </c>
      <c r="K54" s="180">
        <f t="shared" si="7"/>
        <v>0.142949346827077</v>
      </c>
      <c r="L54" s="180">
        <f t="shared" si="7"/>
        <v>0.13916586526294478</v>
      </c>
      <c r="M54" s="180">
        <f t="shared" si="7"/>
        <v>0.14918924052135515</v>
      </c>
      <c r="N54" s="180">
        <f t="shared" si="7"/>
        <v>0.16813197430075841</v>
      </c>
      <c r="O54" s="180">
        <f t="shared" si="7"/>
        <v>0.18113667609141137</v>
      </c>
      <c r="P54" s="180">
        <f t="shared" si="7"/>
        <v>0.17075141395098303</v>
      </c>
    </row>
    <row r="55" spans="1:16" ht="15">
      <c r="A55" s="173" t="s">
        <v>236</v>
      </c>
      <c r="F55" s="180">
        <f t="shared" ref="F55:N59" si="8">F13/F5</f>
        <v>6.2876977352907704E-2</v>
      </c>
      <c r="G55" s="180">
        <f t="shared" si="8"/>
        <v>4.5578428530008701E-2</v>
      </c>
      <c r="H55" s="180">
        <f t="shared" si="8"/>
        <v>9.8379562885646726E-2</v>
      </c>
      <c r="I55" s="180">
        <f t="shared" si="8"/>
        <v>0.10730997192471665</v>
      </c>
      <c r="J55" s="180">
        <f t="shared" si="8"/>
        <v>0.12969861158144261</v>
      </c>
      <c r="K55" s="180">
        <f t="shared" si="8"/>
        <v>0.13781014023732471</v>
      </c>
      <c r="L55" s="180">
        <f t="shared" si="8"/>
        <v>0.13385205825140634</v>
      </c>
      <c r="M55" s="180">
        <f t="shared" si="8"/>
        <v>0.15268163936058962</v>
      </c>
      <c r="N55" s="180">
        <f t="shared" si="8"/>
        <v>0.15467178264025719</v>
      </c>
      <c r="O55" s="180">
        <f t="shared" si="7"/>
        <v>0.17471189388997607</v>
      </c>
      <c r="P55" s="180">
        <f t="shared" si="7"/>
        <v>0.1682468443197756</v>
      </c>
    </row>
    <row r="56" spans="1:16" ht="15">
      <c r="A56" s="173" t="s">
        <v>237</v>
      </c>
      <c r="F56" s="180">
        <f t="shared" si="8"/>
        <v>0.22357134900300768</v>
      </c>
      <c r="G56" s="180">
        <f t="shared" si="8"/>
        <v>0.25408049338082833</v>
      </c>
      <c r="H56" s="180">
        <f t="shared" si="8"/>
        <v>0.26914596501543436</v>
      </c>
      <c r="I56" s="180">
        <f t="shared" si="8"/>
        <v>0.26797035449593715</v>
      </c>
      <c r="J56" s="180">
        <f t="shared" si="8"/>
        <v>0.28470824949698187</v>
      </c>
      <c r="K56" s="180">
        <f t="shared" si="8"/>
        <v>0.33626884891787479</v>
      </c>
      <c r="L56" s="180">
        <f t="shared" si="8"/>
        <v>0.37214970907375372</v>
      </c>
      <c r="M56" s="180">
        <f t="shared" si="8"/>
        <v>0.35330805485665684</v>
      </c>
      <c r="N56" s="180">
        <f t="shared" si="8"/>
        <v>0.37636654829050903</v>
      </c>
      <c r="O56" s="180">
        <f t="shared" si="7"/>
        <v>0.42827394724664508</v>
      </c>
      <c r="P56" s="180">
        <f t="shared" si="7"/>
        <v>0.42065738774868289</v>
      </c>
    </row>
    <row r="57" spans="1:16" ht="15">
      <c r="A57" s="173" t="s">
        <v>238</v>
      </c>
      <c r="F57" s="180">
        <f t="shared" si="8"/>
        <v>9.7066641351813171E-2</v>
      </c>
      <c r="G57" s="180">
        <f t="shared" si="8"/>
        <v>8.5207475451377884E-2</v>
      </c>
      <c r="H57" s="180">
        <f t="shared" si="8"/>
        <v>7.515774915723053E-2</v>
      </c>
      <c r="I57" s="180">
        <f t="shared" si="8"/>
        <v>9.6482186869818506E-2</v>
      </c>
      <c r="J57" s="180">
        <f t="shared" si="8"/>
        <v>7.6850612325846598E-2</v>
      </c>
      <c r="K57" s="180">
        <f t="shared" si="8"/>
        <v>8.2972751724944449E-2</v>
      </c>
      <c r="L57" s="180">
        <f t="shared" si="8"/>
        <v>7.7541673323747132E-2</v>
      </c>
      <c r="M57" s="180">
        <f t="shared" si="8"/>
        <v>8.2379054633506532E-2</v>
      </c>
      <c r="N57" s="180">
        <f t="shared" si="8"/>
        <v>6.6892002398735217E-2</v>
      </c>
      <c r="O57" s="180">
        <f t="shared" si="7"/>
        <v>1.6399753618724977E-2</v>
      </c>
      <c r="P57" s="180">
        <f t="shared" si="7"/>
        <v>3.4013605442176869E-3</v>
      </c>
    </row>
    <row r="58" spans="1:16" ht="15">
      <c r="A58" s="173" t="s">
        <v>225</v>
      </c>
      <c r="F58" s="180">
        <f t="shared" si="8"/>
        <v>0.37442218798151</v>
      </c>
      <c r="G58" s="180">
        <f t="shared" si="8"/>
        <v>0.40517020732019454</v>
      </c>
      <c r="H58" s="180">
        <f t="shared" si="8"/>
        <v>0.3738437821171634</v>
      </c>
      <c r="I58" s="180">
        <f t="shared" si="8"/>
        <v>0.34789156626506024</v>
      </c>
      <c r="J58" s="180">
        <f t="shared" si="8"/>
        <v>0.36328914850595373</v>
      </c>
      <c r="K58" s="180">
        <f t="shared" si="8"/>
        <v>0.42443572129538765</v>
      </c>
      <c r="L58" s="180">
        <f t="shared" si="8"/>
        <v>0.47941176470588237</v>
      </c>
      <c r="M58" s="180">
        <f t="shared" si="8"/>
        <v>0.4793802145411204</v>
      </c>
      <c r="N58" s="180">
        <f t="shared" si="8"/>
        <v>0.49938620181684262</v>
      </c>
      <c r="O58" s="180">
        <f t="shared" si="7"/>
        <v>1.0736894164193866</v>
      </c>
      <c r="P58" s="180">
        <f t="shared" si="7"/>
        <v>1.076204523107178</v>
      </c>
    </row>
    <row r="59" spans="1:16" ht="15">
      <c r="A59" s="178" t="s">
        <v>8</v>
      </c>
      <c r="F59" s="181">
        <f t="shared" si="8"/>
        <v>0.12439213323578775</v>
      </c>
      <c r="G59" s="181">
        <f t="shared" si="8"/>
        <v>0.12178167107450111</v>
      </c>
      <c r="H59" s="181">
        <f t="shared" si="8"/>
        <v>0.13837922035886957</v>
      </c>
      <c r="I59" s="181">
        <f t="shared" si="8"/>
        <v>0.14348443266773919</v>
      </c>
      <c r="J59" s="181">
        <f t="shared" si="8"/>
        <v>0.15799767464916945</v>
      </c>
      <c r="K59" s="181">
        <f t="shared" si="8"/>
        <v>0.18859790295049988</v>
      </c>
      <c r="L59" s="181">
        <f t="shared" si="8"/>
        <v>0.19585689145167934</v>
      </c>
      <c r="M59" s="181">
        <f t="shared" si="8"/>
        <v>0.20066585691940683</v>
      </c>
      <c r="N59" s="181">
        <f t="shared" si="8"/>
        <v>0.21475327741312397</v>
      </c>
      <c r="O59" s="181">
        <f t="shared" si="7"/>
        <v>0.2419781589351204</v>
      </c>
      <c r="P59" s="181">
        <f t="shared" si="7"/>
        <v>0.24087038379553988</v>
      </c>
    </row>
    <row r="61" spans="1:16">
      <c r="A61" s="176" t="s">
        <v>246</v>
      </c>
    </row>
    <row r="62" spans="1:16" ht="15">
      <c r="A62" s="173" t="s">
        <v>235</v>
      </c>
      <c r="F62" s="180"/>
      <c r="G62" s="180">
        <f>G12/F12-1</f>
        <v>-0.10918367346938773</v>
      </c>
      <c r="H62" s="180">
        <f t="shared" ref="H62:P67" si="9">H12/G12-1</f>
        <v>0.25544100801832759</v>
      </c>
      <c r="I62" s="180">
        <f t="shared" si="9"/>
        <v>8.1812652068126601E-2</v>
      </c>
      <c r="J62" s="180">
        <f t="shared" si="9"/>
        <v>0.29519257801518139</v>
      </c>
      <c r="K62" s="180">
        <f t="shared" si="9"/>
        <v>0.20186672454959842</v>
      </c>
      <c r="L62" s="180">
        <f t="shared" si="9"/>
        <v>-6.8629221600144952E-3</v>
      </c>
      <c r="M62" s="180">
        <f t="shared" si="9"/>
        <v>0.14275322785961087</v>
      </c>
      <c r="N62" s="180">
        <f t="shared" si="9"/>
        <v>0.10773392743475485</v>
      </c>
      <c r="O62" s="180">
        <f t="shared" si="9"/>
        <v>3.160465450366301E-3</v>
      </c>
      <c r="P62" s="180">
        <f t="shared" si="9"/>
        <v>-9.2080767578404665E-2</v>
      </c>
    </row>
    <row r="63" spans="1:16" ht="15">
      <c r="A63" s="173" t="s">
        <v>236</v>
      </c>
      <c r="F63" s="180"/>
      <c r="G63" s="180">
        <f t="shared" ref="G63:N67" si="10">G13/F13-1</f>
        <v>-0.28868778280542984</v>
      </c>
      <c r="H63" s="180">
        <f t="shared" si="10"/>
        <v>1.1704834605597965</v>
      </c>
      <c r="I63" s="180">
        <f t="shared" si="10"/>
        <v>0.20984759671746778</v>
      </c>
      <c r="J63" s="180">
        <f t="shared" si="10"/>
        <v>0.29893410852713176</v>
      </c>
      <c r="K63" s="180">
        <f t="shared" si="10"/>
        <v>-4.6997389033942572E-2</v>
      </c>
      <c r="L63" s="180">
        <f t="shared" si="10"/>
        <v>-3.5225048923679392E-3</v>
      </c>
      <c r="M63" s="180">
        <f t="shared" si="10"/>
        <v>0.20424194815396701</v>
      </c>
      <c r="N63" s="180">
        <f t="shared" si="10"/>
        <v>-2.7071102413568138E-2</v>
      </c>
      <c r="O63" s="180">
        <f t="shared" si="9"/>
        <v>7.7438819979886109E-2</v>
      </c>
      <c r="P63" s="180">
        <f t="shared" si="9"/>
        <v>-6.6894835096452998E-2</v>
      </c>
    </row>
    <row r="64" spans="1:16" ht="15">
      <c r="A64" s="173" t="s">
        <v>237</v>
      </c>
      <c r="F64" s="180"/>
      <c r="G64" s="180">
        <f t="shared" si="10"/>
        <v>0.1905829596412556</v>
      </c>
      <c r="H64" s="180">
        <f t="shared" si="10"/>
        <v>0.14940364092906466</v>
      </c>
      <c r="I64" s="180">
        <f t="shared" si="10"/>
        <v>9.2663389768796733E-2</v>
      </c>
      <c r="J64" s="180">
        <f t="shared" si="10"/>
        <v>0.17877374208597141</v>
      </c>
      <c r="K64" s="180">
        <f t="shared" si="10"/>
        <v>0.14416961130742045</v>
      </c>
      <c r="L64" s="180">
        <f t="shared" si="10"/>
        <v>0.16936380481778879</v>
      </c>
      <c r="M64" s="180">
        <f t="shared" si="10"/>
        <v>5.3243186139869003E-2</v>
      </c>
      <c r="N64" s="180">
        <f t="shared" si="10"/>
        <v>8.425275827482448E-2</v>
      </c>
      <c r="O64" s="180">
        <f t="shared" si="9"/>
        <v>2.738205365402413E-2</v>
      </c>
      <c r="P64" s="180">
        <f t="shared" si="9"/>
        <v>-3.6646857554475054E-2</v>
      </c>
    </row>
    <row r="65" spans="1:16" ht="15">
      <c r="A65" s="173" t="s">
        <v>238</v>
      </c>
      <c r="F65" s="180"/>
      <c r="G65" s="180">
        <f t="shared" si="10"/>
        <v>-7.9217603911980405E-2</v>
      </c>
      <c r="H65" s="180">
        <f t="shared" si="10"/>
        <v>-7.6473712161444496E-2</v>
      </c>
      <c r="I65" s="180">
        <f t="shared" si="10"/>
        <v>0.23806785508913175</v>
      </c>
      <c r="J65" s="180">
        <f t="shared" si="10"/>
        <v>-0.28007431490942869</v>
      </c>
      <c r="K65" s="180">
        <f t="shared" si="10"/>
        <v>-8.4516129032258025E-2</v>
      </c>
      <c r="L65" s="180">
        <f t="shared" si="10"/>
        <v>2.607470049330507E-2</v>
      </c>
      <c r="M65" s="180">
        <f t="shared" si="10"/>
        <v>0.12156593406593408</v>
      </c>
      <c r="N65" s="180">
        <f t="shared" si="10"/>
        <v>-0.24862216778934476</v>
      </c>
      <c r="O65" s="180">
        <f t="shared" si="9"/>
        <v>-0.82640586797066018</v>
      </c>
      <c r="P65" s="180">
        <f t="shared" si="9"/>
        <v>-0.84037558685446012</v>
      </c>
    </row>
    <row r="66" spans="1:16" ht="15">
      <c r="A66" s="173" t="s">
        <v>225</v>
      </c>
      <c r="F66" s="180"/>
      <c r="G66" s="180">
        <f t="shared" si="10"/>
        <v>8.5733882030178288E-2</v>
      </c>
      <c r="H66" s="180">
        <f t="shared" si="10"/>
        <v>-8.0859128237523725E-2</v>
      </c>
      <c r="I66" s="180">
        <f t="shared" si="10"/>
        <v>-4.7422680412371188E-2</v>
      </c>
      <c r="J66" s="180">
        <f t="shared" si="10"/>
        <v>0.16666666666666674</v>
      </c>
      <c r="K66" s="180">
        <f t="shared" si="10"/>
        <v>6.9882498453927022E-2</v>
      </c>
      <c r="L66" s="180">
        <f t="shared" si="10"/>
        <v>0.13063583815028901</v>
      </c>
      <c r="M66" s="180">
        <f t="shared" si="10"/>
        <v>2.8118609406952988E-2</v>
      </c>
      <c r="N66" s="180">
        <f t="shared" si="10"/>
        <v>1.1437095972153255E-2</v>
      </c>
      <c r="O66" s="180">
        <f t="shared" si="9"/>
        <v>6.735496558505405E-2</v>
      </c>
      <c r="P66" s="180">
        <f t="shared" si="9"/>
        <v>8.2911100875173727E-3</v>
      </c>
    </row>
    <row r="67" spans="1:16" ht="15">
      <c r="A67" s="178" t="s">
        <v>8</v>
      </c>
      <c r="F67" s="181"/>
      <c r="G67" s="181">
        <f t="shared" si="10"/>
        <v>7.6111399411866731E-3</v>
      </c>
      <c r="H67" s="181">
        <f t="shared" si="10"/>
        <v>0.17433476394849778</v>
      </c>
      <c r="I67" s="181">
        <f t="shared" si="10"/>
        <v>0.10825232073678825</v>
      </c>
      <c r="J67" s="181">
        <f t="shared" si="10"/>
        <v>0.15617992349294285</v>
      </c>
      <c r="K67" s="181">
        <f t="shared" si="10"/>
        <v>0.10302338847689674</v>
      </c>
      <c r="L67" s="181">
        <f t="shared" si="10"/>
        <v>8.207488622258996E-2</v>
      </c>
      <c r="M67" s="181">
        <f t="shared" si="10"/>
        <v>9.7548152750561501E-2</v>
      </c>
      <c r="N67" s="181">
        <f t="shared" si="10"/>
        <v>4.5767287928932143E-2</v>
      </c>
      <c r="O67" s="181">
        <f t="shared" si="9"/>
        <v>-1.365813033520713E-2</v>
      </c>
      <c r="P67" s="181">
        <f t="shared" si="9"/>
        <v>-6.0201798454848632E-2</v>
      </c>
    </row>
    <row r="69" spans="1:16">
      <c r="A69" s="176" t="s">
        <v>247</v>
      </c>
    </row>
    <row r="70" spans="1:16" ht="15">
      <c r="A70" s="173" t="s">
        <v>235</v>
      </c>
      <c r="F70" s="180"/>
      <c r="G70" s="180"/>
      <c r="H70" s="180"/>
      <c r="I70" s="180">
        <f>(I12/F12)^(1/3)-1</f>
        <v>6.5562295904234569E-2</v>
      </c>
      <c r="J70" s="180">
        <f t="shared" ref="J70:P75" si="11">(J12/G12)^(1/3)-1</f>
        <v>0.20714907132381777</v>
      </c>
      <c r="K70" s="180">
        <f t="shared" si="11"/>
        <v>0.18972769540650591</v>
      </c>
      <c r="L70" s="180">
        <f t="shared" si="11"/>
        <v>0.15628959646920593</v>
      </c>
      <c r="M70" s="180">
        <f t="shared" si="11"/>
        <v>0.10901985472853326</v>
      </c>
      <c r="N70" s="180">
        <f t="shared" si="11"/>
        <v>7.9275628169511503E-2</v>
      </c>
      <c r="O70" s="180">
        <f t="shared" si="11"/>
        <v>8.2894399032473975E-2</v>
      </c>
      <c r="P70" s="180">
        <f t="shared" si="11"/>
        <v>2.9617266234913675E-3</v>
      </c>
    </row>
    <row r="71" spans="1:16" ht="15">
      <c r="A71" s="173" t="s">
        <v>236</v>
      </c>
      <c r="F71" s="180"/>
      <c r="G71" s="180"/>
      <c r="H71" s="180"/>
      <c r="I71" s="180">
        <f t="shared" ref="I71:I75" si="12">(I13/F13)^(1/3)-1</f>
        <v>0.23154174729088384</v>
      </c>
      <c r="J71" s="180">
        <f t="shared" si="11"/>
        <v>0.50530587276568872</v>
      </c>
      <c r="K71" s="180">
        <f t="shared" si="11"/>
        <v>0.14411749319845057</v>
      </c>
      <c r="L71" s="180">
        <f t="shared" si="11"/>
        <v>7.2464442586890332E-2</v>
      </c>
      <c r="M71" s="180">
        <f t="shared" si="11"/>
        <v>4.5743351552319789E-2</v>
      </c>
      <c r="N71" s="180">
        <f t="shared" si="11"/>
        <v>5.2981601590655236E-2</v>
      </c>
      <c r="O71" s="180">
        <f t="shared" si="11"/>
        <v>8.0759738856235774E-2</v>
      </c>
      <c r="P71" s="180">
        <f t="shared" si="11"/>
        <v>-7.3379053680725503E-3</v>
      </c>
    </row>
    <row r="72" spans="1:16" ht="15">
      <c r="A72" s="173" t="s">
        <v>237</v>
      </c>
      <c r="F72" s="180"/>
      <c r="G72" s="180"/>
      <c r="H72" s="180"/>
      <c r="I72" s="180">
        <f t="shared" si="12"/>
        <v>0.14350887862660522</v>
      </c>
      <c r="J72" s="180">
        <f t="shared" si="11"/>
        <v>0.13971554344651849</v>
      </c>
      <c r="K72" s="180">
        <f t="shared" si="11"/>
        <v>0.13798293986031895</v>
      </c>
      <c r="L72" s="180">
        <f t="shared" si="11"/>
        <v>0.16401033502268092</v>
      </c>
      <c r="M72" s="180">
        <f t="shared" si="11"/>
        <v>0.12113068190443266</v>
      </c>
      <c r="N72" s="180">
        <f t="shared" si="11"/>
        <v>0.10120864873490487</v>
      </c>
      <c r="O72" s="180">
        <f t="shared" si="11"/>
        <v>5.4703505981229972E-2</v>
      </c>
      <c r="P72" s="180">
        <f t="shared" si="11"/>
        <v>2.3802085161483966E-2</v>
      </c>
    </row>
    <row r="73" spans="1:16" ht="15">
      <c r="A73" s="173" t="s">
        <v>238</v>
      </c>
      <c r="F73" s="180"/>
      <c r="G73" s="180"/>
      <c r="H73" s="180"/>
      <c r="I73" s="180">
        <f t="shared" si="12"/>
        <v>1.7302798404477571E-2</v>
      </c>
      <c r="J73" s="180">
        <f t="shared" si="11"/>
        <v>-6.2811121904577716E-2</v>
      </c>
      <c r="K73" s="180">
        <f t="shared" si="11"/>
        <v>-6.5539522575370546E-2</v>
      </c>
      <c r="L73" s="180">
        <f t="shared" si="11"/>
        <v>-0.12224674553306536</v>
      </c>
      <c r="M73" s="180">
        <f t="shared" si="11"/>
        <v>1.754001161809926E-2</v>
      </c>
      <c r="N73" s="180">
        <f t="shared" si="11"/>
        <v>-4.7304627456196902E-2</v>
      </c>
      <c r="O73" s="180">
        <f t="shared" si="11"/>
        <v>-0.47308639838332378</v>
      </c>
      <c r="P73" s="180">
        <f t="shared" si="11"/>
        <v>-0.72489557408218963</v>
      </c>
    </row>
    <row r="74" spans="1:16" ht="15">
      <c r="A74" s="173" t="s">
        <v>225</v>
      </c>
      <c r="F74" s="180"/>
      <c r="G74" s="180"/>
      <c r="H74" s="180"/>
      <c r="I74" s="180">
        <f t="shared" si="12"/>
        <v>-1.6739554489121677E-2</v>
      </c>
      <c r="J74" s="180">
        <f t="shared" si="11"/>
        <v>7.1087479369393858E-3</v>
      </c>
      <c r="K74" s="180">
        <f t="shared" si="11"/>
        <v>5.9402605244851747E-2</v>
      </c>
      <c r="L74" s="180">
        <f t="shared" si="11"/>
        <v>0.12167887329270877</v>
      </c>
      <c r="M74" s="180">
        <f t="shared" si="11"/>
        <v>7.5393359072495336E-2</v>
      </c>
      <c r="N74" s="180">
        <f t="shared" si="11"/>
        <v>5.5443400047924918E-2</v>
      </c>
      <c r="O74" s="180">
        <f t="shared" si="11"/>
        <v>3.5373370829972384E-2</v>
      </c>
      <c r="P74" s="180">
        <f t="shared" si="11"/>
        <v>2.8674317208562838E-2</v>
      </c>
    </row>
    <row r="75" spans="1:16" ht="15">
      <c r="A75" s="178" t="s">
        <v>8</v>
      </c>
      <c r="F75" s="181"/>
      <c r="G75" s="181"/>
      <c r="H75" s="181"/>
      <c r="I75" s="181">
        <f t="shared" si="12"/>
        <v>9.4564039255717658E-2</v>
      </c>
      <c r="J75" s="181">
        <f t="shared" si="11"/>
        <v>0.14591392489740418</v>
      </c>
      <c r="K75" s="181">
        <f t="shared" si="11"/>
        <v>0.12223273185644223</v>
      </c>
      <c r="L75" s="181">
        <f t="shared" si="11"/>
        <v>0.11332634895562155</v>
      </c>
      <c r="M75" s="181">
        <f t="shared" si="11"/>
        <v>9.4179416624582624E-2</v>
      </c>
      <c r="N75" s="181">
        <f t="shared" si="11"/>
        <v>7.4909706292277889E-2</v>
      </c>
      <c r="O75" s="181">
        <f t="shared" si="11"/>
        <v>4.2226316439619049E-2</v>
      </c>
      <c r="P75" s="181">
        <f t="shared" si="11"/>
        <v>-1.0310315127063929E-2</v>
      </c>
    </row>
    <row r="77" spans="1:16">
      <c r="A77" s="176" t="s">
        <v>248</v>
      </c>
    </row>
    <row r="78" spans="1:16" ht="15">
      <c r="A78" s="173" t="s">
        <v>235</v>
      </c>
      <c r="F78" s="180"/>
      <c r="G78" s="180"/>
      <c r="H78" s="180"/>
      <c r="I78" s="180"/>
      <c r="J78" s="180"/>
      <c r="K78" s="180">
        <f>(K12/F12)^(1/5)-1</f>
        <v>0.13497276074078157</v>
      </c>
      <c r="L78" s="180">
        <f t="shared" ref="L78:P83" si="13">(L12/G12)^(1/5)-1</f>
        <v>0.15992429307742495</v>
      </c>
      <c r="M78" s="180">
        <f t="shared" si="13"/>
        <v>0.1383108449668411</v>
      </c>
      <c r="N78" s="180">
        <f t="shared" si="13"/>
        <v>0.14371430667739493</v>
      </c>
      <c r="O78" s="180">
        <f t="shared" si="13"/>
        <v>8.6737781407261849E-2</v>
      </c>
      <c r="P78" s="180">
        <f t="shared" si="13"/>
        <v>2.7455323969869161E-2</v>
      </c>
    </row>
    <row r="79" spans="1:16" ht="15">
      <c r="A79" s="173" t="s">
        <v>236</v>
      </c>
      <c r="F79" s="180"/>
      <c r="G79" s="180"/>
      <c r="H79" s="180"/>
      <c r="I79" s="180"/>
      <c r="J79" s="180"/>
      <c r="K79" s="180">
        <f t="shared" ref="K79:K83" si="14">(K13/F13)^(1/5)-1</f>
        <v>0.18251245930334314</v>
      </c>
      <c r="L79" s="180">
        <f t="shared" si="13"/>
        <v>0.26499022811279738</v>
      </c>
      <c r="M79" s="180">
        <f t="shared" si="13"/>
        <v>0.12439427257486235</v>
      </c>
      <c r="N79" s="180">
        <f t="shared" si="13"/>
        <v>7.6437235162855943E-2</v>
      </c>
      <c r="O79" s="180">
        <f t="shared" si="13"/>
        <v>3.6930888705488885E-2</v>
      </c>
      <c r="P79" s="180">
        <f t="shared" si="13"/>
        <v>3.2564315776762554E-2</v>
      </c>
    </row>
    <row r="80" spans="1:16" ht="15">
      <c r="A80" s="173" t="s">
        <v>237</v>
      </c>
      <c r="F80" s="180"/>
      <c r="G80" s="180"/>
      <c r="H80" s="180"/>
      <c r="I80" s="180"/>
      <c r="J80" s="180"/>
      <c r="K80" s="180">
        <f t="shared" si="14"/>
        <v>0.15060934510073198</v>
      </c>
      <c r="L80" s="180">
        <f t="shared" si="13"/>
        <v>0.14647844492696493</v>
      </c>
      <c r="M80" s="180">
        <f t="shared" si="13"/>
        <v>0.12661910554520861</v>
      </c>
      <c r="N80" s="180">
        <f t="shared" si="13"/>
        <v>0.12487934039999393</v>
      </c>
      <c r="O80" s="180">
        <f t="shared" si="13"/>
        <v>9.4375205523691941E-2</v>
      </c>
      <c r="P80" s="180">
        <f t="shared" si="13"/>
        <v>5.7365818602491014E-2</v>
      </c>
    </row>
    <row r="81" spans="1:16" ht="15">
      <c r="A81" s="173" t="s">
        <v>238</v>
      </c>
      <c r="F81" s="180"/>
      <c r="G81" s="180"/>
      <c r="H81" s="180"/>
      <c r="I81" s="180"/>
      <c r="J81" s="180"/>
      <c r="K81" s="180">
        <f t="shared" si="14"/>
        <v>-7.048197351372254E-2</v>
      </c>
      <c r="L81" s="180">
        <f t="shared" si="13"/>
        <v>-5.013428782086371E-2</v>
      </c>
      <c r="M81" s="180">
        <f t="shared" si="13"/>
        <v>-1.2499508293907224E-2</v>
      </c>
      <c r="N81" s="180">
        <f t="shared" si="13"/>
        <v>-0.10636513042533402</v>
      </c>
      <c r="O81" s="180">
        <f t="shared" si="13"/>
        <v>-0.32762805960323116</v>
      </c>
      <c r="P81" s="180">
        <f t="shared" si="13"/>
        <v>-0.52586795991959778</v>
      </c>
    </row>
    <row r="82" spans="1:16" ht="15">
      <c r="A82" s="173" t="s">
        <v>225</v>
      </c>
      <c r="F82" s="180"/>
      <c r="G82" s="180"/>
      <c r="H82" s="180"/>
      <c r="I82" s="180"/>
      <c r="J82" s="180"/>
      <c r="K82" s="180">
        <f t="shared" si="14"/>
        <v>3.4803087490703932E-2</v>
      </c>
      <c r="L82" s="180">
        <f t="shared" si="13"/>
        <v>4.322404181467876E-2</v>
      </c>
      <c r="M82" s="180">
        <f t="shared" si="13"/>
        <v>6.6865854217890375E-2</v>
      </c>
      <c r="N82" s="180">
        <f t="shared" si="13"/>
        <v>7.9735905589465084E-2</v>
      </c>
      <c r="O82" s="180">
        <f t="shared" si="13"/>
        <v>6.0693630018105571E-2</v>
      </c>
      <c r="P82" s="180">
        <f t="shared" si="13"/>
        <v>4.818980590654709E-2</v>
      </c>
    </row>
    <row r="83" spans="1:16" ht="15">
      <c r="A83" s="178" t="s">
        <v>8</v>
      </c>
      <c r="F83" s="181"/>
      <c r="G83" s="181"/>
      <c r="H83" s="181"/>
      <c r="I83" s="181"/>
      <c r="J83" s="181"/>
      <c r="K83" s="181">
        <f t="shared" si="14"/>
        <v>0.1083239917945904</v>
      </c>
      <c r="L83" s="181">
        <f t="shared" si="13"/>
        <v>0.12424148248986633</v>
      </c>
      <c r="M83" s="181">
        <f t="shared" si="13"/>
        <v>0.10913890463285081</v>
      </c>
      <c r="N83" s="181">
        <f t="shared" si="13"/>
        <v>9.6339899246980609E-2</v>
      </c>
      <c r="O83" s="181">
        <f t="shared" si="13"/>
        <v>6.2051627498034501E-2</v>
      </c>
      <c r="P83" s="181">
        <f t="shared" si="13"/>
        <v>2.8574152280217868E-2</v>
      </c>
    </row>
    <row r="85" spans="1:16">
      <c r="A85" s="176" t="s">
        <v>249</v>
      </c>
    </row>
    <row r="86" spans="1:16" ht="15">
      <c r="A86" s="173" t="s">
        <v>235</v>
      </c>
      <c r="F86" s="180"/>
      <c r="G86" s="180"/>
      <c r="H86" s="180"/>
      <c r="I86" s="180"/>
      <c r="J86" s="180"/>
      <c r="K86" s="180"/>
      <c r="L86" s="180"/>
      <c r="M86" s="180"/>
      <c r="N86" s="180">
        <f>(N12/F12)^(1/8)-1</f>
        <v>0.11375723416566252</v>
      </c>
      <c r="O86" s="180">
        <f t="shared" ref="O86:P91" si="15">(O12/G12)^(1/8)-1</f>
        <v>0.13041605733765183</v>
      </c>
      <c r="P86" s="180">
        <f t="shared" si="15"/>
        <v>8.5537125897103827E-2</v>
      </c>
    </row>
    <row r="87" spans="1:16" ht="15">
      <c r="A87" s="173" t="s">
        <v>236</v>
      </c>
      <c r="F87" s="180"/>
      <c r="G87" s="180"/>
      <c r="H87" s="180"/>
      <c r="I87" s="180"/>
      <c r="J87" s="180"/>
      <c r="K87" s="180"/>
      <c r="L87" s="180"/>
      <c r="M87" s="180"/>
      <c r="N87" s="180">
        <f t="shared" ref="N87:N91" si="16">(N13/F13)^(1/8)-1</f>
        <v>0.13216929368047103</v>
      </c>
      <c r="O87" s="180">
        <f t="shared" si="15"/>
        <v>0.19248497513506124</v>
      </c>
      <c r="P87" s="180">
        <f t="shared" si="15"/>
        <v>7.3061664601724363E-2</v>
      </c>
    </row>
    <row r="88" spans="1:16" ht="15">
      <c r="A88" s="173" t="s">
        <v>237</v>
      </c>
      <c r="F88" s="180"/>
      <c r="G88" s="180"/>
      <c r="H88" s="180"/>
      <c r="I88" s="180"/>
      <c r="J88" s="180"/>
      <c r="K88" s="180"/>
      <c r="L88" s="180"/>
      <c r="M88" s="180"/>
      <c r="N88" s="180">
        <f t="shared" si="16"/>
        <v>0.13182958216774043</v>
      </c>
      <c r="O88" s="180">
        <f t="shared" si="15"/>
        <v>0.1111625092388675</v>
      </c>
      <c r="P88" s="180">
        <f t="shared" si="15"/>
        <v>8.6905280186605482E-2</v>
      </c>
    </row>
    <row r="89" spans="1:16" ht="15">
      <c r="A89" s="173" t="s">
        <v>238</v>
      </c>
      <c r="F89" s="180"/>
      <c r="G89" s="180"/>
      <c r="H89" s="180"/>
      <c r="I89" s="180"/>
      <c r="J89" s="180"/>
      <c r="K89" s="180"/>
      <c r="L89" s="180"/>
      <c r="M89" s="180"/>
      <c r="N89" s="180">
        <f t="shared" si="16"/>
        <v>-6.1857294014714737E-2</v>
      </c>
      <c r="O89" s="180">
        <f t="shared" si="15"/>
        <v>-0.23846273411213736</v>
      </c>
      <c r="P89" s="180">
        <f t="shared" si="15"/>
        <v>-0.38849865461435018</v>
      </c>
    </row>
    <row r="90" spans="1:16" ht="15">
      <c r="A90" s="173" t="s">
        <v>225</v>
      </c>
      <c r="F90" s="180"/>
      <c r="G90" s="180"/>
      <c r="H90" s="180"/>
      <c r="I90" s="180"/>
      <c r="J90" s="180"/>
      <c r="K90" s="180"/>
      <c r="L90" s="180"/>
      <c r="M90" s="180"/>
      <c r="N90" s="180">
        <f t="shared" si="16"/>
        <v>4.2495473802346195E-2</v>
      </c>
      <c r="O90" s="180">
        <f t="shared" si="15"/>
        <v>4.0273088468435247E-2</v>
      </c>
      <c r="P90" s="180">
        <f t="shared" si="15"/>
        <v>5.238063028862916E-2</v>
      </c>
    </row>
    <row r="91" spans="1:16" ht="15">
      <c r="A91" s="178" t="s">
        <v>8</v>
      </c>
      <c r="F91" s="181"/>
      <c r="G91" s="181"/>
      <c r="H91" s="181"/>
      <c r="I91" s="181"/>
      <c r="J91" s="181"/>
      <c r="K91" s="181"/>
      <c r="L91" s="181"/>
      <c r="M91" s="181"/>
      <c r="N91" s="181">
        <f t="shared" si="16"/>
        <v>9.56736143582404E-2</v>
      </c>
      <c r="O91" s="181">
        <f t="shared" si="15"/>
        <v>9.2755539756395944E-2</v>
      </c>
      <c r="P91" s="181">
        <f t="shared" si="15"/>
        <v>6.2743245378558354E-2</v>
      </c>
    </row>
    <row r="93" spans="1:16">
      <c r="A93" s="174" t="s">
        <v>250</v>
      </c>
      <c r="B93" s="175"/>
      <c r="C93" s="175"/>
      <c r="D93" s="175"/>
      <c r="E93" s="175"/>
      <c r="F93" s="175"/>
      <c r="G93" s="175"/>
      <c r="H93" s="175"/>
      <c r="I93" s="175"/>
      <c r="J93" s="175"/>
      <c r="K93" s="175"/>
      <c r="L93" s="175"/>
      <c r="M93" s="175"/>
      <c r="N93" s="175"/>
      <c r="O93" s="175"/>
      <c r="P93" s="175"/>
    </row>
    <row r="94" spans="1:16">
      <c r="A94" s="176" t="s">
        <v>251</v>
      </c>
    </row>
    <row r="95" spans="1:16" ht="15">
      <c r="A95" s="173" t="s">
        <v>235</v>
      </c>
      <c r="F95" s="180">
        <f>F4/F$9</f>
        <v>0.3492060076601971</v>
      </c>
      <c r="G95" s="180">
        <f t="shared" ref="G95:P99" si="17">G4/G$9</f>
        <v>0.35126433417308678</v>
      </c>
      <c r="H95" s="180">
        <f t="shared" si="17"/>
        <v>0.34476968826492427</v>
      </c>
      <c r="I95" s="180">
        <f t="shared" si="17"/>
        <v>0.35714015330746662</v>
      </c>
      <c r="J95" s="180">
        <f t="shared" si="17"/>
        <v>0.36782002866130092</v>
      </c>
      <c r="K95" s="180">
        <f t="shared" si="17"/>
        <v>0.37780053645452327</v>
      </c>
      <c r="L95" s="180">
        <f t="shared" si="17"/>
        <v>0.36988429999625566</v>
      </c>
      <c r="M95" s="180">
        <f t="shared" si="17"/>
        <v>0.36806508270781813</v>
      </c>
      <c r="N95" s="180">
        <f t="shared" si="17"/>
        <v>0.37023590220521169</v>
      </c>
      <c r="O95" s="180">
        <f t="shared" si="17"/>
        <v>0.39382361654527065</v>
      </c>
      <c r="P95" s="180">
        <f t="shared" si="17"/>
        <v>0.40175721442560514</v>
      </c>
    </row>
    <row r="96" spans="1:16" ht="15">
      <c r="A96" s="173" t="s">
        <v>236</v>
      </c>
      <c r="F96" s="180">
        <f t="shared" ref="F96:N99" si="18">F5/F$9</f>
        <v>0.18907346042948744</v>
      </c>
      <c r="G96" s="180">
        <f t="shared" si="18"/>
        <v>0.18026823327723362</v>
      </c>
      <c r="H96" s="180">
        <f t="shared" si="18"/>
        <v>0.17539902494285195</v>
      </c>
      <c r="I96" s="180">
        <f t="shared" si="18"/>
        <v>0.18201949465316553</v>
      </c>
      <c r="J96" s="180">
        <f t="shared" si="18"/>
        <v>0.18630746906291967</v>
      </c>
      <c r="K96" s="180">
        <f t="shared" si="18"/>
        <v>0.18083394294074617</v>
      </c>
      <c r="L96" s="180">
        <f t="shared" si="18"/>
        <v>0.17805257048713821</v>
      </c>
      <c r="M96" s="180">
        <f t="shared" si="18"/>
        <v>0.17547339630720296</v>
      </c>
      <c r="N96" s="180">
        <f t="shared" si="18"/>
        <v>0.17246436428022105</v>
      </c>
      <c r="O96" s="180">
        <f t="shared" si="17"/>
        <v>0.18792714196692173</v>
      </c>
      <c r="P96" s="180">
        <f t="shared" si="17"/>
        <v>0.19287159566755754</v>
      </c>
    </row>
    <row r="97" spans="1:16" ht="15">
      <c r="A97" s="173" t="s">
        <v>237</v>
      </c>
      <c r="F97" s="180">
        <f t="shared" si="18"/>
        <v>0.193161767870207</v>
      </c>
      <c r="G97" s="180">
        <f t="shared" si="18"/>
        <v>0.19661729195195635</v>
      </c>
      <c r="H97" s="180">
        <f t="shared" si="18"/>
        <v>0.20643092670887869</v>
      </c>
      <c r="I97" s="180">
        <f t="shared" si="18"/>
        <v>0.2119617677675783</v>
      </c>
      <c r="J97" s="180">
        <f t="shared" si="18"/>
        <v>0.22397274472514894</v>
      </c>
      <c r="K97" s="180">
        <f t="shared" si="18"/>
        <v>0.23480126798341869</v>
      </c>
      <c r="L97" s="180">
        <f t="shared" si="18"/>
        <v>0.23810237016512525</v>
      </c>
      <c r="M97" s="180">
        <f t="shared" si="18"/>
        <v>0.24658551717508892</v>
      </c>
      <c r="N97" s="180">
        <f t="shared" si="18"/>
        <v>0.2568454563339474</v>
      </c>
      <c r="O97" s="180">
        <f t="shared" si="17"/>
        <v>0.2649122986239516</v>
      </c>
      <c r="P97" s="180">
        <f t="shared" si="17"/>
        <v>0.27520315086724589</v>
      </c>
    </row>
    <row r="98" spans="1:16" ht="15">
      <c r="A98" s="173" t="s">
        <v>238</v>
      </c>
      <c r="F98" s="180">
        <f t="shared" si="18"/>
        <v>0.22666437147652452</v>
      </c>
      <c r="G98" s="180">
        <f t="shared" si="18"/>
        <v>0.23100885399788842</v>
      </c>
      <c r="H98" s="180">
        <f t="shared" si="18"/>
        <v>0.23403394493556937</v>
      </c>
      <c r="I98" s="180">
        <f t="shared" si="18"/>
        <v>0.21117630358663764</v>
      </c>
      <c r="J98" s="180">
        <f t="shared" si="18"/>
        <v>0.1817829492298402</v>
      </c>
      <c r="K98" s="180">
        <f t="shared" si="18"/>
        <v>0.16680809558644233</v>
      </c>
      <c r="L98" s="180">
        <f t="shared" si="18"/>
        <v>0.17576852510577751</v>
      </c>
      <c r="M98" s="180">
        <f t="shared" si="18"/>
        <v>0.17321892012338452</v>
      </c>
      <c r="N98" s="180">
        <f t="shared" si="18"/>
        <v>0.16403162055335968</v>
      </c>
      <c r="O98" s="180">
        <f t="shared" si="17"/>
        <v>0.13268089366527394</v>
      </c>
      <c r="P98" s="180">
        <f t="shared" si="17"/>
        <v>0.10815957757603956</v>
      </c>
    </row>
    <row r="99" spans="1:16" ht="15">
      <c r="A99" s="173" t="s">
        <v>225</v>
      </c>
      <c r="F99" s="180">
        <f t="shared" si="18"/>
        <v>4.1894392563583939E-2</v>
      </c>
      <c r="G99" s="180">
        <f t="shared" si="18"/>
        <v>4.0841286599834839E-2</v>
      </c>
      <c r="H99" s="180">
        <f t="shared" si="18"/>
        <v>3.936641514777578E-2</v>
      </c>
      <c r="I99" s="180">
        <f t="shared" si="18"/>
        <v>3.7702280685151891E-2</v>
      </c>
      <c r="J99" s="180">
        <f t="shared" si="18"/>
        <v>4.0116808320790259E-2</v>
      </c>
      <c r="K99" s="180">
        <f t="shared" si="18"/>
        <v>3.9756157034869545E-2</v>
      </c>
      <c r="L99" s="180">
        <f t="shared" si="18"/>
        <v>3.8192234245703373E-2</v>
      </c>
      <c r="M99" s="180">
        <f t="shared" si="18"/>
        <v>3.6657083686505477E-2</v>
      </c>
      <c r="N99" s="180">
        <f t="shared" si="18"/>
        <v>3.6422656627260207E-2</v>
      </c>
      <c r="O99" s="180">
        <f t="shared" si="17"/>
        <v>2.0656049198582067E-2</v>
      </c>
      <c r="P99" s="180">
        <f t="shared" si="17"/>
        <v>2.2008461463551867E-2</v>
      </c>
    </row>
    <row r="101" spans="1:16">
      <c r="A101" s="176" t="s">
        <v>252</v>
      </c>
    </row>
    <row r="102" spans="1:16" ht="15">
      <c r="A102" s="173" t="s">
        <v>235</v>
      </c>
      <c r="F102" s="180">
        <f>F12/F$17</f>
        <v>0.25428126621691749</v>
      </c>
      <c r="G102" s="180">
        <f t="shared" ref="G102:P106" si="19">G12/G$17</f>
        <v>0.2248068669527897</v>
      </c>
      <c r="H102" s="180">
        <f t="shared" si="19"/>
        <v>0.24033330896864263</v>
      </c>
      <c r="I102" s="180">
        <f t="shared" si="19"/>
        <v>0.23459965703733016</v>
      </c>
      <c r="J102" s="180">
        <f t="shared" si="19"/>
        <v>0.26280661722760978</v>
      </c>
      <c r="K102" s="180">
        <f t="shared" si="19"/>
        <v>0.28635705419942076</v>
      </c>
      <c r="L102" s="180">
        <f t="shared" si="19"/>
        <v>0.2628208191941882</v>
      </c>
      <c r="M102" s="180">
        <f t="shared" si="19"/>
        <v>0.27364570632294027</v>
      </c>
      <c r="N102" s="180">
        <f t="shared" si="19"/>
        <v>0.28986050385175932</v>
      </c>
      <c r="O102" s="180">
        <f t="shared" si="19"/>
        <v>0.29480305652889771</v>
      </c>
      <c r="P102" s="180">
        <f t="shared" si="19"/>
        <v>0.28480301873231212</v>
      </c>
    </row>
    <row r="103" spans="1:16" ht="15">
      <c r="A103" s="173" t="s">
        <v>236</v>
      </c>
      <c r="F103" s="180">
        <f t="shared" ref="F103:N106" si="20">F13/F$17</f>
        <v>9.5571700397855036E-2</v>
      </c>
      <c r="G103" s="180">
        <f t="shared" si="20"/>
        <v>6.7467811158798283E-2</v>
      </c>
      <c r="H103" s="180">
        <f t="shared" si="20"/>
        <v>0.12469848695270813</v>
      </c>
      <c r="I103" s="180">
        <f t="shared" si="20"/>
        <v>0.13612979817965967</v>
      </c>
      <c r="J103" s="180">
        <f t="shared" si="20"/>
        <v>0.152937820878494</v>
      </c>
      <c r="K103" s="180">
        <f t="shared" si="20"/>
        <v>0.13213694662805131</v>
      </c>
      <c r="L103" s="180">
        <f t="shared" si="20"/>
        <v>0.12168427089805477</v>
      </c>
      <c r="M103" s="180">
        <f t="shared" si="20"/>
        <v>0.13351332520466819</v>
      </c>
      <c r="N103" s="180">
        <f t="shared" si="20"/>
        <v>0.12421403289610659</v>
      </c>
      <c r="O103" s="180">
        <f t="shared" si="19"/>
        <v>0.13568624139823532</v>
      </c>
      <c r="P103" s="180">
        <f t="shared" si="19"/>
        <v>0.13471991375050538</v>
      </c>
    </row>
    <row r="104" spans="1:16" ht="15">
      <c r="A104" s="173" t="s">
        <v>237</v>
      </c>
      <c r="F104" s="180">
        <f t="shared" si="20"/>
        <v>0.34717176959003632</v>
      </c>
      <c r="G104" s="180">
        <f t="shared" si="20"/>
        <v>0.4102145922746781</v>
      </c>
      <c r="H104" s="180">
        <f t="shared" si="20"/>
        <v>0.40150573788465754</v>
      </c>
      <c r="I104" s="180">
        <f t="shared" si="20"/>
        <v>0.39585806621817704</v>
      </c>
      <c r="J104" s="180">
        <f t="shared" si="20"/>
        <v>0.40359383913291502</v>
      </c>
      <c r="K104" s="180">
        <f t="shared" si="20"/>
        <v>0.41864915184112539</v>
      </c>
      <c r="L104" s="180">
        <f t="shared" si="20"/>
        <v>0.45242078095875354</v>
      </c>
      <c r="M104" s="180">
        <f t="shared" si="20"/>
        <v>0.43415781222783489</v>
      </c>
      <c r="N104" s="180">
        <f t="shared" si="20"/>
        <v>0.4501353320841141</v>
      </c>
      <c r="O104" s="180">
        <f t="shared" si="19"/>
        <v>0.46886477814835142</v>
      </c>
      <c r="P104" s="180">
        <f t="shared" si="19"/>
        <v>0.48061632451372355</v>
      </c>
    </row>
    <row r="105" spans="1:16" ht="15">
      <c r="A105" s="173" t="s">
        <v>238</v>
      </c>
      <c r="F105" s="180">
        <f t="shared" si="20"/>
        <v>0.17687251340598512</v>
      </c>
      <c r="G105" s="180">
        <f t="shared" si="20"/>
        <v>0.16163090128755364</v>
      </c>
      <c r="H105" s="180">
        <f t="shared" si="20"/>
        <v>0.12711059133104305</v>
      </c>
      <c r="I105" s="180">
        <f t="shared" si="20"/>
        <v>0.14199973618256168</v>
      </c>
      <c r="J105" s="180">
        <f t="shared" si="20"/>
        <v>8.841985168282944E-2</v>
      </c>
      <c r="K105" s="180">
        <f t="shared" si="20"/>
        <v>7.3386429458005789E-2</v>
      </c>
      <c r="L105" s="180">
        <f t="shared" si="20"/>
        <v>6.9588491134158575E-2</v>
      </c>
      <c r="M105" s="180">
        <f t="shared" si="20"/>
        <v>7.1111304650757712E-2</v>
      </c>
      <c r="N105" s="180">
        <f t="shared" si="20"/>
        <v>5.1093066833229235E-2</v>
      </c>
      <c r="O105" s="180">
        <f t="shared" si="19"/>
        <v>8.9922742432557937E-3</v>
      </c>
      <c r="P105" s="180">
        <f t="shared" si="19"/>
        <v>1.5273348007726517E-3</v>
      </c>
    </row>
    <row r="106" spans="1:16" ht="15">
      <c r="A106" s="173" t="s">
        <v>225</v>
      </c>
      <c r="F106" s="180">
        <f t="shared" si="20"/>
        <v>0.12610275038920601</v>
      </c>
      <c r="G106" s="180">
        <f t="shared" si="20"/>
        <v>0.13587982832618026</v>
      </c>
      <c r="H106" s="180">
        <f t="shared" si="20"/>
        <v>0.10635187486294861</v>
      </c>
      <c r="I106" s="180">
        <f t="shared" si="20"/>
        <v>9.141274238227147E-2</v>
      </c>
      <c r="J106" s="180">
        <f t="shared" si="20"/>
        <v>9.2241871078151738E-2</v>
      </c>
      <c r="K106" s="180">
        <f t="shared" si="20"/>
        <v>8.9470417873396768E-2</v>
      </c>
      <c r="L106" s="180">
        <f t="shared" si="20"/>
        <v>9.348563781484491E-2</v>
      </c>
      <c r="M106" s="180">
        <f t="shared" si="20"/>
        <v>8.7571851593798988E-2</v>
      </c>
      <c r="N106" s="180">
        <f t="shared" si="20"/>
        <v>8.4697064334790753E-2</v>
      </c>
      <c r="O106" s="180">
        <f t="shared" si="19"/>
        <v>9.1653649681259761E-2</v>
      </c>
      <c r="P106" s="180">
        <f t="shared" si="19"/>
        <v>9.8333408202686309E-2</v>
      </c>
    </row>
    <row r="108" spans="1:16">
      <c r="A108" s="174" t="s">
        <v>253</v>
      </c>
      <c r="B108" s="175"/>
      <c r="C108" s="175"/>
      <c r="D108" s="175"/>
      <c r="E108" s="175"/>
      <c r="F108" s="175"/>
      <c r="G108" s="175"/>
      <c r="H108" s="175"/>
      <c r="I108" s="175"/>
      <c r="J108" s="175"/>
      <c r="K108" s="175"/>
      <c r="L108" s="175"/>
      <c r="M108" s="175"/>
      <c r="N108" s="175"/>
      <c r="O108" s="175"/>
      <c r="P108" s="175"/>
    </row>
    <row r="109" spans="1:16">
      <c r="A109" s="176" t="s">
        <v>254</v>
      </c>
    </row>
    <row r="110" spans="1:16" ht="15">
      <c r="A110" s="173" t="s">
        <v>235</v>
      </c>
      <c r="G110" s="180">
        <f>G62/G21-1</f>
        <v>-4.0950949113269814</v>
      </c>
      <c r="H110" s="180">
        <f t="shared" ref="H110:P115" si="21">H62/H21-1</f>
        <v>16.771395843560732</v>
      </c>
      <c r="I110" s="180">
        <f t="shared" si="21"/>
        <v>-0.23660934618281904</v>
      </c>
      <c r="J110" s="180">
        <f t="shared" si="21"/>
        <v>2.6275717035867583</v>
      </c>
      <c r="K110" s="180">
        <f t="shared" si="21"/>
        <v>-4.9682952932895565</v>
      </c>
      <c r="L110" s="180">
        <f t="shared" si="21"/>
        <v>-1.3408056755717961</v>
      </c>
      <c r="M110" s="180">
        <f t="shared" si="21"/>
        <v>1.163694302126836</v>
      </c>
      <c r="N110" s="180">
        <f t="shared" si="21"/>
        <v>-7.3113501494844311</v>
      </c>
      <c r="O110" s="180">
        <f t="shared" si="21"/>
        <v>-1.0458960331729448</v>
      </c>
      <c r="P110" s="180">
        <f t="shared" si="21"/>
        <v>1.4981039204187718</v>
      </c>
    </row>
    <row r="111" spans="1:16" ht="15">
      <c r="A111" s="173" t="s">
        <v>236</v>
      </c>
      <c r="G111" s="180">
        <f t="shared" ref="G111:N115" si="22">G63/G22-1</f>
        <v>14.420665942317976</v>
      </c>
      <c r="H111" s="180">
        <f t="shared" si="22"/>
        <v>209.26028413910038</v>
      </c>
      <c r="I111" s="180">
        <f t="shared" si="22"/>
        <v>0.92232814298870136</v>
      </c>
      <c r="J111" s="180">
        <f t="shared" si="22"/>
        <v>3.0011820761383756</v>
      </c>
      <c r="K111" s="180">
        <f t="shared" si="22"/>
        <v>-0.54411871012640678</v>
      </c>
      <c r="L111" s="180">
        <f t="shared" si="22"/>
        <v>-1.135773889198548</v>
      </c>
      <c r="M111" s="180">
        <f t="shared" si="22"/>
        <v>2.6649868828647207</v>
      </c>
      <c r="N111" s="180">
        <f t="shared" si="22"/>
        <v>-0.31620778922407311</v>
      </c>
      <c r="O111" s="180">
        <f t="shared" si="21"/>
        <v>-2.678073125991105</v>
      </c>
      <c r="P111" s="180">
        <f t="shared" si="21"/>
        <v>1.1551617976083208</v>
      </c>
    </row>
    <row r="112" spans="1:16" ht="15">
      <c r="A112" s="173" t="s">
        <v>237</v>
      </c>
      <c r="G112" s="180">
        <f t="shared" si="22"/>
        <v>3.0020192484199981</v>
      </c>
      <c r="H112" s="180">
        <f t="shared" si="22"/>
        <v>0.75633317639673647</v>
      </c>
      <c r="I112" s="180">
        <f t="shared" si="22"/>
        <v>-4.9186967425153161E-2</v>
      </c>
      <c r="J112" s="180">
        <f t="shared" si="22"/>
        <v>0.63302376641174019</v>
      </c>
      <c r="K112" s="180">
        <f t="shared" si="22"/>
        <v>-5.6108299111832665</v>
      </c>
      <c r="L112" s="180">
        <f t="shared" si="22"/>
        <v>1.991265497709922</v>
      </c>
      <c r="M112" s="180">
        <f t="shared" si="22"/>
        <v>-0.51336914026097435</v>
      </c>
      <c r="N112" s="180">
        <f t="shared" si="22"/>
        <v>3.726696989577075</v>
      </c>
      <c r="O112" s="180">
        <f t="shared" si="21"/>
        <v>-1.2818879372942225</v>
      </c>
      <c r="P112" s="180">
        <f t="shared" si="21"/>
        <v>0.90828576325832655</v>
      </c>
    </row>
    <row r="113" spans="1:16" ht="15">
      <c r="A113" s="173" t="s">
        <v>238</v>
      </c>
      <c r="G113" s="180">
        <f t="shared" si="22"/>
        <v>-2.6187744706281286</v>
      </c>
      <c r="H113" s="180">
        <f t="shared" si="22"/>
        <v>-2.6265568479843706</v>
      </c>
      <c r="I113" s="180">
        <f t="shared" si="22"/>
        <v>-7.6930911677428</v>
      </c>
      <c r="J113" s="180">
        <f t="shared" si="22"/>
        <v>1.9123291412879317</v>
      </c>
      <c r="K113" s="180">
        <f t="shared" si="22"/>
        <v>-0.4442106923861715</v>
      </c>
      <c r="L113" s="180">
        <f t="shared" si="22"/>
        <v>-0.7337734162170132</v>
      </c>
      <c r="M113" s="180">
        <f t="shared" si="22"/>
        <v>1.1822596022524348</v>
      </c>
      <c r="N113" s="180">
        <f t="shared" si="22"/>
        <v>2.330025156816339</v>
      </c>
      <c r="O113" s="180">
        <f t="shared" si="21"/>
        <v>1.8307680366360075</v>
      </c>
      <c r="P113" s="180">
        <f t="shared" si="21"/>
        <v>2.6479940247545879</v>
      </c>
    </row>
    <row r="114" spans="1:16" ht="15">
      <c r="A114" s="173" t="s">
        <v>225</v>
      </c>
      <c r="G114" s="180">
        <f t="shared" si="22"/>
        <v>24.680595125039524</v>
      </c>
      <c r="H114" s="180">
        <f t="shared" si="22"/>
        <v>20.061107601600384</v>
      </c>
      <c r="I114" s="180">
        <f t="shared" si="22"/>
        <v>-3.0061855670103133</v>
      </c>
      <c r="J114" s="180">
        <f t="shared" si="22"/>
        <v>0.42184154175588917</v>
      </c>
      <c r="K114" s="180">
        <f t="shared" si="22"/>
        <v>-1.8294586683158116</v>
      </c>
      <c r="L114" s="180">
        <f t="shared" si="22"/>
        <v>132.11791907515254</v>
      </c>
      <c r="M114" s="180">
        <f t="shared" si="22"/>
        <v>-2.4006401707078462E-3</v>
      </c>
      <c r="N114" s="180">
        <f t="shared" si="22"/>
        <v>-1.3932673574031389</v>
      </c>
      <c r="O114" s="180">
        <f t="shared" si="21"/>
        <v>-1.1337575693944053</v>
      </c>
      <c r="P114" s="180">
        <f t="shared" si="21"/>
        <v>0.3970520497466814</v>
      </c>
    </row>
    <row r="115" spans="1:16" ht="15">
      <c r="A115" s="173" t="s">
        <v>8</v>
      </c>
      <c r="G115" s="180">
        <f t="shared" si="22"/>
        <v>-0.73943269419763502</v>
      </c>
      <c r="H115" s="180">
        <f t="shared" si="22"/>
        <v>4.2068019118342468</v>
      </c>
      <c r="I115" s="180">
        <f t="shared" si="22"/>
        <v>0.57296795149372515</v>
      </c>
      <c r="J115" s="180">
        <f t="shared" si="22"/>
        <v>2.12507716635093</v>
      </c>
      <c r="K115" s="180">
        <f t="shared" si="22"/>
        <v>-2.3565805809281</v>
      </c>
      <c r="L115" s="180">
        <f t="shared" si="22"/>
        <v>0.95554908435302011</v>
      </c>
      <c r="M115" s="180">
        <f t="shared" si="22"/>
        <v>0.3691859232738115</v>
      </c>
      <c r="N115" s="180">
        <f t="shared" si="22"/>
        <v>-3.0044250529273095</v>
      </c>
      <c r="O115" s="180">
        <f t="shared" si="21"/>
        <v>-0.89041156038854319</v>
      </c>
      <c r="P115" s="180">
        <f t="shared" si="21"/>
        <v>7.7348052823890789E-2</v>
      </c>
    </row>
    <row r="116" spans="1:16" ht="15">
      <c r="G116" s="180"/>
      <c r="H116" s="180"/>
      <c r="I116" s="180"/>
      <c r="J116" s="180"/>
      <c r="K116" s="180"/>
      <c r="L116" s="180"/>
      <c r="M116" s="180"/>
      <c r="N116" s="180"/>
      <c r="O116" s="180"/>
      <c r="P116" s="180"/>
    </row>
    <row r="117" spans="1:16" ht="15">
      <c r="A117" s="176" t="s">
        <v>255</v>
      </c>
      <c r="G117" s="180"/>
      <c r="H117" s="180"/>
      <c r="I117" s="180"/>
      <c r="J117" s="180"/>
      <c r="K117" s="180"/>
      <c r="L117" s="180"/>
      <c r="M117" s="180"/>
      <c r="N117" s="180"/>
      <c r="O117" s="180"/>
      <c r="P117" s="180"/>
    </row>
    <row r="118" spans="1:16" ht="15">
      <c r="A118" s="173" t="s">
        <v>235</v>
      </c>
      <c r="G118" s="180"/>
      <c r="H118" s="180"/>
      <c r="I118" s="180">
        <f t="shared" ref="I118:P123" si="23">I70/I29-1</f>
        <v>0.27224081283040524</v>
      </c>
      <c r="J118" s="180">
        <f t="shared" si="23"/>
        <v>2.0957394329808956</v>
      </c>
      <c r="K118" s="180">
        <f t="shared" si="23"/>
        <v>3.3584306884581183</v>
      </c>
      <c r="L118" s="180">
        <f t="shared" si="23"/>
        <v>9.1235042279211367</v>
      </c>
      <c r="M118" s="180">
        <f t="shared" si="23"/>
        <v>9.2892613263974173</v>
      </c>
      <c r="N118" s="180">
        <f t="shared" si="23"/>
        <v>2.5308708139966707</v>
      </c>
      <c r="O118" s="180">
        <f t="shared" si="23"/>
        <v>-11.120667564415299</v>
      </c>
      <c r="P118" s="180">
        <f t="shared" si="23"/>
        <v>-1.0719407959058274</v>
      </c>
    </row>
    <row r="119" spans="1:16" ht="15">
      <c r="A119" s="173" t="s">
        <v>236</v>
      </c>
      <c r="G119" s="180"/>
      <c r="H119" s="180"/>
      <c r="I119" s="180">
        <f t="shared" si="23"/>
        <v>6.5807199730098036</v>
      </c>
      <c r="J119" s="180">
        <f t="shared" si="23"/>
        <v>7.11544284429546</v>
      </c>
      <c r="K119" s="180">
        <f t="shared" si="23"/>
        <v>5.3950410143349989</v>
      </c>
      <c r="L119" s="180">
        <f t="shared" si="23"/>
        <v>-20.558075793247937</v>
      </c>
      <c r="M119" s="180">
        <f t="shared" si="23"/>
        <v>-5.7618986655170659</v>
      </c>
      <c r="N119" s="180">
        <f t="shared" si="23"/>
        <v>3.0027003738658999</v>
      </c>
      <c r="O119" s="180">
        <f t="shared" si="23"/>
        <v>-8.2920694358480826</v>
      </c>
      <c r="P119" s="180">
        <f t="shared" si="23"/>
        <v>-0.81158473804313291</v>
      </c>
    </row>
    <row r="120" spans="1:16" ht="15">
      <c r="A120" s="173" t="s">
        <v>237</v>
      </c>
      <c r="G120" s="180"/>
      <c r="H120" s="180"/>
      <c r="I120" s="180">
        <f t="shared" si="23"/>
        <v>0.87581317635444234</v>
      </c>
      <c r="J120" s="180">
        <f t="shared" si="23"/>
        <v>0.43611748675204254</v>
      </c>
      <c r="K120" s="180">
        <f t="shared" si="23"/>
        <v>1.4386762699046569</v>
      </c>
      <c r="L120" s="180">
        <f t="shared" si="23"/>
        <v>2.7869303836422232</v>
      </c>
      <c r="M120" s="180">
        <f t="shared" si="23"/>
        <v>1.7981167629749422</v>
      </c>
      <c r="N120" s="180">
        <f t="shared" si="23"/>
        <v>0.66944604881831071</v>
      </c>
      <c r="O120" s="180">
        <f t="shared" si="23"/>
        <v>7.4704266739139129</v>
      </c>
      <c r="P120" s="180">
        <f t="shared" si="23"/>
        <v>-1.6991719784590147</v>
      </c>
    </row>
    <row r="121" spans="1:16" ht="15">
      <c r="A121" s="173" t="s">
        <v>238</v>
      </c>
      <c r="G121" s="180"/>
      <c r="H121" s="180"/>
      <c r="I121" s="180">
        <f t="shared" si="23"/>
        <v>-0.10592866256713662</v>
      </c>
      <c r="J121" s="180">
        <f t="shared" si="23"/>
        <v>1.093524367191538</v>
      </c>
      <c r="K121" s="180">
        <f t="shared" si="23"/>
        <v>-0.31623010067080592</v>
      </c>
      <c r="L121" s="180">
        <f t="shared" si="23"/>
        <v>1.1861834046109663</v>
      </c>
      <c r="M121" s="180">
        <f t="shared" si="23"/>
        <v>-4.0497147471176413</v>
      </c>
      <c r="N121" s="180">
        <f t="shared" si="23"/>
        <v>-3.0022582321044338</v>
      </c>
      <c r="O121" s="180">
        <f t="shared" si="23"/>
        <v>3.0917190285841194</v>
      </c>
      <c r="P121" s="180">
        <f t="shared" si="23"/>
        <v>2.5525336943921006</v>
      </c>
    </row>
    <row r="122" spans="1:16" ht="15">
      <c r="A122" s="173" t="s">
        <v>225</v>
      </c>
      <c r="G122" s="180"/>
      <c r="H122" s="180"/>
      <c r="I122" s="180">
        <f t="shared" si="23"/>
        <v>-3.189448730371097</v>
      </c>
      <c r="J122" s="180">
        <f t="shared" si="23"/>
        <v>-0.83993234876459755</v>
      </c>
      <c r="K122" s="180">
        <f t="shared" si="23"/>
        <v>2.8282755667226986</v>
      </c>
      <c r="L122" s="180">
        <f t="shared" si="23"/>
        <v>14.270054771015376</v>
      </c>
      <c r="M122" s="180">
        <f t="shared" si="23"/>
        <v>-4.8561436593848724</v>
      </c>
      <c r="N122" s="180">
        <f t="shared" si="23"/>
        <v>-226.93184612372073</v>
      </c>
      <c r="O122" s="180">
        <f t="shared" si="23"/>
        <v>-1.1695419736515491</v>
      </c>
      <c r="P122" s="180">
        <f t="shared" si="23"/>
        <v>-1.133747627541321</v>
      </c>
    </row>
    <row r="123" spans="1:16" ht="15">
      <c r="A123" s="173" t="s">
        <v>8</v>
      </c>
      <c r="G123" s="180"/>
      <c r="H123" s="180"/>
      <c r="I123" s="180">
        <f t="shared" si="23"/>
        <v>1.164547565460134</v>
      </c>
      <c r="J123" s="180">
        <f t="shared" si="23"/>
        <v>1.8802302226927017</v>
      </c>
      <c r="K123" s="180">
        <f t="shared" si="23"/>
        <v>9.0294128292103881</v>
      </c>
      <c r="L123" s="180">
        <f t="shared" si="23"/>
        <v>30.136873877831846</v>
      </c>
      <c r="M123" s="180">
        <f t="shared" si="23"/>
        <v>8.0808886564179474</v>
      </c>
      <c r="N123" s="180">
        <f t="shared" si="23"/>
        <v>1.5506552980301738</v>
      </c>
      <c r="O123" s="180">
        <f t="shared" si="23"/>
        <v>-2.4708657393010722</v>
      </c>
      <c r="P123" s="180">
        <f t="shared" si="23"/>
        <v>-0.85004993617063984</v>
      </c>
    </row>
    <row r="124" spans="1:16" ht="15">
      <c r="G124" s="180"/>
      <c r="H124" s="180"/>
      <c r="I124" s="180"/>
      <c r="J124" s="180"/>
      <c r="K124" s="180"/>
      <c r="L124" s="180"/>
      <c r="M124" s="180"/>
      <c r="N124" s="180"/>
      <c r="O124" s="180"/>
      <c r="P124" s="180"/>
    </row>
    <row r="125" spans="1:16" ht="15">
      <c r="A125" s="176" t="s">
        <v>256</v>
      </c>
      <c r="G125" s="180"/>
      <c r="H125" s="180"/>
      <c r="I125" s="180"/>
      <c r="J125" s="180"/>
      <c r="K125" s="180"/>
      <c r="L125" s="180"/>
      <c r="M125" s="180"/>
      <c r="N125" s="180"/>
      <c r="O125" s="180"/>
      <c r="P125" s="180"/>
    </row>
    <row r="126" spans="1:16" ht="15">
      <c r="A126" s="173" t="s">
        <v>235</v>
      </c>
      <c r="G126" s="180"/>
      <c r="H126" s="180"/>
      <c r="I126" s="180"/>
      <c r="J126" s="180"/>
      <c r="K126" s="180">
        <f t="shared" ref="K126:P131" si="24">K78/K37-1</f>
        <v>2.7506442957798254</v>
      </c>
      <c r="L126" s="180">
        <f t="shared" si="24"/>
        <v>3.8551956867837838</v>
      </c>
      <c r="M126" s="180">
        <f t="shared" si="24"/>
        <v>2.198625546723878</v>
      </c>
      <c r="N126" s="180">
        <f t="shared" si="24"/>
        <v>6.6853723200975939</v>
      </c>
      <c r="O126" s="180">
        <f t="shared" si="24"/>
        <v>-8.6593625966964751</v>
      </c>
      <c r="P126" s="180">
        <f t="shared" si="24"/>
        <v>-4.2596327559036204</v>
      </c>
    </row>
    <row r="127" spans="1:16" ht="15">
      <c r="A127" s="173" t="s">
        <v>236</v>
      </c>
      <c r="G127" s="180"/>
      <c r="H127" s="180"/>
      <c r="I127" s="180"/>
      <c r="J127" s="180"/>
      <c r="K127" s="180">
        <f t="shared" si="24"/>
        <v>15.962950704160143</v>
      </c>
      <c r="L127" s="180">
        <f t="shared" si="24"/>
        <v>12.38489771856924</v>
      </c>
      <c r="M127" s="180">
        <f t="shared" si="24"/>
        <v>3.17784412523417</v>
      </c>
      <c r="N127" s="180">
        <f t="shared" si="24"/>
        <v>140.51757856764078</v>
      </c>
      <c r="O127" s="180">
        <f t="shared" si="24"/>
        <v>-2.6022148760937185</v>
      </c>
      <c r="P127" s="180">
        <f t="shared" si="24"/>
        <v>-5.1563340252625114</v>
      </c>
    </row>
    <row r="128" spans="1:16" ht="15">
      <c r="A128" s="173" t="s">
        <v>237</v>
      </c>
      <c r="G128" s="180"/>
      <c r="H128" s="180"/>
      <c r="I128" s="180"/>
      <c r="J128" s="180"/>
      <c r="K128" s="180">
        <f t="shared" si="24"/>
        <v>1.4931210091573539</v>
      </c>
      <c r="L128" s="180">
        <f t="shared" si="24"/>
        <v>1.3540032048238291</v>
      </c>
      <c r="M128" s="180">
        <f t="shared" si="24"/>
        <v>0.89125495110517572</v>
      </c>
      <c r="N128" s="180">
        <f t="shared" si="24"/>
        <v>1.4488037492736017</v>
      </c>
      <c r="O128" s="180">
        <f t="shared" si="24"/>
        <v>10.024590062763309</v>
      </c>
      <c r="P128" s="180">
        <f t="shared" si="24"/>
        <v>4.1868251892213149</v>
      </c>
    </row>
    <row r="129" spans="1:16" ht="15">
      <c r="A129" s="173" t="s">
        <v>238</v>
      </c>
      <c r="G129" s="180"/>
      <c r="H129" s="180"/>
      <c r="I129" s="180"/>
      <c r="J129" s="180"/>
      <c r="K129" s="180">
        <f t="shared" si="24"/>
        <v>0.72521583862980488</v>
      </c>
      <c r="L129" s="180">
        <f t="shared" si="24"/>
        <v>0.56401227952971555</v>
      </c>
      <c r="M129" s="180">
        <f t="shared" si="24"/>
        <v>-0.589552190567732</v>
      </c>
      <c r="N129" s="180">
        <f t="shared" si="24"/>
        <v>1.7667730079838413</v>
      </c>
      <c r="O129" s="180">
        <f t="shared" si="24"/>
        <v>2.888240255375107</v>
      </c>
      <c r="P129" s="180">
        <f t="shared" si="24"/>
        <v>4.1638945544615407</v>
      </c>
    </row>
    <row r="130" spans="1:16" ht="15">
      <c r="A130" s="173" t="s">
        <v>225</v>
      </c>
      <c r="G130" s="180"/>
      <c r="H130" s="180"/>
      <c r="I130" s="180"/>
      <c r="J130" s="180"/>
      <c r="K130" s="180">
        <f t="shared" si="24"/>
        <v>2.7921357454684355</v>
      </c>
      <c r="L130" s="180">
        <f t="shared" si="24"/>
        <v>3.9665178235209106</v>
      </c>
      <c r="M130" s="180">
        <f t="shared" si="24"/>
        <v>3.4261475940775119</v>
      </c>
      <c r="N130" s="180">
        <f t="shared" si="24"/>
        <v>17.005275466616691</v>
      </c>
      <c r="O130" s="180">
        <f t="shared" si="24"/>
        <v>-1.415748099628962</v>
      </c>
      <c r="P130" s="180">
        <f t="shared" si="24"/>
        <v>-1.3712864932652671</v>
      </c>
    </row>
    <row r="131" spans="1:16" ht="15">
      <c r="A131" s="173" t="s">
        <v>8</v>
      </c>
      <c r="G131" s="180"/>
      <c r="H131" s="180"/>
      <c r="I131" s="180"/>
      <c r="J131" s="180"/>
      <c r="K131" s="180">
        <f t="shared" si="24"/>
        <v>4.4690030346775425</v>
      </c>
      <c r="L131" s="180">
        <f t="shared" si="24"/>
        <v>4.5655745202732954</v>
      </c>
      <c r="M131" s="180">
        <f t="shared" si="24"/>
        <v>2.676264438266823</v>
      </c>
      <c r="N131" s="180">
        <f t="shared" si="24"/>
        <v>7.4590465908541024</v>
      </c>
      <c r="O131" s="180">
        <f t="shared" si="24"/>
        <v>-3.5081776537230831</v>
      </c>
      <c r="P131" s="180">
        <f t="shared" si="24"/>
        <v>-2.3910844578119494</v>
      </c>
    </row>
    <row r="132" spans="1:16" ht="15">
      <c r="G132" s="180"/>
      <c r="H132" s="180"/>
      <c r="I132" s="180"/>
      <c r="J132" s="180"/>
      <c r="K132" s="180"/>
      <c r="L132" s="180"/>
      <c r="M132" s="180"/>
      <c r="N132" s="180"/>
      <c r="O132" s="180"/>
      <c r="P132" s="180"/>
    </row>
    <row r="133" spans="1:16" ht="15">
      <c r="A133" s="176" t="s">
        <v>257</v>
      </c>
      <c r="G133" s="180"/>
      <c r="H133" s="180"/>
      <c r="I133" s="180"/>
      <c r="J133" s="180"/>
      <c r="K133" s="180"/>
      <c r="L133" s="180"/>
      <c r="M133" s="180"/>
      <c r="N133" s="180"/>
      <c r="O133" s="180"/>
      <c r="P133" s="180"/>
    </row>
    <row r="134" spans="1:16" ht="15">
      <c r="A134" s="173" t="s">
        <v>235</v>
      </c>
      <c r="G134" s="180"/>
      <c r="H134" s="180"/>
      <c r="I134" s="180"/>
      <c r="J134" s="180"/>
      <c r="K134" s="180"/>
      <c r="L134" s="180"/>
      <c r="M134" s="180"/>
      <c r="N134" s="180">
        <f t="shared" ref="N134:P139" si="25">N86/N45-1</f>
        <v>2.6826220666239484</v>
      </c>
      <c r="O134" s="180">
        <f t="shared" si="25"/>
        <v>6.5301856070122879</v>
      </c>
      <c r="P134" s="180">
        <f t="shared" si="25"/>
        <v>6.9571767653878247</v>
      </c>
    </row>
    <row r="135" spans="1:16" ht="15">
      <c r="A135" s="173" t="s">
        <v>236</v>
      </c>
      <c r="G135" s="180"/>
      <c r="H135" s="180"/>
      <c r="I135" s="180"/>
      <c r="J135" s="180"/>
      <c r="K135" s="180"/>
      <c r="L135" s="180"/>
      <c r="M135" s="180"/>
      <c r="N135" s="180">
        <f t="shared" si="25"/>
        <v>10.308470847429978</v>
      </c>
      <c r="O135" s="180">
        <f t="shared" si="25"/>
        <v>22.736976204910583</v>
      </c>
      <c r="P135" s="180">
        <f t="shared" si="25"/>
        <v>20.195921997394393</v>
      </c>
    </row>
    <row r="136" spans="1:16" ht="15">
      <c r="A136" s="173" t="s">
        <v>237</v>
      </c>
      <c r="G136" s="180"/>
      <c r="H136" s="180"/>
      <c r="I136" s="180"/>
      <c r="J136" s="180"/>
      <c r="K136" s="180"/>
      <c r="L136" s="180"/>
      <c r="M136" s="180"/>
      <c r="N136" s="180">
        <f t="shared" si="25"/>
        <v>1.1793523914198256</v>
      </c>
      <c r="O136" s="180">
        <f t="shared" si="25"/>
        <v>1.7139686749518832</v>
      </c>
      <c r="P136" s="180">
        <f t="shared" si="25"/>
        <v>2.1153466655586826</v>
      </c>
    </row>
    <row r="137" spans="1:16" ht="15">
      <c r="A137" s="173" t="s">
        <v>238</v>
      </c>
      <c r="G137" s="180"/>
      <c r="H137" s="180"/>
      <c r="I137" s="180"/>
      <c r="J137" s="180"/>
      <c r="K137" s="180"/>
      <c r="L137" s="180"/>
      <c r="M137" s="180"/>
      <c r="N137" s="180">
        <f t="shared" si="25"/>
        <v>2.6038148122624811</v>
      </c>
      <c r="O137" s="180">
        <f t="shared" si="25"/>
        <v>2.7097867595350387</v>
      </c>
      <c r="P137" s="180">
        <f t="shared" si="25"/>
        <v>2.9007567781316284</v>
      </c>
    </row>
    <row r="138" spans="1:16" ht="15">
      <c r="A138" s="173" t="s">
        <v>225</v>
      </c>
      <c r="G138" s="180"/>
      <c r="H138" s="180"/>
      <c r="I138" s="180"/>
      <c r="J138" s="180"/>
      <c r="K138" s="180"/>
      <c r="L138" s="180"/>
      <c r="M138" s="180"/>
      <c r="N138" s="180">
        <f t="shared" si="25"/>
        <v>6.5431177193753882</v>
      </c>
      <c r="O138" s="180">
        <f t="shared" si="25"/>
        <v>-1.5095477581678212</v>
      </c>
      <c r="P138" s="180">
        <f t="shared" si="25"/>
        <v>-1.6723031063388945</v>
      </c>
    </row>
    <row r="139" spans="1:16" ht="15">
      <c r="A139" s="173" t="s">
        <v>8</v>
      </c>
      <c r="G139" s="180"/>
      <c r="H139" s="180"/>
      <c r="I139" s="180"/>
      <c r="J139" s="180"/>
      <c r="K139" s="180"/>
      <c r="L139" s="180"/>
      <c r="M139" s="180"/>
      <c r="N139" s="180">
        <f t="shared" si="25"/>
        <v>3.0917352038403809</v>
      </c>
      <c r="O139" s="180">
        <f t="shared" si="25"/>
        <v>31.212815463275021</v>
      </c>
      <c r="P139" s="180">
        <f t="shared" si="25"/>
        <v>-8.4750613455650257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election activeCell="D28" sqref="D28"/>
    </sheetView>
  </sheetViews>
  <sheetFormatPr defaultRowHeight="15"/>
  <cols>
    <col min="1" max="1" width="37.42578125" bestFit="1" customWidth="1"/>
    <col min="12" max="12" width="9.5703125" bestFit="1" customWidth="1"/>
  </cols>
  <sheetData>
    <row r="1" spans="1:16">
      <c r="A1" s="10" t="s">
        <v>37</v>
      </c>
      <c r="B1" s="134">
        <f>'Company Analysis'!B2</f>
        <v>39813</v>
      </c>
      <c r="C1" s="134">
        <f>'Company Analysis'!C2</f>
        <v>40178</v>
      </c>
      <c r="D1" s="134">
        <f>'Company Analysis'!D2</f>
        <v>40543</v>
      </c>
      <c r="E1" s="134">
        <f>'Company Analysis'!E2</f>
        <v>40908</v>
      </c>
      <c r="F1" s="134">
        <f>'Company Analysis'!F2</f>
        <v>41274</v>
      </c>
      <c r="G1" s="134">
        <f>'Company Analysis'!G2</f>
        <v>41639</v>
      </c>
      <c r="H1" s="134">
        <f>'Company Analysis'!H2</f>
        <v>42004</v>
      </c>
      <c r="I1" s="134">
        <f>'Company Analysis'!I2</f>
        <v>42369</v>
      </c>
      <c r="J1" s="134">
        <f>'Company Analysis'!J2</f>
        <v>42735</v>
      </c>
      <c r="K1" s="134">
        <f>'Company Analysis'!K2</f>
        <v>43100</v>
      </c>
      <c r="L1" s="134">
        <f>'Graphing Data'!K1+365</f>
        <v>43465</v>
      </c>
      <c r="M1" s="134">
        <f>'Graphing Data'!L1+365</f>
        <v>43830</v>
      </c>
      <c r="N1" s="134">
        <f>'Graphing Data'!M1+365</f>
        <v>44195</v>
      </c>
      <c r="O1" s="134">
        <f>'Graphing Data'!N1+365</f>
        <v>44560</v>
      </c>
      <c r="P1" s="134">
        <f>'Graphing Data'!O1+365</f>
        <v>44925</v>
      </c>
    </row>
    <row r="2" spans="1:16">
      <c r="A2" t="s">
        <v>163</v>
      </c>
      <c r="B2" s="17">
        <f>'Company Analysis'!B3</f>
        <v>103630</v>
      </c>
      <c r="C2" s="17">
        <f>'Company Analysis'!C3</f>
        <v>95758</v>
      </c>
      <c r="D2" s="17">
        <f>'Company Analysis'!D3</f>
        <v>99870</v>
      </c>
      <c r="E2" s="17">
        <f>'Company Analysis'!E3</f>
        <v>106916</v>
      </c>
      <c r="F2" s="17">
        <f>'Company Analysis'!F3</f>
        <v>104507</v>
      </c>
      <c r="G2" s="17">
        <f>'Company Analysis'!G3</f>
        <v>98367</v>
      </c>
      <c r="H2" s="17">
        <f>'Company Analysis'!H3</f>
        <v>92793</v>
      </c>
      <c r="I2" s="17">
        <f>'Company Analysis'!I3</f>
        <v>81741</v>
      </c>
      <c r="J2" s="17">
        <f>'Company Analysis'!J3</f>
        <v>79919</v>
      </c>
      <c r="K2" s="17">
        <f>'Company Analysis'!K3</f>
        <v>79139</v>
      </c>
      <c r="L2" s="17"/>
      <c r="M2" s="17"/>
      <c r="N2" s="17"/>
      <c r="O2" s="17"/>
      <c r="P2" s="17"/>
    </row>
    <row r="3" spans="1:16">
      <c r="A3" t="s">
        <v>164</v>
      </c>
      <c r="L3" s="17">
        <f>$K$2*(1+'Valuation Model'!C8)</f>
        <v>79255.100000000006</v>
      </c>
      <c r="M3" s="17">
        <f>L3*(1+'Valuation Model'!D8)</f>
        <v>80323.19</v>
      </c>
      <c r="N3" s="17">
        <f>M3*(1+'Valuation Model'!E8)</f>
        <v>82363.703000000023</v>
      </c>
      <c r="O3" s="17">
        <f>N3*(1+'Valuation Model'!F8)</f>
        <v>85408.904540000032</v>
      </c>
      <c r="P3" s="17">
        <f>O3*(1+'Valuation Model'!G8)</f>
        <v>89503.374546800056</v>
      </c>
    </row>
    <row r="4" spans="1:16">
      <c r="A4" t="s">
        <v>165</v>
      </c>
      <c r="L4" s="17">
        <f>$K$2*(1+'Valuation Model'!C9)</f>
        <v>77430.100000000006</v>
      </c>
      <c r="M4" s="17">
        <f>L4*(1+'Valuation Model'!D9)</f>
        <v>75545.34</v>
      </c>
      <c r="N4" s="17">
        <f>M4*(1+'Valuation Model'!E9)</f>
        <v>74141.968500000003</v>
      </c>
      <c r="O4" s="17">
        <f>N4*(1+'Valuation Model'!F9)</f>
        <v>73186.492274999997</v>
      </c>
      <c r="P4" s="17">
        <f>O4*(1+'Valuation Model'!G9)</f>
        <v>72649.499703750014</v>
      </c>
    </row>
    <row r="5" spans="1:16">
      <c r="A5" t="s">
        <v>166</v>
      </c>
      <c r="C5" s="20">
        <f>C2/B2-1</f>
        <v>-7.5962559104506444E-2</v>
      </c>
      <c r="D5" s="20">
        <f t="shared" ref="D5:K5" si="0">D2/C2-1</f>
        <v>4.2941581904383908E-2</v>
      </c>
      <c r="E5" s="20">
        <f t="shared" si="0"/>
        <v>7.0551717232402167E-2</v>
      </c>
      <c r="F5" s="20">
        <f t="shared" si="0"/>
        <v>-2.2531707134572976E-2</v>
      </c>
      <c r="G5" s="20">
        <f t="shared" si="0"/>
        <v>-5.8752045317538526E-2</v>
      </c>
      <c r="H5" s="20">
        <f t="shared" si="0"/>
        <v>-5.6665345085242014E-2</v>
      </c>
      <c r="I5" s="20">
        <f t="shared" si="0"/>
        <v>-0.119103811709935</v>
      </c>
      <c r="J5" s="20">
        <f t="shared" si="0"/>
        <v>-2.2289915709374775E-2</v>
      </c>
      <c r="K5" s="20">
        <f t="shared" si="0"/>
        <v>-9.7598818804038867E-3</v>
      </c>
    </row>
    <row r="6" spans="1:16">
      <c r="A6" t="s">
        <v>167</v>
      </c>
      <c r="K6" s="99">
        <f>K5</f>
        <v>-9.7598818804038867E-3</v>
      </c>
      <c r="L6" s="99">
        <f>'Valuation Model'!C8</f>
        <v>1.467039007316373E-3</v>
      </c>
      <c r="M6" s="99">
        <f>'Valuation Model'!D8</f>
        <v>1.3476609076261248E-2</v>
      </c>
      <c r="N6" s="99">
        <f>'Valuation Model'!E8</f>
        <v>2.5403784386551553E-2</v>
      </c>
      <c r="O6" s="99">
        <f>'Valuation Model'!F8</f>
        <v>3.6972615716415858E-2</v>
      </c>
      <c r="P6" s="99">
        <f>'Valuation Model'!G8</f>
        <v>4.7939615065340613E-2</v>
      </c>
    </row>
    <row r="7" spans="1:16">
      <c r="A7" t="s">
        <v>168</v>
      </c>
      <c r="K7" s="99">
        <f>K5</f>
        <v>-9.7598818804038867E-3</v>
      </c>
      <c r="L7" s="99">
        <f>'Valuation Model'!C9</f>
        <v>-2.1593651676164671E-2</v>
      </c>
      <c r="M7" s="99">
        <f>'Valuation Model'!D9</f>
        <v>-2.4341438277879157E-2</v>
      </c>
      <c r="N7" s="99">
        <f>'Valuation Model'!E9</f>
        <v>-1.8576546217145773E-2</v>
      </c>
      <c r="O7" s="99">
        <f>'Valuation Model'!F9</f>
        <v>-1.2887117031428752E-2</v>
      </c>
      <c r="P7" s="99">
        <f>'Valuation Model'!G9</f>
        <v>-7.337318056345965E-3</v>
      </c>
    </row>
    <row r="9" spans="1:16">
      <c r="A9" s="10" t="s">
        <v>71</v>
      </c>
      <c r="B9" s="134">
        <f>B1</f>
        <v>39813</v>
      </c>
      <c r="C9" s="134">
        <f t="shared" ref="C9:P9" si="1">C1</f>
        <v>40178</v>
      </c>
      <c r="D9" s="134">
        <f t="shared" si="1"/>
        <v>40543</v>
      </c>
      <c r="E9" s="134">
        <f t="shared" si="1"/>
        <v>40908</v>
      </c>
      <c r="F9" s="134">
        <f t="shared" si="1"/>
        <v>41274</v>
      </c>
      <c r="G9" s="134">
        <f t="shared" si="1"/>
        <v>41639</v>
      </c>
      <c r="H9" s="134">
        <f t="shared" si="1"/>
        <v>42004</v>
      </c>
      <c r="I9" s="134">
        <f t="shared" si="1"/>
        <v>42369</v>
      </c>
      <c r="J9" s="134">
        <f t="shared" si="1"/>
        <v>42735</v>
      </c>
      <c r="K9" s="134">
        <f t="shared" si="1"/>
        <v>43100</v>
      </c>
      <c r="L9" s="134">
        <f t="shared" si="1"/>
        <v>43465</v>
      </c>
      <c r="M9" s="134">
        <f t="shared" si="1"/>
        <v>43830</v>
      </c>
      <c r="N9" s="134">
        <f t="shared" si="1"/>
        <v>44195</v>
      </c>
      <c r="O9" s="134">
        <f t="shared" si="1"/>
        <v>44560</v>
      </c>
      <c r="P9" s="134">
        <f t="shared" si="1"/>
        <v>44925</v>
      </c>
    </row>
    <row r="10" spans="1:16">
      <c r="A10" t="s">
        <v>169</v>
      </c>
      <c r="B10" s="17">
        <f>'Company Analysis'!B11</f>
        <v>14692.7</v>
      </c>
      <c r="C10" s="17">
        <f>'Company Analysis'!C11</f>
        <v>16864.171999999999</v>
      </c>
      <c r="D10" s="17">
        <f>'Company Analysis'!D11</f>
        <v>15822.517</v>
      </c>
      <c r="E10" s="17">
        <f>'Company Analysis'!E11</f>
        <v>16134.974</v>
      </c>
      <c r="F10" s="17">
        <f>'Company Analysis'!F11</f>
        <v>16136.335999999999</v>
      </c>
      <c r="G10" s="17">
        <f>'Company Analysis'!G11</f>
        <v>14118.076000000001</v>
      </c>
      <c r="H10" s="17">
        <f>'Company Analysis'!H11</f>
        <v>13716.71</v>
      </c>
      <c r="I10" s="17">
        <f>'Company Analysis'!I11</f>
        <v>14348.662</v>
      </c>
      <c r="J10" s="17">
        <f>'Company Analysis'!J11</f>
        <v>14079.445</v>
      </c>
      <c r="K10" s="17">
        <f>'Company Analysis'!K11</f>
        <v>13627.475</v>
      </c>
    </row>
    <row r="11" spans="1:16">
      <c r="A11" t="s">
        <v>170</v>
      </c>
      <c r="L11" s="18">
        <f>'Valuation Model'!C10*'Graphing Data'!L3</f>
        <v>13473.367000000002</v>
      </c>
      <c r="M11" s="18">
        <f>'Valuation Model'!D10*'Graphing Data'!M3</f>
        <v>13654.942300000001</v>
      </c>
      <c r="N11" s="18">
        <f>'Valuation Model'!E10*'Graphing Data'!N3</f>
        <v>14001.829510000005</v>
      </c>
      <c r="O11" s="18">
        <f>'Valuation Model'!F10*'Graphing Data'!O3</f>
        <v>14519.513771800006</v>
      </c>
      <c r="P11" s="18">
        <f>'Valuation Model'!G10*'Graphing Data'!P3</f>
        <v>15215.57367295601</v>
      </c>
    </row>
    <row r="12" spans="1:16">
      <c r="A12" t="s">
        <v>171</v>
      </c>
      <c r="L12" s="18">
        <f>'Valuation Model'!C11*'Graphing Data'!L4</f>
        <v>11614.515000000001</v>
      </c>
      <c r="M12" s="18">
        <f>'Valuation Model'!D11*'Graphing Data'!M4</f>
        <v>11331.800999999999</v>
      </c>
      <c r="N12" s="18">
        <f>'Valuation Model'!E11*'Graphing Data'!N4</f>
        <v>11121.295275</v>
      </c>
      <c r="O12" s="18">
        <f>'Valuation Model'!F11*'Graphing Data'!O4</f>
        <v>10977.973841249999</v>
      </c>
      <c r="P12" s="18">
        <f>'Valuation Model'!G11*'Graphing Data'!P4</f>
        <v>10897.424955562501</v>
      </c>
    </row>
    <row r="13" spans="1:16">
      <c r="A13" t="s">
        <v>172</v>
      </c>
      <c r="B13" s="20">
        <f>B10/B2</f>
        <v>0.14178037247901187</v>
      </c>
      <c r="C13" s="20">
        <f t="shared" ref="C13:K13" si="2">C10/C2</f>
        <v>0.17611240836274775</v>
      </c>
      <c r="D13" s="20">
        <f t="shared" si="2"/>
        <v>0.15843113046961049</v>
      </c>
      <c r="E13" s="20">
        <f t="shared" si="2"/>
        <v>0.1509126229937521</v>
      </c>
      <c r="F13" s="20">
        <f t="shared" si="2"/>
        <v>0.15440435568909258</v>
      </c>
      <c r="G13" s="20">
        <f t="shared" si="2"/>
        <v>0.14352451533542754</v>
      </c>
      <c r="H13" s="20">
        <f t="shared" si="2"/>
        <v>0.14782052525513778</v>
      </c>
      <c r="I13" s="20">
        <f t="shared" si="2"/>
        <v>0.17553812652157424</v>
      </c>
      <c r="J13" s="20">
        <f t="shared" si="2"/>
        <v>0.17617143607903002</v>
      </c>
      <c r="K13" s="20">
        <f t="shared" si="2"/>
        <v>0.17219670453253139</v>
      </c>
    </row>
    <row r="14" spans="1:16">
      <c r="A14" t="s">
        <v>173</v>
      </c>
      <c r="K14" s="99">
        <f>K13</f>
        <v>0.17219670453253139</v>
      </c>
      <c r="L14" s="99">
        <f>'Valuation Model'!C10</f>
        <v>0.17</v>
      </c>
      <c r="M14" s="99">
        <f>'Valuation Model'!D10</f>
        <v>0.17</v>
      </c>
      <c r="N14" s="99">
        <f>'Valuation Model'!E10</f>
        <v>0.17</v>
      </c>
      <c r="O14" s="99">
        <f>'Valuation Model'!F10</f>
        <v>0.17</v>
      </c>
      <c r="P14" s="99">
        <f>'Valuation Model'!G10</f>
        <v>0.17</v>
      </c>
    </row>
    <row r="15" spans="1:16">
      <c r="A15" t="s">
        <v>174</v>
      </c>
      <c r="K15" s="99">
        <f>K13</f>
        <v>0.17219670453253139</v>
      </c>
      <c r="L15" s="99">
        <f>'Valuation Model'!C11</f>
        <v>0.15</v>
      </c>
      <c r="M15" s="99">
        <f>'Valuation Model'!D11</f>
        <v>0.15</v>
      </c>
      <c r="N15" s="99">
        <f>'Valuation Model'!E11</f>
        <v>0.15</v>
      </c>
      <c r="O15" s="99">
        <f>'Valuation Model'!F11</f>
        <v>0.15</v>
      </c>
      <c r="P15" s="99">
        <f>'Valuation Model'!G11</f>
        <v>0.15</v>
      </c>
    </row>
    <row r="17" spans="1:16">
      <c r="A17" s="10" t="s">
        <v>175</v>
      </c>
      <c r="B17" s="134">
        <f>B9</f>
        <v>39813</v>
      </c>
      <c r="C17" s="134">
        <f t="shared" ref="C17:K17" si="3">C9</f>
        <v>40178</v>
      </c>
      <c r="D17" s="134">
        <f t="shared" si="3"/>
        <v>40543</v>
      </c>
      <c r="E17" s="134">
        <f t="shared" si="3"/>
        <v>40908</v>
      </c>
      <c r="F17" s="134">
        <f t="shared" si="3"/>
        <v>41274</v>
      </c>
      <c r="G17" s="134">
        <f t="shared" si="3"/>
        <v>41639</v>
      </c>
      <c r="H17" s="134">
        <f t="shared" si="3"/>
        <v>42004</v>
      </c>
      <c r="I17" s="134">
        <f t="shared" si="3"/>
        <v>42369</v>
      </c>
      <c r="J17" s="134">
        <f t="shared" si="3"/>
        <v>42735</v>
      </c>
      <c r="K17" s="134">
        <f t="shared" si="3"/>
        <v>43100</v>
      </c>
    </row>
    <row r="18" spans="1:16">
      <c r="A18" t="s">
        <v>137</v>
      </c>
      <c r="B18" s="18">
        <f>B10</f>
        <v>14692.7</v>
      </c>
      <c r="C18" s="18">
        <f t="shared" ref="C18:K18" si="4">C10</f>
        <v>16864.171999999999</v>
      </c>
      <c r="D18" s="18">
        <f t="shared" si="4"/>
        <v>15822.517</v>
      </c>
      <c r="E18" s="18">
        <f t="shared" si="4"/>
        <v>16134.974</v>
      </c>
      <c r="F18" s="18">
        <f t="shared" si="4"/>
        <v>16136.335999999999</v>
      </c>
      <c r="G18" s="18">
        <f t="shared" si="4"/>
        <v>14118.076000000001</v>
      </c>
      <c r="H18" s="18">
        <f t="shared" si="4"/>
        <v>13716.71</v>
      </c>
      <c r="I18" s="18">
        <f t="shared" si="4"/>
        <v>14348.662</v>
      </c>
      <c r="J18" s="18">
        <f t="shared" si="4"/>
        <v>14079.445</v>
      </c>
      <c r="K18" s="18">
        <f t="shared" si="4"/>
        <v>13627.475</v>
      </c>
    </row>
    <row r="19" spans="1:16">
      <c r="A19" t="s">
        <v>176</v>
      </c>
      <c r="B19" s="18">
        <f>-'Company Analysis'!B28</f>
        <v>7383.828983498749</v>
      </c>
      <c r="C19" s="18">
        <f>-'Company Analysis'!C28</f>
        <v>1349.8987808634051</v>
      </c>
      <c r="D19" s="18">
        <f>-'Company Analysis'!D28</f>
        <v>7229.7331935599359</v>
      </c>
      <c r="E19" s="18">
        <f>-'Company Analysis'!E28</f>
        <v>3901.4263762674736</v>
      </c>
      <c r="F19" s="18">
        <f>-'Company Analysis'!F28</f>
        <v>5648.1656664902393</v>
      </c>
      <c r="G19" s="18">
        <f>-'Company Analysis'!G28</f>
        <v>4159.1784567434106</v>
      </c>
      <c r="H19" s="18">
        <f>-'Company Analysis'!H28</f>
        <v>1983.2385373626382</v>
      </c>
      <c r="I19" s="18">
        <f>-'Company Analysis'!I28</f>
        <v>5821.0639346000007</v>
      </c>
      <c r="J19" s="18">
        <f>-'Company Analysis'!J28</f>
        <v>8064.0182185699996</v>
      </c>
      <c r="K19" s="18">
        <f>-'Company Analysis'!K28</f>
        <v>3311.5481963400002</v>
      </c>
    </row>
    <row r="21" spans="1:16">
      <c r="A21" s="10" t="s">
        <v>177</v>
      </c>
      <c r="B21" s="134">
        <f>B17</f>
        <v>39813</v>
      </c>
      <c r="C21" s="134">
        <f t="shared" ref="C21:K21" si="5">C17</f>
        <v>40178</v>
      </c>
      <c r="D21" s="134">
        <f t="shared" si="5"/>
        <v>40543</v>
      </c>
      <c r="E21" s="134">
        <f t="shared" si="5"/>
        <v>40908</v>
      </c>
      <c r="F21" s="134">
        <f t="shared" si="5"/>
        <v>41274</v>
      </c>
      <c r="G21" s="134">
        <f t="shared" si="5"/>
        <v>41639</v>
      </c>
      <c r="H21" s="134">
        <f t="shared" si="5"/>
        <v>42004</v>
      </c>
      <c r="I21" s="134">
        <f t="shared" si="5"/>
        <v>42369</v>
      </c>
      <c r="J21" s="134">
        <f t="shared" si="5"/>
        <v>42735</v>
      </c>
      <c r="K21" s="134">
        <f t="shared" si="5"/>
        <v>43100</v>
      </c>
    </row>
    <row r="22" spans="1:16">
      <c r="A22" t="str">
        <f>'Company Analysis'!A19</f>
        <v>Capex in Excess of Maintenance</v>
      </c>
      <c r="B22" s="18">
        <f>-'Company Analysis'!B19</f>
        <v>51.700000000000728</v>
      </c>
      <c r="C22" s="18">
        <f>-'Company Analysis'!C19</f>
        <v>-461.82800000000134</v>
      </c>
      <c r="D22" s="18">
        <f>-'Company Analysis'!D19</f>
        <v>458.51699999999983</v>
      </c>
      <c r="E22" s="18">
        <f>-'Company Analysis'!E19</f>
        <v>396.97400000000016</v>
      </c>
      <c r="F22" s="18">
        <f>-'Company Analysis'!F19</f>
        <v>632.33599999999933</v>
      </c>
      <c r="G22" s="18">
        <f>-'Company Analysis'!G19</f>
        <v>256.07600000000093</v>
      </c>
      <c r="H22" s="18">
        <f>-'Company Analysis'!H19</f>
        <v>588.70999999999913</v>
      </c>
      <c r="I22" s="18">
        <f>-'Company Analysis'!I19</f>
        <v>919.66200000000026</v>
      </c>
      <c r="J22" s="18">
        <f>-'Company Analysis'!J19</f>
        <v>687.44499999999971</v>
      </c>
      <c r="K22" s="18">
        <f>-'Company Analysis'!K19</f>
        <v>132.47500000000036</v>
      </c>
    </row>
    <row r="23" spans="1:16">
      <c r="A23" t="s">
        <v>179</v>
      </c>
      <c r="B23" s="18">
        <f>-'Company Analysis'!B20</f>
        <v>-421</v>
      </c>
      <c r="C23" s="18">
        <f>-'Company Analysis'!C20</f>
        <v>-330</v>
      </c>
      <c r="D23" s="18">
        <f>-'Company Analysis'!D20</f>
        <v>-770</v>
      </c>
      <c r="E23" s="18">
        <f>-'Company Analysis'!E20</f>
        <v>-608</v>
      </c>
      <c r="F23" s="18">
        <f>-'Company Analysis'!F20</f>
        <v>-410</v>
      </c>
      <c r="G23" s="18">
        <f>-'Company Analysis'!G20</f>
        <v>-372</v>
      </c>
      <c r="H23" s="18">
        <f>-'Company Analysis'!H20</f>
        <v>-404</v>
      </c>
      <c r="I23" s="18">
        <f>-'Company Analysis'!I20</f>
        <v>-370</v>
      </c>
      <c r="J23" s="18">
        <f>-'Company Analysis'!J20</f>
        <v>-424</v>
      </c>
      <c r="K23" s="18">
        <f>-'Company Analysis'!K20</f>
        <v>-460</v>
      </c>
    </row>
    <row r="24" spans="1:16">
      <c r="A24" t="s">
        <v>180</v>
      </c>
      <c r="B24" s="18">
        <f>-'Company Analysis'!B21</f>
        <v>6313</v>
      </c>
      <c r="C24" s="18">
        <f>-'Company Analysis'!C21</f>
        <v>794</v>
      </c>
      <c r="D24" s="18">
        <f>-'Company Analysis'!D21</f>
        <v>5867</v>
      </c>
      <c r="E24" s="18">
        <f>-'Company Analysis'!E21</f>
        <v>1797</v>
      </c>
      <c r="F24" s="18">
        <f>-'Company Analysis'!F21</f>
        <v>3722</v>
      </c>
      <c r="G24" s="18">
        <f>-'Company Analysis'!G21</f>
        <v>3056</v>
      </c>
      <c r="H24" s="18">
        <f>-'Company Analysis'!H21</f>
        <v>656</v>
      </c>
      <c r="I24" s="18">
        <f>-'Company Analysis'!I21</f>
        <v>3750</v>
      </c>
      <c r="J24" s="18">
        <f>-'Company Analysis'!J21</f>
        <v>6133</v>
      </c>
      <c r="K24" s="18">
        <f>-'Company Analysis'!K21</f>
        <v>701</v>
      </c>
    </row>
    <row r="25" spans="1:16">
      <c r="A25" t="s">
        <v>181</v>
      </c>
      <c r="B25" s="18">
        <f>-'Company Analysis'!B22</f>
        <v>716</v>
      </c>
      <c r="C25" s="18">
        <f>-'Company Analysis'!C22</f>
        <v>630</v>
      </c>
      <c r="D25" s="18">
        <f>-'Company Analysis'!D22</f>
        <v>569</v>
      </c>
      <c r="E25" s="18">
        <f>-'Company Analysis'!E22</f>
        <v>559</v>
      </c>
      <c r="F25" s="18">
        <f>-'Company Analysis'!F22</f>
        <v>635</v>
      </c>
      <c r="G25" s="18">
        <f>-'Company Analysis'!G22</f>
        <v>517</v>
      </c>
      <c r="H25" s="18">
        <f>-'Company Analysis'!H22</f>
        <v>443</v>
      </c>
      <c r="I25" s="18">
        <f>-'Company Analysis'!I22</f>
        <v>970</v>
      </c>
      <c r="J25" s="18">
        <f>-'Company Analysis'!J22</f>
        <v>1474</v>
      </c>
      <c r="K25" s="18">
        <f>-'Company Analysis'!K22</f>
        <v>2572</v>
      </c>
    </row>
    <row r="26" spans="1:16">
      <c r="A26" t="s">
        <v>190</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182</v>
      </c>
      <c r="B27" s="18">
        <f>-'Company Analysis'!B27</f>
        <v>724.12898349874831</v>
      </c>
      <c r="C27" s="18">
        <f>-'Company Analysis'!C27</f>
        <v>717.72678086340647</v>
      </c>
      <c r="D27" s="18">
        <f>-'Company Analysis'!D27</f>
        <v>1105.2161935599361</v>
      </c>
      <c r="E27" s="18">
        <f>-'Company Analysis'!E27</f>
        <v>1756.4523762674735</v>
      </c>
      <c r="F27" s="18">
        <f>-'Company Analysis'!F27</f>
        <v>1068.82966649024</v>
      </c>
      <c r="G27" s="18">
        <f>-'Company Analysis'!G27</f>
        <v>702.10245674340945</v>
      </c>
      <c r="H27" s="18">
        <f>-'Company Analysis'!H27</f>
        <v>699.5285373626391</v>
      </c>
      <c r="I27" s="18">
        <f>-'Company Analysis'!I27</f>
        <v>551.4019346</v>
      </c>
      <c r="J27" s="18">
        <f>-'Company Analysis'!J27</f>
        <v>193.57321856999999</v>
      </c>
      <c r="K27" s="18">
        <f>-'Company Analysis'!K27</f>
        <v>366.07319633999998</v>
      </c>
    </row>
    <row r="29" spans="1:16">
      <c r="A29" s="10" t="s">
        <v>73</v>
      </c>
      <c r="B29" s="134">
        <f>B1</f>
        <v>39813</v>
      </c>
      <c r="C29" s="134">
        <f t="shared" ref="C29:P29" si="6">C1</f>
        <v>40178</v>
      </c>
      <c r="D29" s="134">
        <f t="shared" si="6"/>
        <v>40543</v>
      </c>
      <c r="E29" s="134">
        <f t="shared" si="6"/>
        <v>40908</v>
      </c>
      <c r="F29" s="134">
        <f t="shared" si="6"/>
        <v>41274</v>
      </c>
      <c r="G29" s="134">
        <f t="shared" si="6"/>
        <v>41639</v>
      </c>
      <c r="H29" s="134">
        <f t="shared" si="6"/>
        <v>42004</v>
      </c>
      <c r="I29" s="134">
        <f t="shared" si="6"/>
        <v>42369</v>
      </c>
      <c r="J29" s="134">
        <f t="shared" si="6"/>
        <v>42735</v>
      </c>
      <c r="K29" s="134">
        <f t="shared" si="6"/>
        <v>43100</v>
      </c>
      <c r="L29" s="134">
        <f t="shared" si="6"/>
        <v>43465</v>
      </c>
      <c r="M29" s="134">
        <f t="shared" si="6"/>
        <v>43830</v>
      </c>
      <c r="N29" s="134">
        <f t="shared" si="6"/>
        <v>44195</v>
      </c>
      <c r="O29" s="134">
        <f t="shared" si="6"/>
        <v>44560</v>
      </c>
      <c r="P29" s="134">
        <f t="shared" si="6"/>
        <v>44925</v>
      </c>
    </row>
    <row r="30" spans="1:16">
      <c r="A30" t="s">
        <v>183</v>
      </c>
      <c r="B30" s="18">
        <f>'Company Analysis'!B32</f>
        <v>7308.8710165012517</v>
      </c>
      <c r="C30" s="18">
        <f>'Company Analysis'!C32</f>
        <v>15514.273219136594</v>
      </c>
      <c r="D30" s="18">
        <f>'Company Analysis'!D32</f>
        <v>8592.7838064400639</v>
      </c>
      <c r="E30" s="18">
        <f>'Company Analysis'!E32</f>
        <v>12233.547623732527</v>
      </c>
      <c r="F30" s="18">
        <f>'Company Analysis'!F32</f>
        <v>10488.170333509759</v>
      </c>
      <c r="G30" s="18">
        <f>'Company Analysis'!G32</f>
        <v>9958.8975432565894</v>
      </c>
      <c r="H30" s="18">
        <f>'Company Analysis'!H32</f>
        <v>11733.471462637361</v>
      </c>
      <c r="I30" s="18">
        <f>'Company Analysis'!I32</f>
        <v>8527.5980653999995</v>
      </c>
      <c r="J30" s="18">
        <f>'Company Analysis'!J32</f>
        <v>6015.4267814300001</v>
      </c>
      <c r="K30" s="18">
        <f>'Company Analysis'!K32</f>
        <v>10315.926803660001</v>
      </c>
    </row>
    <row r="31" spans="1:16">
      <c r="A31" t="s">
        <v>184</v>
      </c>
      <c r="L31" s="18">
        <f>L11*(1-'Valuation Model'!C12)</f>
        <v>10105.025250000002</v>
      </c>
      <c r="M31" s="18">
        <f>M11*(1-'Valuation Model'!D12)</f>
        <v>10241.206725</v>
      </c>
      <c r="N31" s="18">
        <f>N11*(1-'Valuation Model'!E12)</f>
        <v>10501.372132500004</v>
      </c>
      <c r="O31" s="18">
        <f>O11*(1-'Valuation Model'!F12)</f>
        <v>10889.635328850005</v>
      </c>
      <c r="P31" s="18">
        <f>P11*(1-'Valuation Model'!G12)</f>
        <v>11411.680254717008</v>
      </c>
    </row>
    <row r="32" spans="1:16">
      <c r="A32" t="s">
        <v>185</v>
      </c>
      <c r="L32" s="18">
        <f>L12*(1-'Valuation Model'!C12)</f>
        <v>8710.8862500000014</v>
      </c>
      <c r="M32" s="18">
        <f>M12*(1-'Valuation Model'!D12)</f>
        <v>8498.8507499999996</v>
      </c>
      <c r="N32" s="18">
        <f>N12*(1-'Valuation Model'!E12)</f>
        <v>8340.9714562500012</v>
      </c>
      <c r="O32" s="18">
        <f>O12*(1-'Valuation Model'!F12)</f>
        <v>8233.4803809374989</v>
      </c>
      <c r="P32" s="18">
        <f>P12*(1-'Valuation Model'!G12)</f>
        <v>8173.0687166718762</v>
      </c>
    </row>
    <row r="33" spans="1:16">
      <c r="A33" t="s">
        <v>186</v>
      </c>
      <c r="B33" s="20">
        <f t="shared" ref="B33:J33" si="7">B30/B2</f>
        <v>7.0528524717757904E-2</v>
      </c>
      <c r="C33" s="20">
        <f t="shared" si="7"/>
        <v>0.16201542658719473</v>
      </c>
      <c r="D33" s="20">
        <f t="shared" si="7"/>
        <v>8.6039689660959887E-2</v>
      </c>
      <c r="E33" s="20">
        <f t="shared" si="7"/>
        <v>0.11442204743660937</v>
      </c>
      <c r="F33" s="20">
        <f t="shared" si="7"/>
        <v>0.10035854376749652</v>
      </c>
      <c r="G33" s="20">
        <f t="shared" si="7"/>
        <v>0.10124226156390445</v>
      </c>
      <c r="H33" s="20">
        <f t="shared" si="7"/>
        <v>0.12644780816050091</v>
      </c>
      <c r="I33" s="20">
        <f t="shared" si="7"/>
        <v>0.10432461146058893</v>
      </c>
      <c r="J33" s="20">
        <f t="shared" si="7"/>
        <v>7.5269044675609062E-2</v>
      </c>
      <c r="K33" s="20">
        <f>K30/K2</f>
        <v>0.1303519984288404</v>
      </c>
    </row>
    <row r="34" spans="1:16">
      <c r="A34" t="s">
        <v>187</v>
      </c>
      <c r="K34" s="99">
        <f>K33</f>
        <v>0.1303519984288404</v>
      </c>
      <c r="L34" s="135">
        <f>(1-'Valuation Model'!C12)*'Valuation Model'!C10</f>
        <v>0.1275</v>
      </c>
      <c r="M34" s="135">
        <f>(1-'Valuation Model'!D12)*'Valuation Model'!D10</f>
        <v>0.1275</v>
      </c>
      <c r="N34" s="135">
        <f>(1-'Valuation Model'!E12)*'Valuation Model'!E10</f>
        <v>0.1275</v>
      </c>
      <c r="O34" s="135">
        <f>(1-'Valuation Model'!F12)*'Valuation Model'!F10</f>
        <v>0.1275</v>
      </c>
      <c r="P34" s="135">
        <f>(1-'Valuation Model'!G12)*'Valuation Model'!G10</f>
        <v>0.1275</v>
      </c>
    </row>
    <row r="35" spans="1:16">
      <c r="A35" t="s">
        <v>188</v>
      </c>
      <c r="K35" s="99">
        <f>K33</f>
        <v>0.1303519984288404</v>
      </c>
      <c r="L35" s="135">
        <f>(1-'Valuation Model'!C12)*'Valuation Model'!C11</f>
        <v>0.11249999999999999</v>
      </c>
      <c r="M35" s="135">
        <f>(1-'Valuation Model'!D12)*'Valuation Model'!D11</f>
        <v>0.11249999999999999</v>
      </c>
      <c r="N35" s="135">
        <f>(1-'Valuation Model'!E12)*'Valuation Model'!E11</f>
        <v>0.11249999999999999</v>
      </c>
      <c r="O35" s="135">
        <f>(1-'Valuation Model'!F12)*'Valuation Model'!F11</f>
        <v>0.11249999999999999</v>
      </c>
      <c r="P35" s="135">
        <f>(1-'Valuation Model'!G12)*'Valuation Model'!G11</f>
        <v>0.11249999999999999</v>
      </c>
    </row>
    <row r="37" spans="1:16">
      <c r="A37" s="10" t="s">
        <v>153</v>
      </c>
      <c r="B37" s="134">
        <f>B1</f>
        <v>39813</v>
      </c>
      <c r="C37" s="134">
        <f t="shared" ref="C37:K37" si="8">C1</f>
        <v>40178</v>
      </c>
      <c r="D37" s="134">
        <f t="shared" si="8"/>
        <v>40543</v>
      </c>
      <c r="E37" s="134">
        <f t="shared" si="8"/>
        <v>40908</v>
      </c>
      <c r="F37" s="134">
        <f t="shared" si="8"/>
        <v>41274</v>
      </c>
      <c r="G37" s="134">
        <f t="shared" si="8"/>
        <v>41639</v>
      </c>
      <c r="H37" s="134">
        <f t="shared" si="8"/>
        <v>42004</v>
      </c>
      <c r="I37" s="134">
        <f t="shared" si="8"/>
        <v>42369</v>
      </c>
      <c r="J37" s="134">
        <f t="shared" si="8"/>
        <v>42735</v>
      </c>
      <c r="K37" s="134">
        <f t="shared" si="8"/>
        <v>43100</v>
      </c>
    </row>
    <row r="38" spans="1:16">
      <c r="A38" t="str">
        <f>ticker&amp;" Actual OCP ($, LHS)"</f>
        <v>IBM Actual OCP ($, LHS)</v>
      </c>
      <c r="B38" s="18">
        <f>B10</f>
        <v>14692.7</v>
      </c>
      <c r="C38" s="18">
        <f t="shared" ref="C38:K38" si="9">C10</f>
        <v>16864.171999999999</v>
      </c>
      <c r="D38" s="18">
        <f t="shared" si="9"/>
        <v>15822.517</v>
      </c>
      <c r="E38" s="18">
        <f t="shared" si="9"/>
        <v>16134.974</v>
      </c>
      <c r="F38" s="18">
        <f t="shared" si="9"/>
        <v>16136.335999999999</v>
      </c>
      <c r="G38" s="18">
        <f t="shared" si="9"/>
        <v>14118.076000000001</v>
      </c>
      <c r="H38" s="18">
        <f t="shared" si="9"/>
        <v>13716.71</v>
      </c>
      <c r="I38" s="18">
        <f t="shared" si="9"/>
        <v>14348.662</v>
      </c>
      <c r="J38" s="18">
        <f t="shared" si="9"/>
        <v>14079.445</v>
      </c>
      <c r="K38" s="18">
        <f t="shared" si="9"/>
        <v>13627.475</v>
      </c>
    </row>
    <row r="39" spans="1:16">
      <c r="A39" t="str">
        <f>ticker&amp;" OCP if GDP-Growth ($, LHS)"</f>
        <v>IBM OCP if GDP-Growth ($, LHS)</v>
      </c>
      <c r="B39" s="18">
        <f>B38</f>
        <v>14692.7</v>
      </c>
      <c r="C39" s="18">
        <f>(1+'Company Analysis'!C40)*B39</f>
        <v>14709.462920707359</v>
      </c>
      <c r="D39" s="18">
        <f>(1+'Company Analysis'!D40)*C39</f>
        <v>15379.676804651581</v>
      </c>
      <c r="E39" s="18">
        <f>(1+'Company Analysis'!E40)*D39</f>
        <v>15940.224833847657</v>
      </c>
      <c r="F39" s="18">
        <f>(1+'Company Analysis'!F40)*E39</f>
        <v>16492.795328490232</v>
      </c>
      <c r="G39" s="18">
        <f>(1+'Company Analysis'!G40)*F39</f>
        <v>17245.914982920847</v>
      </c>
      <c r="H39" s="18">
        <f>(1+'Company Analysis'!H40)*G39</f>
        <v>17877.452971498089</v>
      </c>
      <c r="I39" s="18">
        <f>(1+'Company Analysis'!I40)*H39</f>
        <v>18343.078437652493</v>
      </c>
      <c r="J39" s="18">
        <f>(1+'Company Analysis'!J40)*I39</f>
        <v>19054.593734664846</v>
      </c>
      <c r="K39" s="18">
        <f>(1+'Company Analysis'!K40)*J39</f>
        <v>19932.614315211787</v>
      </c>
    </row>
    <row r="40" spans="1:16" ht="16.5">
      <c r="A40" t="str">
        <f>ticker&amp;" - GDP Growth Difference (YoY, %, RHS)"</f>
        <v>IBM - GDP Growth Difference (YoY, %, RHS)</v>
      </c>
      <c r="B40" s="136"/>
      <c r="C40" s="99">
        <f>'Company Analysis'!C41-'Company Analysis'!C40</f>
        <v>0.1466516759542249</v>
      </c>
      <c r="D40" s="99">
        <f>'Company Analysis'!D41-'Company Analysis'!D40</f>
        <v>-0.10733078767032156</v>
      </c>
      <c r="E40" s="99">
        <f>'Company Analysis'!E41-'Company Analysis'!E40</f>
        <v>-1.6699705128331077E-2</v>
      </c>
      <c r="F40" s="99">
        <f>'Company Analysis'!F41-'Company Analysis'!F40</f>
        <v>-3.4580750254828985E-2</v>
      </c>
      <c r="G40" s="99">
        <f>'Company Analysis'!G41-'Company Analysis'!G40</f>
        <v>-0.17073903608238927</v>
      </c>
      <c r="H40" s="99">
        <f>'Company Analysis'!H41-'Company Analysis'!H40</f>
        <v>-6.5048797755470344E-2</v>
      </c>
      <c r="I40" s="99">
        <f>'Company Analysis'!I41-'Company Analysis'!I40</f>
        <v>2.0026286264071214E-2</v>
      </c>
      <c r="J40" s="99">
        <f>'Company Analysis'!J41-'Company Analysis'!J40</f>
        <v>-5.7551822766513827E-2</v>
      </c>
      <c r="K40" s="99">
        <f>'Company Analysis'!K41-'Company Analysis'!K40</f>
        <v>-7.8180615012293897E-2</v>
      </c>
    </row>
    <row r="41" spans="1:16" ht="16.5">
      <c r="A41" t="str">
        <f>ticker&amp;" - GDP Growth Difference (3Y, %, RHS)"</f>
        <v>IBM - GDP Growth Difference (3Y, %, RHS)</v>
      </c>
      <c r="B41" s="137"/>
      <c r="C41" s="99"/>
      <c r="D41" s="99"/>
      <c r="E41" s="99">
        <f>'Company Analysis'!E43-'Company Analysis'!E42</f>
        <v>2.5831291875224593E-3</v>
      </c>
      <c r="F41" s="99">
        <f>'Company Analysis'!F43-'Company Analysis'!F42</f>
        <v>-5.3651417846578009E-2</v>
      </c>
      <c r="G41" s="99">
        <f>'Company Analysis'!G43-'Company Analysis'!G42</f>
        <v>-7.4472183760674437E-2</v>
      </c>
      <c r="H41" s="99">
        <f>'Company Analysis'!H43-'Company Analysis'!H42</f>
        <v>-9.1124644268420818E-2</v>
      </c>
      <c r="I41" s="99">
        <f>'Company Analysis'!I43-'Company Analysis'!I42</f>
        <v>-7.6502608595643729E-2</v>
      </c>
      <c r="J41" s="99">
        <f>'Company Analysis'!J43-'Company Analysis'!J42</f>
        <v>-3.4744081308782926E-2</v>
      </c>
      <c r="K41" s="99">
        <f>'Company Analysis'!K43-'Company Analysis'!K42</f>
        <v>-3.9297924586069843E-2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topLeftCell="B1" zoomScale="110" zoomScaleNormal="110" workbookViewId="0">
      <selection activeCell="C5" sqref="C5"/>
    </sheetView>
  </sheetViews>
  <sheetFormatPr defaultColWidth="9.140625" defaultRowHeight="15"/>
  <cols>
    <col min="1" max="1" width="4.7109375" style="77" bestFit="1" customWidth="1"/>
    <col min="2" max="2" width="14.42578125" style="77" bestFit="1" customWidth="1"/>
    <col min="3" max="3" width="9.28515625" style="77" bestFit="1" customWidth="1"/>
    <col min="4" max="4" width="12.28515625" style="77" bestFit="1" customWidth="1"/>
    <col min="5" max="7" width="12.28515625" style="77" customWidth="1"/>
    <col min="8" max="8" width="16.140625" style="77" bestFit="1" customWidth="1"/>
    <col min="9" max="10" width="12.28515625" style="77" customWidth="1"/>
    <col min="11" max="11" width="10.85546875" style="77" bestFit="1" customWidth="1"/>
    <col min="12" max="12" width="10.5703125" style="77" bestFit="1" customWidth="1"/>
    <col min="13" max="14" width="9.140625" style="77"/>
    <col min="15" max="15" width="13.85546875" style="77" bestFit="1" customWidth="1"/>
    <col min="16" max="16384" width="9.140625" style="77"/>
  </cols>
  <sheetData>
    <row r="1" spans="1:15">
      <c r="A1" s="77" t="s">
        <v>100</v>
      </c>
      <c r="B1" s="78">
        <f ca="1">MAX(C5:C12)+10</f>
        <v>227</v>
      </c>
      <c r="D1" s="77" t="s">
        <v>101</v>
      </c>
      <c r="E1" s="77">
        <v>5</v>
      </c>
    </row>
    <row r="2" spans="1:15">
      <c r="A2" s="77" t="s">
        <v>102</v>
      </c>
      <c r="B2" s="78">
        <f ca="1">MIN(C5:C12)-10</f>
        <v>123</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str">
        <f>'Valuation Model'!I2</f>
        <v>-2% | 15% | 2%</v>
      </c>
      <c r="C5" s="89">
        <f ca="1">'Valuation Model'!K2</f>
        <v>133</v>
      </c>
      <c r="D5" s="84">
        <f ca="1">IF(ABS(INDEX($K$6:$K$55,MATCH(C5,$K$6:$K$55,1)+IF(C5&gt;=MAX($K$6:$K$55),0,1),1)-C5)&lt;ABS(INDEX($K$6:$K$55,MATCH(C5,$K$6:$K$55,1))-C5),INDEX($K$6:$K$55,MATCH(C5,$K$6:$K$55,1)+IF(C5&gt;=MAX($K$6:$K$55),0,1),1),INDEX($K$6:$K$55,MATCH(C5,$K$6:$K$55,1)))</f>
        <v>131.66000000000005</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0">$B$1*J5</f>
        <v>0</v>
      </c>
      <c r="L5" s="87" t="str">
        <f t="shared" ref="L5:L55" ca="1" si="1">IFERROR(IF(VLOOKUP(K5,$D$5:$F$16,3,FALSE)="Scenario",IF(VLOOKUP(K5,$D$5:$H$16,5,FALSE)="Y",VLOOKUP(K5,$D$5:$E$16,2,0),""),IF(VLOOKUP(K5,$D$5:$F$16,3,FALSE)&lt;&gt;"Scenario","")),"")</f>
        <v/>
      </c>
      <c r="M5" s="85" t="str">
        <f t="shared" ref="M5:M55" ca="1" si="2">IFERROR(IF(VLOOKUP(K5,$D$5:$F$16,3,FALSE)="Scenario",IF(VLOOKUP(K5,$D$5:$H$16,5,FALSE)="N",VLOOKUP(K5,$D$5:$E$16,2,0),""),IF(VLOOKUP(K5,$D$5:$F$16,3,FALSE)&lt;&gt;"Scenario","")),"")</f>
        <v/>
      </c>
      <c r="N5" s="84">
        <f ca="1">LN('Histogram Data'!K5+0.01)-LN(price)</f>
        <v>-9.6697884872824016</v>
      </c>
      <c r="O5" s="84">
        <f ca="1">_xlfn.NORM.DIST(N5,0+0.03^3,AVERAGE('Valuation Model'!$K$22:$L$22),FALSE)/scaling</f>
        <v>0</v>
      </c>
    </row>
    <row r="6" spans="1:15" s="79" customFormat="1" ht="12">
      <c r="A6" s="82"/>
      <c r="B6" s="88" t="str">
        <f>'Valuation Model'!I4</f>
        <v>-2% | 17% | 2%</v>
      </c>
      <c r="C6" s="89">
        <f ca="1">'Valuation Model'!K4</f>
        <v>151</v>
      </c>
      <c r="D6" s="84">
        <f ca="1">IF(ABS(INDEX($K$6:$K$55,MATCH(C6,$K$6:$K$55,1)+IF(C6&gt;=MAX($K$6:$K$55),0,1),1)-C6)&lt;ABS(INDEX($K$6:$K$55,MATCH(C6,$K$6:$K$55,1))-C6),INDEX($K$6:$K$55,MATCH(C6,$K$6:$K$55,1)+IF(C6&gt;=MAX($K$6:$K$55),0,1),1),INDEX($K$6:$K$55,MATCH(C6,$K$6:$K$55,1)))</f>
        <v>149.82000000000005</v>
      </c>
      <c r="E6" s="85">
        <f>IF(H6="N",5%/COUNTIF('Valuation Model'!$L$2:$L$9,"No"),IF(G6&lt;&gt;"Y",50%/(COUNTIF('Valuation Model'!$L$2:$L$9,"Yes")-COUNTIF(G$5:G$12,"Y")),45%/(COUNTIF(G$5:G$12,"Y"))))</f>
        <v>6.25E-2</v>
      </c>
      <c r="F6" s="79" t="s">
        <v>51</v>
      </c>
      <c r="G6" s="79" t="str">
        <f>IF(LEFT('Valuation Model'!L4,1)="M","Y","")</f>
        <v/>
      </c>
      <c r="H6" s="79" t="str">
        <f>IF(LEFT('Valuation Model'!L4,1)="M","Y",LEFT('Valuation Model'!L4,1))</f>
        <v>Y</v>
      </c>
      <c r="J6" s="86">
        <v>0.02</v>
      </c>
      <c r="K6" s="84">
        <f t="shared" ca="1" si="0"/>
        <v>4.54</v>
      </c>
      <c r="L6" s="87" t="str">
        <f t="shared" ca="1" si="1"/>
        <v/>
      </c>
      <c r="M6" s="85" t="str">
        <f t="shared" ca="1" si="2"/>
        <v/>
      </c>
      <c r="N6" s="84">
        <f ca="1">LN('Histogram Data'!K6+0.01)-LN(price)</f>
        <v>-3.5494910683314513</v>
      </c>
      <c r="O6" s="84">
        <f ca="1">_xlfn.NORM.DIST(N6,0+0.03^3,AVERAGE('Valuation Model'!$K$22:$L$22),FALSE)/scaling</f>
        <v>5.7160175701644227E-44</v>
      </c>
    </row>
    <row r="7" spans="1:15" s="79" customFormat="1" ht="12">
      <c r="A7" s="82"/>
      <c r="B7" s="88" t="str">
        <f>'Valuation Model'!I3</f>
        <v>-2% | 15% | 7%</v>
      </c>
      <c r="C7" s="89">
        <f ca="1">'Valuation Model'!K3</f>
        <v>159</v>
      </c>
      <c r="D7" s="84">
        <f ca="1">IF(ABS(INDEX($K$6:$K$55,MATCH(C7,$K$6:$K$55,1)+IF(C7&gt;=MAX($K$6:$K$55),0,1),1)-C7)&lt;ABS(INDEX($K$6:$K$55,MATCH(C7,$K$6:$K$55,1))-C7),INDEX($K$6:$K$55,MATCH(C7,$K$6:$K$55,1)+IF(C7&gt;=MAX($K$6:$K$55),0,1),1),INDEX($K$6:$K$55,MATCH(C7,$K$6:$K$55,1)))</f>
        <v>158.90000000000006</v>
      </c>
      <c r="E7" s="85">
        <f>IF(H7="N",5%/COUNTIF('Valuation Model'!$L$2:$L$9,"No"),IF(G7&lt;&gt;"Y",50%/(COUNTIF('Valuation Model'!$L$2:$L$9,"Yes")-COUNTIF(G$5:G$12,"Y")),45%/(COUNTIF(G$5:G$12,"Y"))))</f>
        <v>6.25E-2</v>
      </c>
      <c r="F7" s="79" t="s">
        <v>51</v>
      </c>
      <c r="G7" s="79" t="str">
        <f>IF(LEFT('Valuation Model'!L6,1)="M","Y","")</f>
        <v/>
      </c>
      <c r="H7" s="79" t="str">
        <f>IF(LEFT('Valuation Model'!L3,1)="M","Y",LEFT('Valuation Model'!L3,1))</f>
        <v>Y</v>
      </c>
      <c r="J7" s="86">
        <f>J6+2%</f>
        <v>0.04</v>
      </c>
      <c r="K7" s="84">
        <f t="shared" ca="1" si="0"/>
        <v>9.08</v>
      </c>
      <c r="L7" s="87" t="str">
        <f t="shared" ca="1" si="1"/>
        <v/>
      </c>
      <c r="M7" s="85" t="str">
        <f t="shared" ca="1" si="2"/>
        <v/>
      </c>
      <c r="N7" s="84">
        <f ca="1">LN('Histogram Data'!K7+0.01)-LN(price)</f>
        <v>-2.8574433931049232</v>
      </c>
      <c r="O7" s="84">
        <f ca="1">_xlfn.NORM.DIST(N7,0+0.03^3,AVERAGE('Valuation Model'!$K$22:$L$22),FALSE)/scaling</f>
        <v>6.2952355429079528E-29</v>
      </c>
    </row>
    <row r="8" spans="1:15" s="79" customFormat="1" ht="12">
      <c r="A8" s="82"/>
      <c r="B8" s="88" t="str">
        <f>'Valuation Model'!I6</f>
        <v>3% | 15% | 2%</v>
      </c>
      <c r="C8" s="89">
        <f ca="1">'Valuation Model'!K6</f>
        <v>160</v>
      </c>
      <c r="D8" s="84">
        <f ca="1">IF(ABS(INDEX($K$6:$K$55,MATCH(C8,$K$6:$K$55,1)+IF(C8&gt;=MAX($K$6:$K$55),0,1),1)-C8)&lt;ABS(INDEX($K$6:$K$55,MATCH(C8,$K$6:$K$55,1))-C8),INDEX($K$6:$K$55,MATCH(C8,$K$6:$K$55,1)+IF(C8&gt;=MAX($K$6:$K$55),0,1),1),INDEX($K$6:$K$55,MATCH(C8,$K$6:$K$55,1)))</f>
        <v>158.90000000000006</v>
      </c>
      <c r="E8" s="85">
        <f>IF(H8="N",5%/COUNTIF('Valuation Model'!$L$2:$L$9,"No"),IF(G8&lt;&gt;"Y",50%/(COUNTIF('Valuation Model'!$L$2:$L$9,"Yes")-COUNTIF(G$5:G$12,"Y")),45%/(COUNTIF(G$5:G$12,"Y"))))</f>
        <v>6.25E-2</v>
      </c>
      <c r="F8" s="79" t="s">
        <v>51</v>
      </c>
      <c r="G8" s="79" t="str">
        <f>IF(LEFT('Valuation Model'!L3,1)="M","Y","")</f>
        <v/>
      </c>
      <c r="H8" s="79" t="str">
        <f>IF(LEFT('Valuation Model'!L6,1)="M","Y",LEFT('Valuation Model'!L6,1))</f>
        <v>Y</v>
      </c>
      <c r="J8" s="86">
        <f t="shared" ref="J8:J55" si="3">J7+2%</f>
        <v>0.06</v>
      </c>
      <c r="K8" s="84">
        <f t="shared" ca="1" si="0"/>
        <v>13.62</v>
      </c>
      <c r="L8" s="87" t="str">
        <f t="shared" ca="1" si="1"/>
        <v/>
      </c>
      <c r="M8" s="85" t="str">
        <f t="shared" ca="1" si="2"/>
        <v/>
      </c>
      <c r="N8" s="84">
        <f ca="1">LN('Histogram Data'!K8+0.01)-LN(price)</f>
        <v>-2.4523450555858695</v>
      </c>
      <c r="O8" s="84">
        <f ca="1">_xlfn.NORM.DIST(N8,0+0.03^3,AVERAGE('Valuation Model'!$K$22:$L$22),FALSE)/scaling</f>
        <v>1.2479500267943597E-21</v>
      </c>
    </row>
    <row r="9" spans="1:15" s="79" customFormat="1" ht="12">
      <c r="A9" s="82"/>
      <c r="B9" s="88" t="str">
        <f>'Valuation Model'!I5</f>
        <v>-2% | 17% | 7%</v>
      </c>
      <c r="C9" s="89">
        <f ca="1">'Valuation Model'!K5</f>
        <v>180</v>
      </c>
      <c r="D9" s="84">
        <f ca="1">IF(ABS(INDEX($K$6:$K$55,MATCH(C9,$K$6:$K$55,1)+IF(C9&gt;=MAX($K$6:$K$55),0,1),1)-C9)&lt;ABS(INDEX($K$6:$K$55,MATCH(C9,$K$6:$K$55,1))-C9),INDEX($K$6:$K$55,MATCH(C9,$K$6:$K$55,1)+IF(C9&gt;=MAX($K$6:$K$55),0,1),1),INDEX($K$6:$K$55,MATCH(C9,$K$6:$K$55,1)))</f>
        <v>181.60000000000008</v>
      </c>
      <c r="E9" s="85">
        <f>IF(H9="N",5%/COUNTIF('Valuation Model'!$L$2:$L$9,"No"),IF(G9&lt;&gt;"Y",50%/(COUNTIF('Valuation Model'!$L$2:$L$9,"Yes")-COUNTIF(G$5:G$12,"Y")),45%/(COUNTIF(G$5:G$12,"Y"))))</f>
        <v>6.25E-2</v>
      </c>
      <c r="F9" s="79" t="s">
        <v>51</v>
      </c>
      <c r="G9" s="79" t="str">
        <f>IF(LEFT('Valuation Model'!L8,1)="M","Y","")</f>
        <v/>
      </c>
      <c r="H9" s="79" t="str">
        <f>IF(LEFT('Valuation Model'!L5,1)="M","Y",LEFT('Valuation Model'!L5,1))</f>
        <v>Y</v>
      </c>
      <c r="J9" s="86">
        <f t="shared" si="3"/>
        <v>0.08</v>
      </c>
      <c r="K9" s="84">
        <f t="shared" ca="1" si="0"/>
        <v>18.16</v>
      </c>
      <c r="L9" s="87" t="str">
        <f t="shared" ca="1" si="1"/>
        <v/>
      </c>
      <c r="M9" s="85" t="str">
        <f t="shared" ca="1" si="2"/>
        <v/>
      </c>
      <c r="N9" s="84">
        <f ca="1">LN('Histogram Data'!K9+0.01)-LN(price)</f>
        <v>-2.1648464188862309</v>
      </c>
      <c r="O9" s="84">
        <f ca="1">_xlfn.NORM.DIST(N9,0+0.03^3,AVERAGE('Valuation Model'!$K$22:$L$22),FALSE)/scaling</f>
        <v>3.9765742309688736E-17</v>
      </c>
    </row>
    <row r="10" spans="1:15" s="79" customFormat="1" ht="12">
      <c r="A10" s="82"/>
      <c r="B10" s="88" t="str">
        <f>'Valuation Model'!I8</f>
        <v>3% | 17% | 2%</v>
      </c>
      <c r="C10" s="89">
        <f ca="1">'Valuation Model'!K8</f>
        <v>182</v>
      </c>
      <c r="D10" s="84">
        <f ca="1">IF(ABS(INDEX($K$6:$K$55,MATCH(C10,$K$6:$K$55,1)+IF(C10&gt;=MAX($K$6:$K$55),0,1),1)-C10)&lt;ABS(INDEX($K$6:$K$55,MATCH(C10,$K$6:$K$55,1))-C10),INDEX($K$6:$K$55,MATCH(C10,$K$6:$K$55,1)+IF(C10&gt;=MAX($K$6:$K$55),0,1),1),INDEX($K$6:$K$55,MATCH(C10,$K$6:$K$55,1)))</f>
        <v>181.60000000000008</v>
      </c>
      <c r="E10" s="85">
        <f>IF(H10="N",5%/COUNTIF('Valuation Model'!$L$2:$L$9,"No"),IF(G10&lt;&gt;"Y",50%/(COUNTIF('Valuation Model'!$L$2:$L$9,"Yes")-COUNTIF(G$5:G$12,"Y")),45%/(COUNTIF(G$5:G$12,"Y"))))</f>
        <v>6.25E-2</v>
      </c>
      <c r="F10" s="79" t="s">
        <v>51</v>
      </c>
      <c r="G10" s="79" t="str">
        <f>IF(LEFT('Valuation Model'!L5,1)="M","Y","")</f>
        <v/>
      </c>
      <c r="H10" s="79" t="str">
        <f>IF(LEFT('Valuation Model'!L8,1)="M","Y",LEFT('Valuation Model'!L8,1))</f>
        <v>Y</v>
      </c>
      <c r="J10" s="86">
        <f t="shared" si="3"/>
        <v>0.1</v>
      </c>
      <c r="K10" s="84">
        <f t="shared" ca="1" si="0"/>
        <v>22.700000000000003</v>
      </c>
      <c r="L10" s="87" t="str">
        <f t="shared" ca="1" si="1"/>
        <v/>
      </c>
      <c r="M10" s="85" t="str">
        <f t="shared" ca="1" si="2"/>
        <v/>
      </c>
      <c r="N10" s="84">
        <f ca="1">LN('Histogram Data'!K10+0.01)-LN(price)</f>
        <v>-1.9418129451768436</v>
      </c>
      <c r="O10" s="84">
        <f ca="1">_xlfn.NORM.DIST(N10,0+0.03^3,AVERAGE('Valuation Model'!$K$22:$L$22),FALSE)/scaling</f>
        <v>5.0906113874098298E-14</v>
      </c>
    </row>
    <row r="11" spans="1:15" s="79" customFormat="1" ht="12">
      <c r="A11" s="82"/>
      <c r="B11" s="88" t="str">
        <f>'Valuation Model'!I7</f>
        <v>3% | 15% | 7%</v>
      </c>
      <c r="C11" s="89">
        <f ca="1">'Valuation Model'!K7</f>
        <v>191</v>
      </c>
      <c r="D11" s="84">
        <f ca="1">IF(ABS(INDEX($K$6:$K$55,MATCH(C11,$K$6:$K$55,1)+IF(C11&gt;=MAX($K$6:$K$55),0,1),1)-C11)&lt;ABS(INDEX($K$6:$K$55,MATCH(C11,$K$6:$K$55,1))-C11),INDEX($K$6:$K$55,MATCH(C11,$K$6:$K$55,1)+IF(C11&gt;=MAX($K$6:$K$55),0,1),1),INDEX($K$6:$K$55,MATCH(C11,$K$6:$K$55,1)))</f>
        <v>190.68000000000009</v>
      </c>
      <c r="E11" s="85">
        <f>IF(H11="N",5%/COUNTIF('Valuation Model'!$L$2:$L$9,"No"),IF(G11&lt;&gt;"Y",50%/(COUNTIF('Valuation Model'!$L$2:$L$9,"Yes")-COUNTIF(G$5:G$12,"Y")),45%/(COUNTIF(G$5:G$12,"Y"))))</f>
        <v>6.25E-2</v>
      </c>
      <c r="F11" s="79" t="s">
        <v>51</v>
      </c>
      <c r="G11" s="79" t="str">
        <f>IF(LEFT('Valuation Model'!L7,1)="M","Y","")</f>
        <v/>
      </c>
      <c r="H11" s="79" t="str">
        <f>IF(LEFT('Valuation Model'!L7,1)="M","Y",LEFT('Valuation Model'!L7,1))</f>
        <v>Y</v>
      </c>
      <c r="J11" s="86">
        <f t="shared" si="3"/>
        <v>0.12000000000000001</v>
      </c>
      <c r="K11" s="84">
        <f t="shared" ca="1" si="0"/>
        <v>27.240000000000002</v>
      </c>
      <c r="L11" s="87" t="str">
        <f t="shared" ca="1" si="1"/>
        <v/>
      </c>
      <c r="M11" s="85" t="str">
        <f t="shared" ca="1" si="2"/>
        <v/>
      </c>
      <c r="N11" s="84">
        <f ca="1">LN('Histogram Data'!K11+0.01)-LN(price)</f>
        <v>-1.7595647801850576</v>
      </c>
      <c r="O11" s="84">
        <f ca="1">_xlfn.NORM.DIST(N11,0+0.03^3,AVERAGE('Valuation Model'!$K$22:$L$22),FALSE)/scaling</f>
        <v>9.8911089899369565E-12</v>
      </c>
    </row>
    <row r="12" spans="1:15" s="79" customFormat="1" ht="12">
      <c r="A12" s="82"/>
      <c r="B12" s="88" t="str">
        <f>'Valuation Model'!I9</f>
        <v>3% | 17% | 7%</v>
      </c>
      <c r="C12" s="89">
        <f ca="1">'Valuation Model'!K9</f>
        <v>217</v>
      </c>
      <c r="D12" s="84">
        <f ca="1">IF(ABS(INDEX($K$6:$K$55,MATCH(C12,$K$6:$K$55,1)+IF(C12&gt;=MAX($K$6:$K$55),0,1),1)-C12)&lt;ABS(INDEX($K$6:$K$55,MATCH(C12,$K$6:$K$55,1))-C12),INDEX($K$6:$K$55,MATCH(C12,$K$6:$K$55,1)+IF(C12&gt;=MAX($K$6:$K$55),0,1),1),INDEX($K$6:$K$55,MATCH(C12,$K$6:$K$55,1)))</f>
        <v>217.92000000000013</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3"/>
        <v>0.14000000000000001</v>
      </c>
      <c r="K12" s="84">
        <f t="shared" ca="1" si="0"/>
        <v>31.780000000000005</v>
      </c>
      <c r="L12" s="87" t="str">
        <f t="shared" ca="1" si="1"/>
        <v/>
      </c>
      <c r="M12" s="85" t="str">
        <f t="shared" ca="1" si="2"/>
        <v/>
      </c>
      <c r="N12" s="84">
        <f ca="1">LN('Histogram Data'!K12+0.01)-LN(price)</f>
        <v>-1.605466526371599</v>
      </c>
      <c r="O12" s="84">
        <f ca="1">_xlfn.NORM.DIST(N12,0+0.03^3,AVERAGE('Valuation Model'!$K$22:$L$22),FALSE)/scaling</f>
        <v>5.6808325136821543E-10</v>
      </c>
    </row>
    <row r="13" spans="1:15" s="79" customFormat="1" ht="12">
      <c r="A13" s="82"/>
      <c r="J13" s="86">
        <f t="shared" si="3"/>
        <v>0.16</v>
      </c>
      <c r="K13" s="84">
        <f t="shared" ca="1" si="0"/>
        <v>36.32</v>
      </c>
      <c r="L13" s="87" t="str">
        <f t="shared" ca="1" si="1"/>
        <v/>
      </c>
      <c r="M13" s="85" t="str">
        <f t="shared" ca="1" si="2"/>
        <v/>
      </c>
      <c r="N13" s="84">
        <f ca="1">LN('Histogram Data'!K13+0.01)-LN(price)</f>
        <v>-1.4719744550612002</v>
      </c>
      <c r="O13" s="84">
        <f ca="1">_xlfn.NORM.DIST(N13,0+0.03^3,AVERAGE('Valuation Model'!$K$22:$L$22),FALSE)/scaling</f>
        <v>1.4063768567393813E-8</v>
      </c>
    </row>
    <row r="14" spans="1:15" s="79" customFormat="1" ht="12">
      <c r="A14" s="82"/>
      <c r="J14" s="86">
        <f t="shared" si="3"/>
        <v>0.18</v>
      </c>
      <c r="K14" s="84">
        <f t="shared" ca="1" si="0"/>
        <v>40.86</v>
      </c>
      <c r="L14" s="87" t="str">
        <f t="shared" ca="1" si="1"/>
        <v/>
      </c>
      <c r="M14" s="85" t="str">
        <f t="shared" ca="1" si="2"/>
        <v/>
      </c>
      <c r="N14" s="84">
        <f ca="1">LN('Histogram Data'!K14+0.01)-LN(price)</f>
        <v>-1.354222003718125</v>
      </c>
      <c r="O14" s="84">
        <f ca="1">_xlfn.NORM.DIST(N14,0+0.03^3,AVERAGE('Valuation Model'!$K$22:$L$22),FALSE)/scaling</f>
        <v>1.8927861082469446E-7</v>
      </c>
    </row>
    <row r="15" spans="1:15" s="79" customFormat="1" ht="12">
      <c r="A15" s="82"/>
      <c r="J15" s="86">
        <f t="shared" si="3"/>
        <v>0.19999999999999998</v>
      </c>
      <c r="K15" s="84">
        <f t="shared" ca="1" si="0"/>
        <v>45.4</v>
      </c>
      <c r="L15" s="87" t="str">
        <f t="shared" ca="1" si="1"/>
        <v/>
      </c>
      <c r="M15" s="85" t="str">
        <f t="shared" ca="1" si="2"/>
        <v/>
      </c>
      <c r="N15" s="84">
        <f ca="1">LN('Histogram Data'!K15+0.01)-LN(price)</f>
        <v>-1.2488859561844512</v>
      </c>
      <c r="O15" s="84">
        <f ca="1">_xlfn.NORM.DIST(N15,0+0.03^3,AVERAGE('Valuation Model'!$K$22:$L$22),FALSE)/scaling</f>
        <v>1.6118847295721114E-6</v>
      </c>
    </row>
    <row r="16" spans="1:15" s="79" customFormat="1" ht="12">
      <c r="A16" s="82"/>
      <c r="C16" s="83"/>
      <c r="D16" s="84"/>
      <c r="E16" s="85"/>
      <c r="J16" s="86">
        <f t="shared" si="3"/>
        <v>0.21999999999999997</v>
      </c>
      <c r="K16" s="84">
        <f t="shared" ca="1" si="0"/>
        <v>49.939999999999991</v>
      </c>
      <c r="L16" s="87" t="str">
        <f t="shared" ca="1" si="1"/>
        <v/>
      </c>
      <c r="M16" s="85" t="str">
        <f t="shared" ca="1" si="2"/>
        <v/>
      </c>
      <c r="N16" s="84">
        <f ca="1">LN('Histogram Data'!K16+0.01)-LN(price)</f>
        <v>-1.1535957961997485</v>
      </c>
      <c r="O16" s="84">
        <f ca="1">_xlfn.NORM.DIST(N16,0+0.03^3,AVERAGE('Valuation Model'!$K$22:$L$22),FALSE)/scaling</f>
        <v>9.6381665828708985E-6</v>
      </c>
    </row>
    <row r="17" spans="4:15" s="79" customFormat="1" ht="12">
      <c r="J17" s="86">
        <f t="shared" si="3"/>
        <v>0.23999999999999996</v>
      </c>
      <c r="K17" s="84">
        <f t="shared" ca="1" si="0"/>
        <v>54.47999999999999</v>
      </c>
      <c r="L17" s="87" t="str">
        <f t="shared" ca="1" si="1"/>
        <v/>
      </c>
      <c r="M17" s="85" t="str">
        <f t="shared" ca="1" si="2"/>
        <v/>
      </c>
      <c r="N17" s="84">
        <f ca="1">LN('Histogram Data'!K17+0.01)-LN(price)</f>
        <v>-1.0666011026993041</v>
      </c>
      <c r="O17" s="84">
        <f ca="1">_xlfn.NORM.DIST(N17,0+0.03^3,AVERAGE('Valuation Model'!$K$22:$L$22),FALSE)/scaling</f>
        <v>4.3575866163238873E-5</v>
      </c>
    </row>
    <row r="18" spans="4:15" s="79" customFormat="1" ht="12">
      <c r="D18" s="86"/>
      <c r="J18" s="86">
        <f t="shared" si="3"/>
        <v>0.25999999999999995</v>
      </c>
      <c r="K18" s="84">
        <f t="shared" ca="1" si="0"/>
        <v>59.019999999999989</v>
      </c>
      <c r="L18" s="87" t="str">
        <f t="shared" ca="1" si="1"/>
        <v/>
      </c>
      <c r="M18" s="85" t="str">
        <f t="shared" ca="1" si="2"/>
        <v/>
      </c>
      <c r="N18" s="84">
        <f ca="1">LN('Histogram Data'!K18+0.01)-LN(price)</f>
        <v>-0.98657251204171281</v>
      </c>
      <c r="O18" s="84">
        <f ca="1">_xlfn.NORM.DIST(N18,0+0.03^3,AVERAGE('Valuation Model'!$K$22:$L$22),FALSE)/scaling</f>
        <v>1.5728333298190071E-4</v>
      </c>
    </row>
    <row r="19" spans="4:15" s="79" customFormat="1" ht="12">
      <c r="D19" s="90"/>
      <c r="J19" s="86">
        <f t="shared" si="3"/>
        <v>0.27999999999999997</v>
      </c>
      <c r="K19" s="84">
        <f t="shared" ca="1" si="0"/>
        <v>63.559999999999995</v>
      </c>
      <c r="L19" s="87" t="str">
        <f t="shared" ca="1" si="1"/>
        <v/>
      </c>
      <c r="M19" s="85" t="str">
        <f t="shared" ca="1" si="2"/>
        <v/>
      </c>
      <c r="N19" s="84">
        <f ca="1">LN('Histogram Data'!K19+0.01)-LN(price)</f>
        <v>-0.91247664034599296</v>
      </c>
      <c r="O19" s="84">
        <f ca="1">_xlfn.NORM.DIST(N19,0+0.03^3,AVERAGE('Valuation Model'!$K$22:$L$22),FALSE)/scaling</f>
        <v>4.7212118859780528E-4</v>
      </c>
    </row>
    <row r="20" spans="4:15" s="79" customFormat="1" ht="12">
      <c r="J20" s="86">
        <f t="shared" si="3"/>
        <v>0.3</v>
      </c>
      <c r="K20" s="84">
        <f t="shared" ca="1" si="0"/>
        <v>68.099999999999994</v>
      </c>
      <c r="L20" s="87" t="str">
        <f t="shared" ca="1" si="1"/>
        <v/>
      </c>
      <c r="M20" s="85" t="str">
        <f t="shared" ca="1" si="2"/>
        <v/>
      </c>
      <c r="N20" s="84">
        <f ca="1">LN('Histogram Data'!K20+0.01)-LN(price)</f>
        <v>-0.84349425604108408</v>
      </c>
      <c r="O20" s="84">
        <f ca="1">_xlfn.NORM.DIST(N20,0+0.03^3,AVERAGE('Valuation Model'!$K$22:$L$22),FALSE)/scaling</f>
        <v>1.2161776506769131E-3</v>
      </c>
    </row>
    <row r="21" spans="4:15" s="79" customFormat="1" ht="12">
      <c r="J21" s="86">
        <f t="shared" si="3"/>
        <v>0.32</v>
      </c>
      <c r="K21" s="84">
        <f t="shared" ca="1" si="0"/>
        <v>72.64</v>
      </c>
      <c r="L21" s="87" t="str">
        <f t="shared" ca="1" si="1"/>
        <v/>
      </c>
      <c r="M21" s="85" t="str">
        <f t="shared" ca="1" si="2"/>
        <v/>
      </c>
      <c r="N21" s="84">
        <f ca="1">LN('Histogram Data'!K21+0.01)-LN(price)</f>
        <v>-0.77896491127801859</v>
      </c>
      <c r="O21" s="84">
        <f ca="1">_xlfn.NORM.DIST(N21,0+0.03^3,AVERAGE('Valuation Model'!$K$22:$L$22),FALSE)/scaling</f>
        <v>2.7554047688350793E-3</v>
      </c>
    </row>
    <row r="22" spans="4:15" s="79" customFormat="1" ht="12">
      <c r="J22" s="86">
        <f t="shared" si="3"/>
        <v>0.34</v>
      </c>
      <c r="K22" s="84">
        <f t="shared" ca="1" si="0"/>
        <v>77.180000000000007</v>
      </c>
      <c r="L22" s="87" t="str">
        <f t="shared" ca="1" si="1"/>
        <v/>
      </c>
      <c r="M22" s="85" t="str">
        <f t="shared" ca="1" si="2"/>
        <v/>
      </c>
      <c r="N22" s="84">
        <f ca="1">LN('Histogram Data'!K22+0.01)-LN(price)</f>
        <v>-0.71834838633254794</v>
      </c>
      <c r="O22" s="84">
        <f ca="1">_xlfn.NORM.DIST(N22,0+0.03^3,AVERAGE('Valuation Model'!$K$22:$L$22),FALSE)/scaling</f>
        <v>5.5988867958442542E-3</v>
      </c>
    </row>
    <row r="23" spans="4:15" s="79" customFormat="1" ht="12">
      <c r="J23" s="86">
        <f t="shared" si="3"/>
        <v>0.36000000000000004</v>
      </c>
      <c r="K23" s="84">
        <f t="shared" ca="1" si="0"/>
        <v>81.720000000000013</v>
      </c>
      <c r="L23" s="87" t="str">
        <f t="shared" ca="1" si="1"/>
        <v/>
      </c>
      <c r="M23" s="85" t="str">
        <f t="shared" ca="1" si="2"/>
        <v/>
      </c>
      <c r="N23" s="84">
        <f ca="1">LN('Histogram Data'!K23+0.01)-LN(price)</f>
        <v>-0.66119716976627174</v>
      </c>
      <c r="O23" s="84">
        <f ca="1">_xlfn.NORM.DIST(N23,0+0.03^3,AVERAGE('Valuation Model'!$K$22:$L$22),FALSE)/scaling</f>
        <v>1.0365302590844663E-2</v>
      </c>
    </row>
    <row r="24" spans="4:15" s="79" customFormat="1" ht="12">
      <c r="J24" s="86">
        <f t="shared" si="3"/>
        <v>0.38000000000000006</v>
      </c>
      <c r="K24" s="84">
        <f t="shared" ca="1" si="0"/>
        <v>86.260000000000019</v>
      </c>
      <c r="L24" s="87" t="str">
        <f t="shared" ca="1" si="1"/>
        <v/>
      </c>
      <c r="M24" s="85" t="str">
        <f t="shared" ca="1" si="2"/>
        <v/>
      </c>
      <c r="N24" s="84">
        <f ca="1">LN('Histogram Data'!K24+0.01)-LN(price)</f>
        <v>-0.60713638820582272</v>
      </c>
      <c r="O24" s="84">
        <f ca="1">_xlfn.NORM.DIST(N24,0+0.03^3,AVERAGE('Valuation Model'!$K$22:$L$22),FALSE)/scaling</f>
        <v>1.7709335301097251E-2</v>
      </c>
    </row>
    <row r="25" spans="4:15" s="79" customFormat="1" ht="12">
      <c r="J25" s="86">
        <f t="shared" si="3"/>
        <v>0.40000000000000008</v>
      </c>
      <c r="K25" s="84">
        <f t="shared" ca="1" si="0"/>
        <v>90.800000000000011</v>
      </c>
      <c r="L25" s="87" t="str">
        <f t="shared" ca="1" si="1"/>
        <v/>
      </c>
      <c r="M25" s="85" t="str">
        <f t="shared" ca="1" si="2"/>
        <v/>
      </c>
      <c r="N25" s="84">
        <f ca="1">LN('Histogram Data'!K25+0.01)-LN(price)</f>
        <v>-0.55584888959257395</v>
      </c>
      <c r="O25" s="84">
        <f ca="1">_xlfn.NORM.DIST(N25,0+0.03^3,AVERAGE('Valuation Model'!$K$22:$L$22),FALSE)/scaling</f>
        <v>2.822017478431969E-2</v>
      </c>
    </row>
    <row r="26" spans="4:15" s="79" customFormat="1" ht="12">
      <c r="J26" s="86">
        <f t="shared" si="3"/>
        <v>0.4200000000000001</v>
      </c>
      <c r="K26" s="84">
        <f t="shared" ca="1" si="0"/>
        <v>95.340000000000018</v>
      </c>
      <c r="L26" s="87" t="str">
        <f t="shared" ca="1" si="1"/>
        <v/>
      </c>
      <c r="M26" s="85" t="str">
        <f t="shared" ca="1" si="2"/>
        <v/>
      </c>
      <c r="N26" s="84">
        <f ca="1">LN('Histogram Data'!K26+0.01)-LN(price)</f>
        <v>-0.50706396924788244</v>
      </c>
      <c r="O26" s="84">
        <f ca="1">_xlfn.NORM.DIST(N26,0+0.03^3,AVERAGE('Valuation Model'!$K$22:$L$22),FALSE)/scaling</f>
        <v>4.2313706467491649E-2</v>
      </c>
    </row>
    <row r="27" spans="4:15" s="79" customFormat="1" ht="12">
      <c r="J27" s="86">
        <f t="shared" si="3"/>
        <v>0.44000000000000011</v>
      </c>
      <c r="K27" s="84">
        <f t="shared" ca="1" si="0"/>
        <v>99.880000000000024</v>
      </c>
      <c r="L27" s="87" t="str">
        <f t="shared" ca="1" si="1"/>
        <v/>
      </c>
      <c r="M27" s="85" t="str">
        <f t="shared" ca="1" si="2"/>
        <v/>
      </c>
      <c r="N27" s="84">
        <f ca="1">LN('Histogram Data'!K27+0.01)-LN(price)</f>
        <v>-0.46054872075025166</v>
      </c>
      <c r="O27" s="84">
        <f ca="1">_xlfn.NORM.DIST(N27,0+0.03^3,AVERAGE('Valuation Model'!$K$22:$L$22),FALSE)/scaling</f>
        <v>6.014221823636047E-2</v>
      </c>
    </row>
    <row r="28" spans="4:15" s="79" customFormat="1" ht="12">
      <c r="J28" s="86">
        <f t="shared" si="3"/>
        <v>0.46000000000000013</v>
      </c>
      <c r="K28" s="84">
        <f t="shared" ca="1" si="0"/>
        <v>104.42000000000003</v>
      </c>
      <c r="L28" s="87" t="str">
        <f t="shared" ca="1" si="1"/>
        <v/>
      </c>
      <c r="M28" s="85" t="str">
        <f t="shared" ca="1" si="2"/>
        <v/>
      </c>
      <c r="N28" s="84">
        <f ca="1">LN('Histogram Data'!K28+0.01)-LN(price)</f>
        <v>-0.41610131080285306</v>
      </c>
      <c r="O28" s="84">
        <f ca="1">_xlfn.NORM.DIST(N28,0+0.03^3,AVERAGE('Valuation Model'!$K$22:$L$22),FALSE)/scaling</f>
        <v>8.1540570204616039E-2</v>
      </c>
    </row>
    <row r="29" spans="4:15" s="79" customFormat="1" ht="12">
      <c r="J29" s="86">
        <f t="shared" si="3"/>
        <v>0.48000000000000015</v>
      </c>
      <c r="K29" s="84">
        <f t="shared" ca="1" si="0"/>
        <v>108.96000000000004</v>
      </c>
      <c r="L29" s="87" t="str">
        <f t="shared" ca="1" si="1"/>
        <v/>
      </c>
      <c r="M29" s="85" t="str">
        <f t="shared" ca="1" si="2"/>
        <v/>
      </c>
      <c r="N29" s="84">
        <f ca="1">LN('Histogram Data'!K29+0.01)-LN(price)</f>
        <v>-0.37354568630551555</v>
      </c>
      <c r="O29" s="84">
        <f ca="1">_xlfn.NORM.DIST(N29,0+0.03^3,AVERAGE('Valuation Model'!$K$22:$L$22),FALSE)/scaling</f>
        <v>0.10601836791426614</v>
      </c>
    </row>
    <row r="30" spans="4:15" s="79" customFormat="1" ht="12">
      <c r="J30" s="86">
        <f t="shared" si="3"/>
        <v>0.50000000000000011</v>
      </c>
      <c r="K30" s="84">
        <f t="shared" ca="1" si="0"/>
        <v>113.50000000000003</v>
      </c>
      <c r="L30" s="87" t="str">
        <f ca="1">L33</f>
        <v/>
      </c>
      <c r="M30" s="85" t="str">
        <f t="shared" ca="1" si="2"/>
        <v/>
      </c>
      <c r="N30" s="84">
        <f ca="1">LN('Histogram Data'!K30+0.01)-LN(price)</f>
        <v>-0.33272736252706192</v>
      </c>
      <c r="O30" s="84">
        <f ca="1">_xlfn.NORM.DIST(N30,0+0.03^3,AVERAGE('Valuation Model'!$K$22:$L$22),FALSE)/scaling</f>
        <v>0.13279725301644768</v>
      </c>
    </row>
    <row r="31" spans="4:15" s="79" customFormat="1" ht="12">
      <c r="J31" s="86">
        <f t="shared" si="3"/>
        <v>0.52000000000000013</v>
      </c>
      <c r="K31" s="84">
        <f t="shared" ca="1" si="0"/>
        <v>118.04000000000003</v>
      </c>
      <c r="L31" s="87" t="str">
        <f t="shared" ca="1" si="1"/>
        <v/>
      </c>
      <c r="M31" s="85" t="str">
        <f t="shared" ca="1" si="2"/>
        <v/>
      </c>
      <c r="N31" s="84">
        <f ca="1">LN('Histogram Data'!K31+0.01)-LN(price)</f>
        <v>-0.29351003776278883</v>
      </c>
      <c r="O31" s="84">
        <f ca="1">_xlfn.NORM.DIST(N31,0+0.03^3,AVERAGE('Valuation Model'!$K$22:$L$22),FALSE)/scaling</f>
        <v>0.16088391517594697</v>
      </c>
    </row>
    <row r="32" spans="4:15" s="79" customFormat="1" ht="12">
      <c r="J32" s="86">
        <f t="shared" si="3"/>
        <v>0.54000000000000015</v>
      </c>
      <c r="K32" s="84">
        <f t="shared" ca="1" si="0"/>
        <v>122.58000000000003</v>
      </c>
      <c r="L32" s="87" t="str">
        <f t="shared" ca="1" si="1"/>
        <v/>
      </c>
      <c r="M32" s="85" t="str">
        <f t="shared" ca="1" si="2"/>
        <v/>
      </c>
      <c r="N32" s="84">
        <f ca="1">LN('Histogram Data'!K32+0.01)-LN(price)</f>
        <v>-0.25577284718740767</v>
      </c>
      <c r="O32" s="84">
        <f ca="1">_xlfn.NORM.DIST(N32,0+0.03^3,AVERAGE('Valuation Model'!$K$22:$L$22),FALSE)/scaling</f>
        <v>0.18916446071877963</v>
      </c>
    </row>
    <row r="33" spans="10:15" s="79" customFormat="1" ht="12">
      <c r="J33" s="86">
        <f t="shared" si="3"/>
        <v>0.56000000000000016</v>
      </c>
      <c r="K33" s="84">
        <f t="shared" ca="1" si="0"/>
        <v>127.12000000000003</v>
      </c>
      <c r="L33" s="87" t="str">
        <f t="shared" ca="1" si="1"/>
        <v/>
      </c>
      <c r="M33" s="85" t="str">
        <f t="shared" ca="1" si="2"/>
        <v/>
      </c>
      <c r="N33" s="84">
        <f ca="1">LN('Histogram Data'!K33+0.01)-LN(price)</f>
        <v>-0.21940811633227941</v>
      </c>
      <c r="O33" s="84">
        <f ca="1">_xlfn.NORM.DIST(N33,0+0.03^3,AVERAGE('Valuation Model'!$K$22:$L$22),FALSE)/scaling</f>
        <v>0.21650460381784048</v>
      </c>
    </row>
    <row r="34" spans="10:15" s="79" customFormat="1" ht="12">
      <c r="J34" s="86">
        <f t="shared" si="3"/>
        <v>0.58000000000000018</v>
      </c>
      <c r="K34" s="84">
        <f t="shared" ca="1" si="0"/>
        <v>131.66000000000005</v>
      </c>
      <c r="L34" s="87">
        <f t="shared" ca="1" si="1"/>
        <v>6.25E-2</v>
      </c>
      <c r="M34" s="85" t="str">
        <f t="shared" ca="1" si="2"/>
        <v/>
      </c>
      <c r="N34" s="84">
        <f ca="1">LN('Histogram Data'!K34+0.01)-LN(price)</f>
        <v>-0.18431950892605808</v>
      </c>
      <c r="O34" s="84">
        <f ca="1">_xlfn.NORM.DIST(N34,0+0.03^3,AVERAGE('Valuation Model'!$K$22:$L$22),FALSE)/scaling</f>
        <v>0.24184204409280302</v>
      </c>
    </row>
    <row r="35" spans="10:15" s="79" customFormat="1" ht="12">
      <c r="J35" s="86">
        <f t="shared" si="3"/>
        <v>0.6000000000000002</v>
      </c>
      <c r="K35" s="84">
        <f t="shared" ca="1" si="0"/>
        <v>136.20000000000005</v>
      </c>
      <c r="L35" s="87" t="str">
        <f t="shared" ca="1" si="1"/>
        <v/>
      </c>
      <c r="M35" s="85" t="str">
        <f t="shared" ca="1" si="2"/>
        <v/>
      </c>
      <c r="N35" s="84">
        <f ca="1">LN('Histogram Data'!K35+0.01)-LN(price)</f>
        <v>-0.15042048883505998</v>
      </c>
      <c r="O35" s="84">
        <f ca="1">_xlfn.NORM.DIST(N35,0+0.03^3,AVERAGE('Valuation Model'!$K$22:$L$22),FALSE)/scaling</f>
        <v>0.26426116371916658</v>
      </c>
    </row>
    <row r="36" spans="10:15" s="79" customFormat="1" ht="12">
      <c r="J36" s="86">
        <f t="shared" si="3"/>
        <v>0.62000000000000022</v>
      </c>
      <c r="K36" s="84">
        <f t="shared" ca="1" si="0"/>
        <v>140.74000000000004</v>
      </c>
      <c r="L36" s="87" t="str">
        <f t="shared" ca="1" si="1"/>
        <v/>
      </c>
      <c r="M36" s="85" t="str">
        <f t="shared" ca="1" si="2"/>
        <v/>
      </c>
      <c r="N36" s="84">
        <f ca="1">LN('Histogram Data'!K36+0.01)-LN(price)</f>
        <v>-0.11763303427451088</v>
      </c>
      <c r="O36" s="84">
        <f ca="1">_xlfn.NORM.DIST(N36,0+0.03^3,AVERAGE('Valuation Model'!$K$22:$L$22),FALSE)/scaling</f>
        <v>0.28304460205731163</v>
      </c>
    </row>
    <row r="37" spans="10:15" s="79" customFormat="1" ht="12">
      <c r="J37" s="86">
        <f t="shared" si="3"/>
        <v>0.64000000000000024</v>
      </c>
      <c r="K37" s="84">
        <f t="shared" ca="1" si="0"/>
        <v>145.28000000000006</v>
      </c>
      <c r="L37" s="87" t="str">
        <f t="shared" ca="1" si="1"/>
        <v/>
      </c>
      <c r="M37" s="85" t="str">
        <f t="shared" ca="1" si="2"/>
        <v/>
      </c>
      <c r="N37" s="84">
        <f ca="1">LN('Histogram Data'!K37+0.01)-LN(price)</f>
        <v>-8.5886556211062448E-2</v>
      </c>
      <c r="O37" s="84">
        <f ca="1">_xlfn.NORM.DIST(N37,0+0.03^3,AVERAGE('Valuation Model'!$K$22:$L$22),FALSE)/scaling</f>
        <v>0.29770039119590952</v>
      </c>
    </row>
    <row r="38" spans="10:15" s="79" customFormat="1" ht="12">
      <c r="J38" s="86">
        <f t="shared" si="3"/>
        <v>0.66000000000000025</v>
      </c>
      <c r="K38" s="84">
        <f t="shared" ca="1" si="0"/>
        <v>149.82000000000005</v>
      </c>
      <c r="L38" s="87">
        <f t="shared" ca="1" si="1"/>
        <v>6.25E-2</v>
      </c>
      <c r="M38" s="85" t="str">
        <f t="shared" ca="1" si="2"/>
        <v/>
      </c>
      <c r="N38" s="84">
        <f ca="1">LN('Histogram Data'!K38+0.01)-LN(price)</f>
        <v>-5.5116983239257955E-2</v>
      </c>
      <c r="O38" s="84">
        <f ca="1">_xlfn.NORM.DIST(N38,0+0.03^3,AVERAGE('Valuation Model'!$K$22:$L$22),FALSE)/scaling</f>
        <v>0.30796657484595152</v>
      </c>
    </row>
    <row r="39" spans="10:15" s="79" customFormat="1" ht="12">
      <c r="J39" s="86">
        <f t="shared" si="3"/>
        <v>0.68000000000000027</v>
      </c>
      <c r="K39" s="84">
        <f t="shared" ca="1" si="0"/>
        <v>154.36000000000007</v>
      </c>
      <c r="L39" s="87" t="str">
        <f t="shared" ca="1" si="1"/>
        <v/>
      </c>
      <c r="M39" s="85" t="str">
        <f t="shared" ca="1" si="2"/>
        <v/>
      </c>
      <c r="N39" s="84">
        <f ca="1">LN('Histogram Data'!K39+0.01)-LN(price)</f>
        <v>-2.5265983100560163E-2</v>
      </c>
      <c r="O39" s="84">
        <f ca="1">_xlfn.NORM.DIST(N39,0+0.03^3,AVERAGE('Valuation Model'!$K$22:$L$22),FALSE)/scaling</f>
        <v>0.31379735040714601</v>
      </c>
    </row>
    <row r="40" spans="10:15" s="79" customFormat="1" ht="12">
      <c r="J40" s="86">
        <f t="shared" si="3"/>
        <v>0.70000000000000029</v>
      </c>
      <c r="K40" s="84">
        <f t="shared" ca="1" si="0"/>
        <v>158.90000000000006</v>
      </c>
      <c r="L40" s="87">
        <f t="shared" ca="1" si="1"/>
        <v>6.25E-2</v>
      </c>
      <c r="M40" s="85" t="str">
        <f t="shared" ca="1" si="2"/>
        <v/>
      </c>
      <c r="N40" s="84">
        <f ca="1">LN('Histogram Data'!K40+0.01)-LN(price)</f>
        <v>3.7197029302342699E-3</v>
      </c>
      <c r="O40" s="84">
        <f ca="1">_xlfn.NORM.DIST(N40,0+0.03^3,AVERAGE('Valuation Model'!$K$22:$L$22),FALSE)/scaling</f>
        <v>0.31533580130373123</v>
      </c>
    </row>
    <row r="41" spans="10:15" s="79" customFormat="1" ht="12">
      <c r="J41" s="86">
        <f t="shared" si="3"/>
        <v>0.72000000000000031</v>
      </c>
      <c r="K41" s="84">
        <f t="shared" ca="1" si="0"/>
        <v>163.44000000000008</v>
      </c>
      <c r="L41" s="87" t="str">
        <f t="shared" ca="1" si="1"/>
        <v/>
      </c>
      <c r="M41" s="85" t="str">
        <f t="shared" ca="1" si="2"/>
        <v/>
      </c>
      <c r="N41" s="84">
        <f ca="1">LN('Histogram Data'!K41+0.01)-LN(price)</f>
        <v>3.1888831875908963E-2</v>
      </c>
      <c r="O41" s="84">
        <f ca="1">_xlfn.NORM.DIST(N41,0+0.03^3,AVERAGE('Valuation Model'!$K$22:$L$22),FALSE)/scaling</f>
        <v>0.3128784178380446</v>
      </c>
    </row>
    <row r="42" spans="10:15" s="79" customFormat="1" ht="12">
      <c r="J42" s="86">
        <f t="shared" si="3"/>
        <v>0.74000000000000032</v>
      </c>
      <c r="K42" s="84">
        <f t="shared" ca="1" si="0"/>
        <v>167.98000000000008</v>
      </c>
      <c r="L42" s="87" t="str">
        <f t="shared" ca="1" si="1"/>
        <v/>
      </c>
      <c r="M42" s="85" t="str">
        <f t="shared" ca="1" si="2"/>
        <v/>
      </c>
      <c r="N42" s="84">
        <f ca="1">LN('Histogram Data'!K42+0.01)-LN(price)</f>
        <v>5.9286152527812774E-2</v>
      </c>
      <c r="O42" s="84">
        <f ca="1">_xlfn.NORM.DIST(N42,0+0.03^3,AVERAGE('Valuation Model'!$K$22:$L$22),FALSE)/scaling</f>
        <v>0.30683610271210576</v>
      </c>
    </row>
    <row r="43" spans="10:15" s="79" customFormat="1" ht="12">
      <c r="J43" s="86">
        <f t="shared" si="3"/>
        <v>0.76000000000000034</v>
      </c>
      <c r="K43" s="84">
        <f t="shared" ca="1" si="0"/>
        <v>172.52000000000007</v>
      </c>
      <c r="L43" s="87" t="str">
        <f t="shared" ca="1" si="1"/>
        <v/>
      </c>
      <c r="M43" s="85" t="str">
        <f t="shared" ca="1" si="2"/>
        <v/>
      </c>
      <c r="N43" s="84">
        <f ca="1">LN('Histogram Data'!K43+0.01)-LN(price)</f>
        <v>8.5952833099462111E-2</v>
      </c>
      <c r="O43" s="84">
        <f ca="1">_xlfn.NORM.DIST(N43,0+0.03^3,AVERAGE('Valuation Model'!$K$22:$L$22),FALSE)/scaling</f>
        <v>0.29769548532837459</v>
      </c>
    </row>
    <row r="44" spans="10:15" s="79" customFormat="1" ht="12">
      <c r="J44" s="86">
        <f t="shared" si="3"/>
        <v>0.78000000000000036</v>
      </c>
      <c r="K44" s="84">
        <f t="shared" ca="1" si="0"/>
        <v>177.06000000000009</v>
      </c>
      <c r="L44" s="87" t="str">
        <f t="shared" ca="1" si="1"/>
        <v/>
      </c>
      <c r="M44" s="85" t="str">
        <f t="shared" ca="1" si="2"/>
        <v/>
      </c>
      <c r="N44" s="84">
        <f ca="1">LN('Histogram Data'!K44+0.01)-LN(price)</f>
        <v>0.11192683332381481</v>
      </c>
      <c r="O44" s="84">
        <f ca="1">_xlfn.NORM.DIST(N44,0+0.03^3,AVERAGE('Valuation Model'!$K$22:$L$22),FALSE)/scaling</f>
        <v>0.28598334977981049</v>
      </c>
    </row>
    <row r="45" spans="10:15" s="79" customFormat="1" ht="12">
      <c r="J45" s="86">
        <f t="shared" si="3"/>
        <v>0.80000000000000038</v>
      </c>
      <c r="K45" s="84">
        <f t="shared" ca="1" si="0"/>
        <v>181.60000000000008</v>
      </c>
      <c r="L45" s="87">
        <f t="shared" ca="1" si="1"/>
        <v>6.25E-2</v>
      </c>
      <c r="M45" s="85" t="str">
        <f t="shared" ca="1" si="2"/>
        <v/>
      </c>
      <c r="N45" s="84">
        <f ca="1">LN('Histogram Data'!K45+0.01)-LN(price)</f>
        <v>0.13724322943609657</v>
      </c>
      <c r="O45" s="84">
        <f ca="1">_xlfn.NORM.DIST(N45,0+0.03^3,AVERAGE('Valuation Model'!$K$22:$L$22),FALSE)/scaling</f>
        <v>0.27223597958028239</v>
      </c>
    </row>
    <row r="46" spans="10:15" s="79" customFormat="1" ht="12">
      <c r="J46" s="86">
        <f t="shared" si="3"/>
        <v>0.8200000000000004</v>
      </c>
      <c r="K46" s="84">
        <f t="shared" ca="1" si="0"/>
        <v>186.1400000000001</v>
      </c>
      <c r="L46" s="87" t="str">
        <f t="shared" ca="1" si="1"/>
        <v/>
      </c>
      <c r="M46" s="85" t="str">
        <f t="shared" ca="1" si="2"/>
        <v/>
      </c>
      <c r="N46" s="84">
        <f ca="1">LN('Histogram Data'!K46+0.01)-LN(price)</f>
        <v>0.16193449902441603</v>
      </c>
      <c r="O46" s="84">
        <f ca="1">_xlfn.NORM.DIST(N46,0+0.03^3,AVERAGE('Valuation Model'!$K$22:$L$22),FALSE)/scaling</f>
        <v>0.25697434253017848</v>
      </c>
    </row>
    <row r="47" spans="10:15" s="79" customFormat="1" ht="12">
      <c r="J47" s="86">
        <f t="shared" si="3"/>
        <v>0.84000000000000041</v>
      </c>
      <c r="K47" s="84">
        <f t="shared" ca="1" si="0"/>
        <v>190.68000000000009</v>
      </c>
      <c r="L47" s="87">
        <f t="shared" ca="1" si="1"/>
        <v>6.25E-2</v>
      </c>
      <c r="M47" s="85" t="str">
        <f t="shared" ca="1" si="2"/>
        <v/>
      </c>
      <c r="N47" s="84">
        <f ca="1">LN('Histogram Data'!K47+0.01)-LN(price)</f>
        <v>0.18603077155222536</v>
      </c>
      <c r="O47" s="84">
        <f ca="1">_xlfn.NORM.DIST(N47,0+0.03^3,AVERAGE('Valuation Model'!$K$22:$L$22),FALSE)/scaling</f>
        <v>0.2406853351065168</v>
      </c>
    </row>
    <row r="48" spans="10:15" s="79" customFormat="1" ht="12">
      <c r="J48" s="86">
        <f t="shared" si="3"/>
        <v>0.86000000000000043</v>
      </c>
      <c r="K48" s="84">
        <f t="shared" ca="1" si="0"/>
        <v>195.22000000000008</v>
      </c>
      <c r="L48" s="87" t="str">
        <f t="shared" ca="1" si="1"/>
        <v/>
      </c>
      <c r="M48" s="85" t="str">
        <f t="shared" ca="1" si="2"/>
        <v/>
      </c>
      <c r="N48" s="84">
        <f ca="1">LN('Histogram Data'!K48+0.01)-LN(price)</f>
        <v>0.20956004940040085</v>
      </c>
      <c r="O48" s="84">
        <f ca="1">_xlfn.NORM.DIST(N48,0+0.03^3,AVERAGE('Valuation Model'!$K$22:$L$22),FALSE)/scaling</f>
        <v>0.22380879184611352</v>
      </c>
    </row>
    <row r="49" spans="10:15" s="79" customFormat="1" ht="12">
      <c r="J49" s="86">
        <f t="shared" si="3"/>
        <v>0.88000000000000045</v>
      </c>
      <c r="K49" s="84">
        <f t="shared" ca="1" si="0"/>
        <v>199.7600000000001</v>
      </c>
      <c r="L49" s="87" t="str">
        <f t="shared" ca="1" si="1"/>
        <v/>
      </c>
      <c r="M49" s="85" t="str">
        <f t="shared" ca="1" si="2"/>
        <v/>
      </c>
      <c r="N49" s="84">
        <f ca="1">LN('Histogram Data'!K49+0.01)-LN(price)</f>
        <v>0.2325484034963301</v>
      </c>
      <c r="O49" s="84">
        <f ca="1">_xlfn.NORM.DIST(N49,0+0.03^3,AVERAGE('Valuation Model'!$K$22:$L$22),FALSE)/scaling</f>
        <v>0.20672962964782018</v>
      </c>
    </row>
    <row r="50" spans="10:15" s="79" customFormat="1" ht="12">
      <c r="J50" s="86">
        <f t="shared" si="3"/>
        <v>0.90000000000000047</v>
      </c>
      <c r="K50" s="84">
        <f t="shared" ca="1" si="0"/>
        <v>204.3000000000001</v>
      </c>
      <c r="L50" s="87" t="str">
        <f t="shared" ca="1" si="1"/>
        <v/>
      </c>
      <c r="M50" s="85" t="str">
        <f t="shared" ca="1" si="2"/>
        <v/>
      </c>
      <c r="N50" s="84">
        <f ca="1">LN('Histogram Data'!K50+0.01)-LN(price)</f>
        <v>0.25502014695741071</v>
      </c>
      <c r="O50" s="84">
        <f ca="1">_xlfn.NORM.DIST(N50,0+0.03^3,AVERAGE('Valuation Model'!$K$22:$L$22),FALSE)/scaling</f>
        <v>0.18977431313617674</v>
      </c>
    </row>
    <row r="51" spans="10:15" s="79" customFormat="1" ht="12">
      <c r="J51" s="86">
        <f t="shared" si="3"/>
        <v>0.92000000000000048</v>
      </c>
      <c r="K51" s="84">
        <f t="shared" ca="1" si="0"/>
        <v>208.84000000000012</v>
      </c>
      <c r="L51" s="87" t="str">
        <f t="shared" ca="1" si="1"/>
        <v/>
      </c>
      <c r="M51" s="85" t="str">
        <f t="shared" ca="1" si="2"/>
        <v/>
      </c>
      <c r="N51" s="84">
        <f ca="1">LN('Histogram Data'!K51+0.01)-LN(price)</f>
        <v>0.27699798964887457</v>
      </c>
      <c r="O51" s="84">
        <f ca="1">_xlfn.NORM.DIST(N51,0+0.03^3,AVERAGE('Valuation Model'!$K$22:$L$22),FALSE)/scaling</f>
        <v>0.17321076234352334</v>
      </c>
    </row>
    <row r="52" spans="10:15" s="79" customFormat="1" ht="12">
      <c r="J52" s="86">
        <f t="shared" si="3"/>
        <v>0.9400000000000005</v>
      </c>
      <c r="K52" s="84">
        <f t="shared" ca="1" si="0"/>
        <v>213.38000000000011</v>
      </c>
      <c r="L52" s="87" t="str">
        <f t="shared" ca="1" si="1"/>
        <v/>
      </c>
      <c r="M52" s="85" t="str">
        <f t="shared" ca="1" si="2"/>
        <v/>
      </c>
      <c r="N52" s="84">
        <f ca="1">LN('Histogram Data'!K52+0.01)-LN(price)</f>
        <v>0.29850317611922339</v>
      </c>
      <c r="O52" s="84">
        <f ca="1">_xlfn.NORM.DIST(N52,0+0.03^3,AVERAGE('Valuation Model'!$K$22:$L$22),FALSE)/scaling</f>
        <v>0.15725084487442037</v>
      </c>
    </row>
    <row r="53" spans="10:15" s="79" customFormat="1" ht="12">
      <c r="J53" s="86">
        <f t="shared" si="3"/>
        <v>0.96000000000000052</v>
      </c>
      <c r="K53" s="84">
        <f t="shared" ca="1" si="0"/>
        <v>217.92000000000013</v>
      </c>
      <c r="L53" s="87">
        <f t="shared" ca="1" si="1"/>
        <v>6.25E-2</v>
      </c>
      <c r="M53" s="85" t="str">
        <f t="shared" ca="1" si="2"/>
        <v/>
      </c>
      <c r="N53" s="84">
        <f ca="1">LN('Histogram Data'!K53+0.01)-LN(price)</f>
        <v>0.31955560901340974</v>
      </c>
      <c r="O53" s="84">
        <f ca="1">_xlfn.NORM.DIST(N53,0+0.03^3,AVERAGE('Valuation Model'!$K$22:$L$22),FALSE)/scaling</f>
        <v>0.14205467170999037</v>
      </c>
    </row>
    <row r="54" spans="10:15" s="79" customFormat="1" ht="12">
      <c r="J54" s="86">
        <f t="shared" si="3"/>
        <v>0.98000000000000054</v>
      </c>
      <c r="K54" s="84">
        <f t="shared" ca="1" si="0"/>
        <v>222.46000000000012</v>
      </c>
      <c r="L54" s="87" t="str">
        <f t="shared" ca="1" si="1"/>
        <v/>
      </c>
      <c r="M54" s="85" t="str">
        <f t="shared" ca="1" si="2"/>
        <v/>
      </c>
      <c r="N54" s="84">
        <f ca="1">LN('Histogram Data'!K54+0.01)-LN(price)</f>
        <v>0.34017395976073228</v>
      </c>
      <c r="O54" s="84">
        <f ca="1">_xlfn.NORM.DIST(N54,0+0.03^3,AVERAGE('Valuation Model'!$K$22:$L$22),FALSE)/scaling</f>
        <v>0.12773602439723825</v>
      </c>
    </row>
    <row r="55" spans="10:15">
      <c r="J55" s="86">
        <f t="shared" si="3"/>
        <v>1.0000000000000004</v>
      </c>
      <c r="K55" s="84">
        <f t="shared" ca="1" si="0"/>
        <v>227.00000000000011</v>
      </c>
      <c r="L55" s="87" t="str">
        <f t="shared" ca="1" si="1"/>
        <v/>
      </c>
      <c r="M55" s="85" t="str">
        <f t="shared" ca="1" si="2"/>
        <v/>
      </c>
      <c r="N55" s="84">
        <f ca="1">LN('Histogram Data'!K55+0.01)-LN(price)</f>
        <v>0.36037576808022997</v>
      </c>
      <c r="O55" s="84">
        <f ca="1">_xlfn.NORM.DIST(N55,0+0.03^3,AVERAGE('Valuation Model'!$K$22:$L$22),FALSE)/scaling</f>
        <v>0.11436836278413332</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11</vt:i4>
      </vt:variant>
      <vt:variant>
        <vt:lpstr>Charts</vt:lpstr>
      </vt:variant>
      <vt:variant>
        <vt:i4>7</vt:i4>
      </vt:variant>
      <vt:variant>
        <vt:lpstr>Named Ranges</vt:lpstr>
      </vt:variant>
      <vt:variant>
        <vt:i4>44</vt:i4>
      </vt:variant>
    </vt:vector>
  </HeadingPairs>
  <TitlesOfParts>
    <vt:vector size="62" baseType="lpstr">
      <vt:lpstr>Valuation Model</vt:lpstr>
      <vt:lpstr>Company Analysis</vt:lpstr>
      <vt:lpstr>OCP Calculations</vt:lpstr>
      <vt:lpstr>Revenue Model</vt:lpstr>
      <vt:lpstr>Forecast Updates</vt:lpstr>
      <vt:lpstr>New Segments</vt:lpstr>
      <vt:lpstr>Old Segments</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2018-03-08T04:04:51Z</dcterms:modified>
</cp:coreProperties>
</file>