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omments3.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omments4.xml" ContentType="application/vnd.openxmlformats-officedocument.spreadsheetml.comments+xml"/>
  <Override PartName="/xl/drawings/drawing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23.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01"/>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UNP - Union Pacific/"/>
    </mc:Choice>
  </mc:AlternateContent>
  <xr:revisionPtr revIDLastSave="67" documentId="8_{0C132BA2-9F8B-4218-BACB-793392F84C9A}" xr6:coauthVersionLast="28" xr6:coauthVersionMax="28" xr10:uidLastSave="{007FAE58-1B04-4D1F-9365-5B38FC1768B3}"/>
  <bookViews>
    <workbookView xWindow="480" yWindow="0" windowWidth="18690" windowHeight="15" tabRatio="825" xr2:uid="{00000000-000D-0000-FFFF-FFFF00000000}"/>
  </bookViews>
  <sheets>
    <sheet name="Valuation Model" sheetId="1" r:id="rId1"/>
    <sheet name="Segments" sheetId="31" r:id="rId2"/>
    <sheet name="Revenue Model" sheetId="32" r:id="rId3"/>
    <sheet name="Company Analysis" sheetId="19" r:id="rId4"/>
    <sheet name="Graphing Data" sheetId="21" r:id="rId5"/>
    <sheet name="Revenue Chart" sheetId="22"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1" hidden="1">#REF!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1">#REF!</definedName>
    <definedName name="YF_Attributes">#REF!</definedName>
  </definedNames>
  <calcPr calcId="171027"/>
</workbook>
</file>

<file path=xl/calcChain.xml><?xml version="1.0" encoding="utf-8"?>
<calcChain xmlns="http://schemas.openxmlformats.org/spreadsheetml/2006/main">
  <c r="D9" i="1" l="1"/>
  <c r="E9" i="1"/>
  <c r="F9" i="1"/>
  <c r="G9" i="1"/>
  <c r="C9" i="1"/>
  <c r="D8" i="1"/>
  <c r="E8" i="1"/>
  <c r="F8" i="1"/>
  <c r="G8" i="1"/>
  <c r="C8" i="1"/>
  <c r="M148" i="32"/>
  <c r="M147" i="32"/>
  <c r="L116" i="32"/>
  <c r="L115" i="32"/>
  <c r="N96" i="32"/>
  <c r="O96" i="32" s="1"/>
  <c r="P96" i="32" s="1"/>
  <c r="Q96" i="32" s="1"/>
  <c r="G94" i="32"/>
  <c r="I79" i="32"/>
  <c r="L78" i="32"/>
  <c r="K78" i="32"/>
  <c r="M78" i="32" s="1"/>
  <c r="J78" i="32"/>
  <c r="I78" i="32"/>
  <c r="H78" i="32"/>
  <c r="G78" i="32"/>
  <c r="K79" i="32" s="1"/>
  <c r="F78" i="32"/>
  <c r="J79" i="32" s="1"/>
  <c r="E78" i="32"/>
  <c r="D78" i="32"/>
  <c r="D95" i="32" s="1"/>
  <c r="C78" i="32"/>
  <c r="G79" i="32" s="1"/>
  <c r="B78" i="32"/>
  <c r="L77" i="32"/>
  <c r="K77" i="32"/>
  <c r="J77" i="32"/>
  <c r="I77" i="32"/>
  <c r="I146" i="32" s="1"/>
  <c r="H77" i="32"/>
  <c r="G77" i="32"/>
  <c r="G146" i="32" s="1"/>
  <c r="F77" i="32"/>
  <c r="E77" i="32"/>
  <c r="E146" i="32" s="1"/>
  <c r="D77" i="32"/>
  <c r="C77" i="32"/>
  <c r="B77" i="32"/>
  <c r="C72" i="32"/>
  <c r="P62" i="32"/>
  <c r="Q62" i="32" s="1"/>
  <c r="O61" i="32"/>
  <c r="P61" i="32" s="1"/>
  <c r="Q61" i="32" s="1"/>
  <c r="N61" i="32"/>
  <c r="O58" i="32"/>
  <c r="P58" i="32" s="1"/>
  <c r="Q58" i="32" s="1"/>
  <c r="N58" i="32"/>
  <c r="O57" i="32"/>
  <c r="P57" i="32" s="1"/>
  <c r="Q57" i="32" s="1"/>
  <c r="N57" i="32"/>
  <c r="N55" i="32"/>
  <c r="O55" i="32" s="1"/>
  <c r="P55" i="32" s="1"/>
  <c r="Q55" i="32" s="1"/>
  <c r="P54" i="32"/>
  <c r="Q54" i="32" s="1"/>
  <c r="N53" i="32"/>
  <c r="O53" i="32" s="1"/>
  <c r="P53" i="32" s="1"/>
  <c r="Q53" i="32" s="1"/>
  <c r="O32" i="32"/>
  <c r="P32" i="32" s="1"/>
  <c r="Q32" i="32" s="1"/>
  <c r="N29" i="32"/>
  <c r="O29" i="32" s="1"/>
  <c r="P29" i="32" s="1"/>
  <c r="Q29" i="32" s="1"/>
  <c r="O25" i="32"/>
  <c r="P25" i="32" s="1"/>
  <c r="Q25" i="32" s="1"/>
  <c r="N25" i="32"/>
  <c r="O23" i="32"/>
  <c r="P23" i="32" s="1"/>
  <c r="Q23" i="32" s="1"/>
  <c r="N23" i="32"/>
  <c r="F17" i="32"/>
  <c r="F16" i="32"/>
  <c r="F15" i="32"/>
  <c r="F14" i="32"/>
  <c r="F13" i="32"/>
  <c r="F12" i="32"/>
  <c r="N9" i="32"/>
  <c r="L9" i="32"/>
  <c r="L17" i="32" s="1"/>
  <c r="K9" i="32"/>
  <c r="M9" i="32" s="1"/>
  <c r="J9" i="32"/>
  <c r="J17" i="32" s="1"/>
  <c r="I9" i="32"/>
  <c r="I17" i="32" s="1"/>
  <c r="H9" i="32"/>
  <c r="H17" i="32" s="1"/>
  <c r="G9" i="32"/>
  <c r="G17" i="32" s="1"/>
  <c r="F9" i="32"/>
  <c r="E9" i="32"/>
  <c r="E17" i="32" s="1"/>
  <c r="I25" i="32" s="1"/>
  <c r="I33" i="32" s="1"/>
  <c r="D9" i="32"/>
  <c r="D17" i="32" s="1"/>
  <c r="C9" i="32"/>
  <c r="C17" i="32" s="1"/>
  <c r="B9" i="32"/>
  <c r="B17" i="32" s="1"/>
  <c r="L8" i="32"/>
  <c r="L16" i="32" s="1"/>
  <c r="K8" i="32"/>
  <c r="J8" i="32"/>
  <c r="J16" i="32" s="1"/>
  <c r="I8" i="32"/>
  <c r="I16" i="32" s="1"/>
  <c r="H8" i="32"/>
  <c r="H16" i="32" s="1"/>
  <c r="G8" i="32"/>
  <c r="G16" i="32" s="1"/>
  <c r="F8" i="32"/>
  <c r="E8" i="32"/>
  <c r="E16" i="32" s="1"/>
  <c r="I24" i="32" s="1"/>
  <c r="I32" i="32" s="1"/>
  <c r="D8" i="32"/>
  <c r="D16" i="32" s="1"/>
  <c r="H24" i="32" s="1"/>
  <c r="H32" i="32" s="1"/>
  <c r="C8" i="32"/>
  <c r="C16" i="32" s="1"/>
  <c r="B8" i="32"/>
  <c r="B16" i="32" s="1"/>
  <c r="N7" i="32"/>
  <c r="L7" i="32"/>
  <c r="L15" i="32" s="1"/>
  <c r="K7" i="32"/>
  <c r="M7" i="32" s="1"/>
  <c r="J7" i="32"/>
  <c r="J15" i="32" s="1"/>
  <c r="I7" i="32"/>
  <c r="I15" i="32" s="1"/>
  <c r="H7" i="32"/>
  <c r="H15" i="32" s="1"/>
  <c r="G7" i="32"/>
  <c r="G15" i="32" s="1"/>
  <c r="F7" i="32"/>
  <c r="E7" i="32"/>
  <c r="E15" i="32" s="1"/>
  <c r="I23" i="32" s="1"/>
  <c r="I31" i="32" s="1"/>
  <c r="D7" i="32"/>
  <c r="D15" i="32" s="1"/>
  <c r="C7" i="32"/>
  <c r="C15" i="32" s="1"/>
  <c r="B7" i="32"/>
  <c r="B15" i="32" s="1"/>
  <c r="L6" i="32"/>
  <c r="L14" i="32" s="1"/>
  <c r="K6" i="32"/>
  <c r="J6" i="32"/>
  <c r="J14" i="32" s="1"/>
  <c r="I6" i="32"/>
  <c r="I14" i="32" s="1"/>
  <c r="H6" i="32"/>
  <c r="H14" i="32" s="1"/>
  <c r="G6" i="32"/>
  <c r="G14" i="32" s="1"/>
  <c r="F6" i="32"/>
  <c r="E6" i="32"/>
  <c r="E14" i="32" s="1"/>
  <c r="I22" i="32" s="1"/>
  <c r="I30" i="32" s="1"/>
  <c r="D6" i="32"/>
  <c r="D14" i="32" s="1"/>
  <c r="C6" i="32"/>
  <c r="C14" i="32" s="1"/>
  <c r="B6" i="32"/>
  <c r="B14" i="32" s="1"/>
  <c r="L5" i="32"/>
  <c r="L13" i="32" s="1"/>
  <c r="K5" i="32"/>
  <c r="J5" i="32"/>
  <c r="J13" i="32" s="1"/>
  <c r="I5" i="32"/>
  <c r="I13" i="32" s="1"/>
  <c r="H5" i="32"/>
  <c r="H13" i="32" s="1"/>
  <c r="G5" i="32"/>
  <c r="G13" i="32" s="1"/>
  <c r="F5" i="32"/>
  <c r="E5" i="32"/>
  <c r="E13" i="32" s="1"/>
  <c r="I21" i="32" s="1"/>
  <c r="I29" i="32" s="1"/>
  <c r="D5" i="32"/>
  <c r="D13" i="32" s="1"/>
  <c r="C5" i="32"/>
  <c r="C13" i="32" s="1"/>
  <c r="B5" i="32"/>
  <c r="B13" i="32" s="1"/>
  <c r="L4" i="32"/>
  <c r="L12" i="32" s="1"/>
  <c r="K4" i="32"/>
  <c r="J4" i="32"/>
  <c r="J12" i="32" s="1"/>
  <c r="I4" i="32"/>
  <c r="I12" i="32" s="1"/>
  <c r="H4" i="32"/>
  <c r="H12" i="32" s="1"/>
  <c r="G4" i="32"/>
  <c r="G12" i="32" s="1"/>
  <c r="F4" i="32"/>
  <c r="E4" i="32"/>
  <c r="E12" i="32" s="1"/>
  <c r="I20" i="32" s="1"/>
  <c r="I28" i="32" s="1"/>
  <c r="D4" i="32"/>
  <c r="D12" i="32" s="1"/>
  <c r="C4" i="32"/>
  <c r="C12" i="32" s="1"/>
  <c r="B4" i="32"/>
  <c r="B12" i="32" s="1"/>
  <c r="B114" i="31"/>
  <c r="L101" i="31"/>
  <c r="K101" i="31"/>
  <c r="J101" i="31"/>
  <c r="I101" i="31"/>
  <c r="H101" i="31"/>
  <c r="G101" i="31"/>
  <c r="F101" i="31"/>
  <c r="E101" i="31"/>
  <c r="L80" i="31"/>
  <c r="K80" i="31"/>
  <c r="J80" i="31"/>
  <c r="I80" i="31"/>
  <c r="H80" i="31"/>
  <c r="G80" i="31"/>
  <c r="F80" i="31"/>
  <c r="E80" i="31"/>
  <c r="D80" i="31"/>
  <c r="C80" i="31"/>
  <c r="L79" i="31"/>
  <c r="K79" i="31"/>
  <c r="J79" i="31"/>
  <c r="I79" i="31"/>
  <c r="H79" i="31"/>
  <c r="G79" i="31"/>
  <c r="F79" i="31"/>
  <c r="E79" i="31"/>
  <c r="D79" i="31"/>
  <c r="C79" i="31"/>
  <c r="L78" i="31"/>
  <c r="K78" i="31"/>
  <c r="J78" i="31"/>
  <c r="I78" i="31"/>
  <c r="H78" i="31"/>
  <c r="G78" i="31"/>
  <c r="F78" i="31"/>
  <c r="E78" i="31"/>
  <c r="D78" i="31"/>
  <c r="C78" i="31"/>
  <c r="L77" i="31"/>
  <c r="K77" i="31"/>
  <c r="J77" i="31"/>
  <c r="I77" i="31"/>
  <c r="H77" i="31"/>
  <c r="G77" i="31"/>
  <c r="F77" i="31"/>
  <c r="E77" i="31"/>
  <c r="D77" i="31"/>
  <c r="C77" i="31"/>
  <c r="L76" i="31"/>
  <c r="K76" i="31"/>
  <c r="J76" i="31"/>
  <c r="I76" i="31"/>
  <c r="H76" i="31"/>
  <c r="G76" i="31"/>
  <c r="F76" i="31"/>
  <c r="E76" i="31"/>
  <c r="D76" i="31"/>
  <c r="C76" i="31"/>
  <c r="L75" i="31"/>
  <c r="K75" i="31"/>
  <c r="J75" i="31"/>
  <c r="I75" i="31"/>
  <c r="H75" i="31"/>
  <c r="G75" i="31"/>
  <c r="F75" i="31"/>
  <c r="E75" i="31"/>
  <c r="D75" i="31"/>
  <c r="C75" i="31"/>
  <c r="L72" i="31"/>
  <c r="K72" i="31"/>
  <c r="J72" i="31"/>
  <c r="I72" i="31"/>
  <c r="H72" i="31"/>
  <c r="G72" i="31"/>
  <c r="L68" i="31"/>
  <c r="K68" i="31"/>
  <c r="J68" i="31"/>
  <c r="I68" i="31"/>
  <c r="H68" i="31"/>
  <c r="O68" i="31" s="1"/>
  <c r="M33" i="32" s="1"/>
  <c r="N33" i="32" s="1"/>
  <c r="O33" i="32" s="1"/>
  <c r="P33" i="32" s="1"/>
  <c r="Q33" i="32" s="1"/>
  <c r="G68" i="31"/>
  <c r="L67" i="31"/>
  <c r="K67" i="31"/>
  <c r="J67" i="31"/>
  <c r="I67" i="31"/>
  <c r="M67" i="31" s="1"/>
  <c r="H67" i="31"/>
  <c r="G67" i="31"/>
  <c r="O67" i="31" s="1"/>
  <c r="L66" i="31"/>
  <c r="K66" i="31"/>
  <c r="J66" i="31"/>
  <c r="I66" i="31"/>
  <c r="N66" i="31" s="1"/>
  <c r="H66" i="31"/>
  <c r="G66" i="31"/>
  <c r="O66" i="31" s="1"/>
  <c r="M31" i="32" s="1"/>
  <c r="N31" i="32" s="1"/>
  <c r="O31" i="32" s="1"/>
  <c r="P31" i="32" s="1"/>
  <c r="Q31" i="32" s="1"/>
  <c r="L65" i="31"/>
  <c r="K65" i="31"/>
  <c r="J65" i="31"/>
  <c r="I65" i="31"/>
  <c r="H65" i="31"/>
  <c r="G65" i="31"/>
  <c r="M65" i="31" s="1"/>
  <c r="M22" i="32" s="1"/>
  <c r="N22" i="32" s="1"/>
  <c r="O22" i="32" s="1"/>
  <c r="P22" i="32" s="1"/>
  <c r="Q22" i="32" s="1"/>
  <c r="L64" i="31"/>
  <c r="K64" i="31"/>
  <c r="J64" i="31"/>
  <c r="I64" i="31"/>
  <c r="H64" i="31"/>
  <c r="G64" i="31"/>
  <c r="L63" i="31"/>
  <c r="K63" i="31"/>
  <c r="J63" i="31"/>
  <c r="I63" i="31"/>
  <c r="M63" i="31" s="1"/>
  <c r="H63" i="31"/>
  <c r="G63" i="31"/>
  <c r="I43" i="31"/>
  <c r="E43" i="31"/>
  <c r="K42" i="31"/>
  <c r="G42" i="31"/>
  <c r="C42" i="31"/>
  <c r="C50" i="31" s="1"/>
  <c r="I39" i="31"/>
  <c r="E39" i="31"/>
  <c r="I29" i="31"/>
  <c r="P24" i="32" s="1"/>
  <c r="E29" i="31"/>
  <c r="L28" i="31"/>
  <c r="L75" i="32" s="1"/>
  <c r="K28" i="31"/>
  <c r="J28" i="31"/>
  <c r="J75" i="32" s="1"/>
  <c r="I28" i="31"/>
  <c r="I75" i="32" s="1"/>
  <c r="H28" i="31"/>
  <c r="G28" i="31"/>
  <c r="G44" i="31" s="1"/>
  <c r="F28" i="31"/>
  <c r="F75" i="32" s="1"/>
  <c r="E28" i="31"/>
  <c r="E75" i="32" s="1"/>
  <c r="D28" i="31"/>
  <c r="C28" i="31"/>
  <c r="C36" i="31" s="1"/>
  <c r="B28" i="31"/>
  <c r="B75" i="32" s="1"/>
  <c r="L27" i="31"/>
  <c r="L74" i="32" s="1"/>
  <c r="L91" i="32" s="1"/>
  <c r="L132" i="32" s="1"/>
  <c r="L135" i="32" s="1"/>
  <c r="L136" i="32" s="1"/>
  <c r="L137" i="32" s="1"/>
  <c r="K27" i="31"/>
  <c r="K74" i="32" s="1"/>
  <c r="K91" i="32" s="1"/>
  <c r="K132" i="32" s="1"/>
  <c r="J27" i="31"/>
  <c r="I27" i="31"/>
  <c r="H27" i="31"/>
  <c r="H74" i="32" s="1"/>
  <c r="H91" i="32" s="1"/>
  <c r="H132" i="32" s="1"/>
  <c r="G27" i="31"/>
  <c r="G74" i="32" s="1"/>
  <c r="G91" i="32" s="1"/>
  <c r="G132" i="32" s="1"/>
  <c r="F27" i="31"/>
  <c r="G43" i="31" s="1"/>
  <c r="E27" i="31"/>
  <c r="D27" i="31"/>
  <c r="D74" i="32" s="1"/>
  <c r="D91" i="32" s="1"/>
  <c r="D132" i="32" s="1"/>
  <c r="C27" i="31"/>
  <c r="C74" i="32" s="1"/>
  <c r="C91" i="32" s="1"/>
  <c r="C132" i="32" s="1"/>
  <c r="B27" i="31"/>
  <c r="L26" i="31"/>
  <c r="L73" i="32" s="1"/>
  <c r="K26" i="31"/>
  <c r="J26" i="31"/>
  <c r="J73" i="32" s="1"/>
  <c r="I26" i="31"/>
  <c r="I73" i="32" s="1"/>
  <c r="H26" i="31"/>
  <c r="H42" i="31" s="1"/>
  <c r="G26" i="31"/>
  <c r="F26" i="31"/>
  <c r="F73" i="32" s="1"/>
  <c r="E26" i="31"/>
  <c r="E73" i="32" s="1"/>
  <c r="D26" i="31"/>
  <c r="D42" i="31" s="1"/>
  <c r="C26" i="31"/>
  <c r="C73" i="32" s="1"/>
  <c r="B26" i="31"/>
  <c r="B73" i="32" s="1"/>
  <c r="L25" i="31"/>
  <c r="L72" i="32" s="1"/>
  <c r="K25" i="31"/>
  <c r="K72" i="32" s="1"/>
  <c r="J25" i="31"/>
  <c r="J41" i="31" s="1"/>
  <c r="I25" i="31"/>
  <c r="H25" i="31"/>
  <c r="H72" i="32" s="1"/>
  <c r="G25" i="31"/>
  <c r="G72" i="32" s="1"/>
  <c r="F25" i="31"/>
  <c r="F41" i="31" s="1"/>
  <c r="E25" i="31"/>
  <c r="D25" i="31"/>
  <c r="D72" i="32" s="1"/>
  <c r="C25" i="31"/>
  <c r="C33" i="31" s="1"/>
  <c r="B25" i="31"/>
  <c r="L24" i="31"/>
  <c r="L71" i="32" s="1"/>
  <c r="K24" i="31"/>
  <c r="J24" i="31"/>
  <c r="J71" i="32" s="1"/>
  <c r="I24" i="31"/>
  <c r="I71" i="32" s="1"/>
  <c r="H24" i="31"/>
  <c r="G24" i="31"/>
  <c r="F24" i="31"/>
  <c r="F71" i="32" s="1"/>
  <c r="E24" i="31"/>
  <c r="E71" i="32" s="1"/>
  <c r="D24" i="31"/>
  <c r="C24" i="31"/>
  <c r="C40" i="31" s="1"/>
  <c r="C48" i="31" s="1"/>
  <c r="B24" i="31"/>
  <c r="B71" i="32" s="1"/>
  <c r="L23" i="31"/>
  <c r="L70" i="32" s="1"/>
  <c r="K23" i="31"/>
  <c r="K70" i="32" s="1"/>
  <c r="J23" i="31"/>
  <c r="I23" i="31"/>
  <c r="H23" i="31"/>
  <c r="H70" i="32" s="1"/>
  <c r="G23" i="31"/>
  <c r="G70" i="32" s="1"/>
  <c r="F23" i="31"/>
  <c r="G39" i="31" s="1"/>
  <c r="E23" i="31"/>
  <c r="D23" i="31"/>
  <c r="D70" i="32" s="1"/>
  <c r="C23" i="31"/>
  <c r="C70" i="32" s="1"/>
  <c r="B23" i="31"/>
  <c r="L20" i="31"/>
  <c r="K20" i="31"/>
  <c r="J20" i="31"/>
  <c r="I20" i="31"/>
  <c r="H20" i="31"/>
  <c r="G20" i="31"/>
  <c r="M20" i="31" s="1"/>
  <c r="N77" i="32" s="1"/>
  <c r="F20" i="31"/>
  <c r="N20" i="31" s="1"/>
  <c r="N94" i="32" s="1"/>
  <c r="O16" i="31"/>
  <c r="O15" i="31"/>
  <c r="Q14" i="31"/>
  <c r="O14" i="31"/>
  <c r="O13" i="31"/>
  <c r="O12" i="31"/>
  <c r="O11" i="31"/>
  <c r="O7" i="31"/>
  <c r="N7" i="31"/>
  <c r="N147" i="32" l="1"/>
  <c r="O77" i="32"/>
  <c r="D50" i="31"/>
  <c r="E50" i="31" s="1"/>
  <c r="F50" i="31" s="1"/>
  <c r="G50" i="31" s="1"/>
  <c r="H50" i="31" s="1"/>
  <c r="I50" i="31" s="1"/>
  <c r="C39" i="32"/>
  <c r="C47" i="32" s="1"/>
  <c r="G20" i="32"/>
  <c r="G28" i="32" s="1"/>
  <c r="D48" i="31"/>
  <c r="E48" i="31" s="1"/>
  <c r="F48" i="31" s="1"/>
  <c r="G48" i="31" s="1"/>
  <c r="H48" i="31" s="1"/>
  <c r="I48" i="31" s="1"/>
  <c r="J48" i="31" s="1"/>
  <c r="K48" i="31" s="1"/>
  <c r="C42" i="32"/>
  <c r="C50" i="32" s="1"/>
  <c r="C125" i="32"/>
  <c r="C90" i="32"/>
  <c r="N148" i="32"/>
  <c r="O94" i="32"/>
  <c r="C104" i="32"/>
  <c r="C87" i="32"/>
  <c r="C81" i="32"/>
  <c r="J25" i="32"/>
  <c r="J33" i="32" s="1"/>
  <c r="J23" i="32"/>
  <c r="J31" i="32" s="1"/>
  <c r="B70" i="32"/>
  <c r="J70" i="32"/>
  <c r="K71" i="32"/>
  <c r="L118" i="32"/>
  <c r="L89" i="32"/>
  <c r="B74" i="32"/>
  <c r="B91" i="32" s="1"/>
  <c r="B132" i="32" s="1"/>
  <c r="C135" i="32" s="1"/>
  <c r="J74" i="32"/>
  <c r="J91" i="32" s="1"/>
  <c r="J132" i="32" s="1"/>
  <c r="J135" i="32" s="1"/>
  <c r="K75" i="32"/>
  <c r="B31" i="31"/>
  <c r="B37" i="32" s="1"/>
  <c r="B45" i="32" s="1"/>
  <c r="F31" i="31"/>
  <c r="C32" i="31"/>
  <c r="D33" i="31"/>
  <c r="H33" i="31"/>
  <c r="P13" i="31" s="1"/>
  <c r="E34" i="31"/>
  <c r="F35" i="31"/>
  <c r="G36" i="31"/>
  <c r="K36" i="31"/>
  <c r="K40" i="31"/>
  <c r="I41" i="31"/>
  <c r="Q13" i="31"/>
  <c r="G104" i="32"/>
  <c r="G87" i="32"/>
  <c r="K104" i="32"/>
  <c r="K87" i="32"/>
  <c r="D71" i="32"/>
  <c r="H71" i="32"/>
  <c r="H81" i="32" s="1"/>
  <c r="L111" i="32"/>
  <c r="L88" i="32"/>
  <c r="E72" i="32"/>
  <c r="I72" i="32"/>
  <c r="B125" i="32"/>
  <c r="B90" i="32"/>
  <c r="F125" i="32"/>
  <c r="F90" i="32"/>
  <c r="J125" i="32"/>
  <c r="J90" i="32"/>
  <c r="D75" i="32"/>
  <c r="H75" i="32"/>
  <c r="L139" i="32"/>
  <c r="L92" i="32"/>
  <c r="F29" i="31"/>
  <c r="M24" i="32" s="1"/>
  <c r="J29" i="31"/>
  <c r="C31" i="31"/>
  <c r="G31" i="31"/>
  <c r="K31" i="31"/>
  <c r="D32" i="31"/>
  <c r="H32" i="31"/>
  <c r="L32" i="31"/>
  <c r="E33" i="31"/>
  <c r="I33" i="31"/>
  <c r="B34" i="31"/>
  <c r="B40" i="32" s="1"/>
  <c r="B48" i="32" s="1"/>
  <c r="F34" i="31"/>
  <c r="J34" i="31"/>
  <c r="C35" i="31"/>
  <c r="G35" i="31"/>
  <c r="K35" i="31"/>
  <c r="D36" i="31"/>
  <c r="G60" i="31" s="1"/>
  <c r="H36" i="31"/>
  <c r="L36" i="31"/>
  <c r="F39" i="31"/>
  <c r="J39" i="31"/>
  <c r="D40" i="31"/>
  <c r="H40" i="31"/>
  <c r="L40" i="31"/>
  <c r="L42" i="31"/>
  <c r="F43" i="31"/>
  <c r="J43" i="31"/>
  <c r="D44" i="31"/>
  <c r="H44" i="31"/>
  <c r="L44" i="31"/>
  <c r="N64" i="31"/>
  <c r="M64" i="31"/>
  <c r="M21" i="32" s="1"/>
  <c r="N21" i="32" s="1"/>
  <c r="O21" i="32" s="1"/>
  <c r="P21" i="32" s="1"/>
  <c r="Q21" i="32" s="1"/>
  <c r="H118" i="32"/>
  <c r="H89" i="32"/>
  <c r="I125" i="32"/>
  <c r="I90" i="32"/>
  <c r="K32" i="31"/>
  <c r="B35" i="31"/>
  <c r="B41" i="32" s="1"/>
  <c r="B49" i="32" s="1"/>
  <c r="O7" i="32"/>
  <c r="O9" i="32"/>
  <c r="H21" i="32"/>
  <c r="H29" i="32" s="1"/>
  <c r="C89" i="32"/>
  <c r="C118" i="32"/>
  <c r="Q12" i="31"/>
  <c r="Q16" i="31"/>
  <c r="D104" i="32"/>
  <c r="D107" i="32" s="1"/>
  <c r="D81" i="32"/>
  <c r="D87" i="32"/>
  <c r="H104" i="32"/>
  <c r="H87" i="32"/>
  <c r="L81" i="32"/>
  <c r="L87" i="32"/>
  <c r="E111" i="32"/>
  <c r="E88" i="32"/>
  <c r="I111" i="32"/>
  <c r="I88" i="32"/>
  <c r="B72" i="32"/>
  <c r="F72" i="32"/>
  <c r="J72" i="32"/>
  <c r="G73" i="32"/>
  <c r="K73" i="32"/>
  <c r="D135" i="32"/>
  <c r="H135" i="32"/>
  <c r="E139" i="32"/>
  <c r="E92" i="32"/>
  <c r="I139" i="32"/>
  <c r="I92" i="32"/>
  <c r="C29" i="31"/>
  <c r="G29" i="31"/>
  <c r="N24" i="32" s="1"/>
  <c r="K29" i="31"/>
  <c r="D31" i="31"/>
  <c r="H31" i="31"/>
  <c r="L31" i="31"/>
  <c r="E32" i="31"/>
  <c r="I32" i="31"/>
  <c r="B33" i="31"/>
  <c r="B39" i="32" s="1"/>
  <c r="B47" i="32" s="1"/>
  <c r="F33" i="31"/>
  <c r="J33" i="31"/>
  <c r="C34" i="31"/>
  <c r="G34" i="31"/>
  <c r="K34" i="31"/>
  <c r="D35" i="31"/>
  <c r="H35" i="31"/>
  <c r="L35" i="31"/>
  <c r="E36" i="31"/>
  <c r="I36" i="31"/>
  <c r="C39" i="31"/>
  <c r="C47" i="31" s="1"/>
  <c r="K39" i="31"/>
  <c r="E40" i="31"/>
  <c r="I40" i="31"/>
  <c r="C41" i="31"/>
  <c r="C49" i="31" s="1"/>
  <c r="G41" i="31"/>
  <c r="K41" i="31"/>
  <c r="E42" i="31"/>
  <c r="I42" i="31"/>
  <c r="C43" i="31"/>
  <c r="C51" i="31" s="1"/>
  <c r="K43" i="31"/>
  <c r="E44" i="31"/>
  <c r="I44" i="31"/>
  <c r="O63" i="31"/>
  <c r="M28" i="32" s="1"/>
  <c r="N28" i="32" s="1"/>
  <c r="O28" i="32" s="1"/>
  <c r="P28" i="32" s="1"/>
  <c r="Q28" i="32" s="1"/>
  <c r="N65" i="31"/>
  <c r="M66" i="31"/>
  <c r="G21" i="32"/>
  <c r="G29" i="32" s="1"/>
  <c r="G22" i="32"/>
  <c r="G30" i="32" s="1"/>
  <c r="K22" i="32"/>
  <c r="K30" i="32" s="1"/>
  <c r="M6" i="32"/>
  <c r="G23" i="32"/>
  <c r="G31" i="32" s="1"/>
  <c r="G24" i="32"/>
  <c r="G32" i="32" s="1"/>
  <c r="M8" i="32"/>
  <c r="G25" i="32"/>
  <c r="G33" i="32" s="1"/>
  <c r="J20" i="32"/>
  <c r="J28" i="32" s="1"/>
  <c r="J21" i="32"/>
  <c r="J29" i="32" s="1"/>
  <c r="J22" i="32"/>
  <c r="J30" i="32" s="1"/>
  <c r="J24" i="32"/>
  <c r="J32" i="32" s="1"/>
  <c r="L104" i="32"/>
  <c r="L107" i="32" s="1"/>
  <c r="L108" i="32" s="1"/>
  <c r="L109" i="32" s="1"/>
  <c r="F70" i="32"/>
  <c r="G71" i="32"/>
  <c r="D118" i="32"/>
  <c r="D121" i="32" s="1"/>
  <c r="D89" i="32"/>
  <c r="E125" i="32"/>
  <c r="E90" i="32"/>
  <c r="F74" i="32"/>
  <c r="F91" i="32" s="1"/>
  <c r="F132" i="32" s="1"/>
  <c r="F135" i="32" s="1"/>
  <c r="G75" i="32"/>
  <c r="J31" i="31"/>
  <c r="G32" i="31"/>
  <c r="L33" i="31"/>
  <c r="I34" i="31"/>
  <c r="J35" i="31"/>
  <c r="G40" i="31"/>
  <c r="E41" i="31"/>
  <c r="C44" i="31"/>
  <c r="C52" i="31" s="1"/>
  <c r="K44" i="31"/>
  <c r="Q11" i="31"/>
  <c r="Q15" i="31"/>
  <c r="E70" i="32"/>
  <c r="I70" i="32"/>
  <c r="B111" i="32"/>
  <c r="B88" i="32"/>
  <c r="F111" i="32"/>
  <c r="F114" i="32" s="1"/>
  <c r="F88" i="32"/>
  <c r="J111" i="32"/>
  <c r="J114" i="32" s="1"/>
  <c r="J88" i="32"/>
  <c r="G118" i="32"/>
  <c r="G89" i="32"/>
  <c r="K89" i="32"/>
  <c r="K118" i="32"/>
  <c r="D73" i="32"/>
  <c r="H73" i="32"/>
  <c r="L125" i="32"/>
  <c r="L90" i="32"/>
  <c r="E74" i="32"/>
  <c r="E91" i="32" s="1"/>
  <c r="E132" i="32" s="1"/>
  <c r="E135" i="32" s="1"/>
  <c r="I74" i="32"/>
  <c r="I91" i="32" s="1"/>
  <c r="I132" i="32" s="1"/>
  <c r="I135" i="32" s="1"/>
  <c r="B139" i="32"/>
  <c r="B92" i="32"/>
  <c r="F139" i="32"/>
  <c r="F92" i="32"/>
  <c r="J139" i="32"/>
  <c r="J142" i="32" s="1"/>
  <c r="J92" i="32"/>
  <c r="D29" i="31"/>
  <c r="H29" i="31"/>
  <c r="O24" i="32" s="1"/>
  <c r="L29" i="31"/>
  <c r="E31" i="31"/>
  <c r="I31" i="31"/>
  <c r="B32" i="31"/>
  <c r="B38" i="32" s="1"/>
  <c r="B46" i="32" s="1"/>
  <c r="F32" i="31"/>
  <c r="J32" i="31"/>
  <c r="G33" i="31"/>
  <c r="K33" i="31"/>
  <c r="D34" i="31"/>
  <c r="H34" i="31"/>
  <c r="L34" i="31"/>
  <c r="E35" i="31"/>
  <c r="I35" i="31"/>
  <c r="B36" i="31"/>
  <c r="B42" i="32" s="1"/>
  <c r="B50" i="32" s="1"/>
  <c r="F36" i="31"/>
  <c r="J36" i="31"/>
  <c r="D39" i="31"/>
  <c r="H39" i="31"/>
  <c r="L39" i="31"/>
  <c r="F40" i="31"/>
  <c r="J40" i="31"/>
  <c r="D41" i="31"/>
  <c r="H41" i="31"/>
  <c r="L41" i="31"/>
  <c r="F42" i="31"/>
  <c r="J42" i="31"/>
  <c r="D43" i="31"/>
  <c r="H43" i="31"/>
  <c r="L43" i="31"/>
  <c r="F44" i="31"/>
  <c r="J44" i="31"/>
  <c r="O64" i="31"/>
  <c r="O65" i="31"/>
  <c r="M30" i="32" s="1"/>
  <c r="N30" i="32" s="1"/>
  <c r="O30" i="32" s="1"/>
  <c r="P30" i="32" s="1"/>
  <c r="Q30" i="32" s="1"/>
  <c r="N68" i="31"/>
  <c r="M68" i="31"/>
  <c r="H20" i="32"/>
  <c r="H28" i="32" s="1"/>
  <c r="H22" i="32"/>
  <c r="H30" i="32" s="1"/>
  <c r="H23" i="32"/>
  <c r="H31" i="32" s="1"/>
  <c r="H25" i="32"/>
  <c r="H33" i="32" s="1"/>
  <c r="C71" i="32"/>
  <c r="C75" i="32"/>
  <c r="K12" i="32"/>
  <c r="M12" i="32" s="1"/>
  <c r="N12" i="32" s="1"/>
  <c r="O12" i="32" s="1"/>
  <c r="P12" i="32" s="1"/>
  <c r="Q12" i="32" s="1"/>
  <c r="K13" i="32"/>
  <c r="M13" i="32" s="1"/>
  <c r="N13" i="32" s="1"/>
  <c r="O13" i="32" s="1"/>
  <c r="P13" i="32" s="1"/>
  <c r="Q13" i="32" s="1"/>
  <c r="K14" i="32"/>
  <c r="M14" i="32" s="1"/>
  <c r="N14" i="32" s="1"/>
  <c r="O14" i="32" s="1"/>
  <c r="P14" i="32" s="1"/>
  <c r="Q14" i="32" s="1"/>
  <c r="K15" i="32"/>
  <c r="M15" i="32" s="1"/>
  <c r="N15" i="32" s="1"/>
  <c r="O15" i="32" s="1"/>
  <c r="P15" i="32" s="1"/>
  <c r="Q15" i="32" s="1"/>
  <c r="K16" i="32"/>
  <c r="M16" i="32" s="1"/>
  <c r="N16" i="32" s="1"/>
  <c r="O16" i="32" s="1"/>
  <c r="P16" i="32" s="1"/>
  <c r="Q16" i="32" s="1"/>
  <c r="K17" i="32"/>
  <c r="M17" i="32" s="1"/>
  <c r="N17" i="32" s="1"/>
  <c r="O17" i="32" s="1"/>
  <c r="P17" i="32" s="1"/>
  <c r="Q17" i="32" s="1"/>
  <c r="C146" i="32"/>
  <c r="C94" i="32"/>
  <c r="K146" i="32"/>
  <c r="K94" i="32"/>
  <c r="M151" i="32"/>
  <c r="N78" i="32"/>
  <c r="N63" i="31"/>
  <c r="M20" i="32" s="1"/>
  <c r="N20" i="32" s="1"/>
  <c r="O20" i="32" s="1"/>
  <c r="P20" i="32" s="1"/>
  <c r="Q20" i="32" s="1"/>
  <c r="N67" i="31"/>
  <c r="H79" i="32"/>
  <c r="D150" i="32"/>
  <c r="H150" i="32"/>
  <c r="H153" i="32" s="1"/>
  <c r="L79" i="32"/>
  <c r="H95" i="32"/>
  <c r="L150" i="32"/>
  <c r="L95" i="32"/>
  <c r="D146" i="32"/>
  <c r="D94" i="32"/>
  <c r="H146" i="32"/>
  <c r="H94" i="32"/>
  <c r="L146" i="32"/>
  <c r="L94" i="32"/>
  <c r="E150" i="32"/>
  <c r="E153" i="32" s="1"/>
  <c r="E95" i="32"/>
  <c r="I96" i="32" s="1"/>
  <c r="I150" i="32"/>
  <c r="I95" i="32"/>
  <c r="I94" i="32"/>
  <c r="B150" i="32"/>
  <c r="B95" i="32"/>
  <c r="F150" i="32"/>
  <c r="F153" i="32" s="1"/>
  <c r="F95" i="32"/>
  <c r="J150" i="32"/>
  <c r="J153" i="32" s="1"/>
  <c r="J95" i="32"/>
  <c r="B94" i="32"/>
  <c r="B146" i="32"/>
  <c r="F146" i="32"/>
  <c r="F94" i="32"/>
  <c r="J94" i="32"/>
  <c r="J146" i="32"/>
  <c r="C150" i="32"/>
  <c r="C153" i="32" s="1"/>
  <c r="C95" i="32"/>
  <c r="G150" i="32"/>
  <c r="G153" i="32" s="1"/>
  <c r="G95" i="32"/>
  <c r="K150" i="32"/>
  <c r="K153" i="32" s="1"/>
  <c r="K154" i="32" s="1"/>
  <c r="K155" i="32" s="1"/>
  <c r="K95" i="32"/>
  <c r="M95" i="32" s="1"/>
  <c r="E94" i="32"/>
  <c r="C26" i="21"/>
  <c r="D26" i="21"/>
  <c r="E26" i="21"/>
  <c r="F26" i="21"/>
  <c r="G26" i="21"/>
  <c r="H26" i="21"/>
  <c r="I26" i="21"/>
  <c r="J26" i="21"/>
  <c r="K26" i="21"/>
  <c r="B26" i="21"/>
  <c r="G3" i="1"/>
  <c r="B103" i="1" s="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2" i="21"/>
  <c r="E5" i="21" s="1"/>
  <c r="F2" i="21"/>
  <c r="F5" i="21" s="1"/>
  <c r="G2" i="21"/>
  <c r="H2" i="21"/>
  <c r="I2" i="21"/>
  <c r="I5" i="21" s="1"/>
  <c r="J2" i="21"/>
  <c r="J5" i="21" s="1"/>
  <c r="K2" i="21"/>
  <c r="B2" i="21"/>
  <c r="H5" i="21"/>
  <c r="D5" i="21"/>
  <c r="C5" i="21"/>
  <c r="L4" i="21"/>
  <c r="L12" i="21" s="1"/>
  <c r="L32" i="21" s="1"/>
  <c r="K5" i="21"/>
  <c r="K7" i="21" s="1"/>
  <c r="L3" i="21"/>
  <c r="M3" i="21" s="1"/>
  <c r="C2" i="19"/>
  <c r="C1" i="21" s="1"/>
  <c r="D2" i="19"/>
  <c r="D1" i="21"/>
  <c r="D37" i="21" s="1"/>
  <c r="E2" i="19"/>
  <c r="E1" i="21" s="1"/>
  <c r="F2" i="19"/>
  <c r="F1" i="21"/>
  <c r="F29" i="21" s="1"/>
  <c r="G2" i="19"/>
  <c r="G1" i="21" s="1"/>
  <c r="H2" i="19"/>
  <c r="H1" i="21"/>
  <c r="H29" i="21" s="1"/>
  <c r="I2" i="19"/>
  <c r="I1" i="21" s="1"/>
  <c r="J2" i="19"/>
  <c r="J1" i="21"/>
  <c r="J29" i="21" s="1"/>
  <c r="K2" i="19"/>
  <c r="K1" i="21" s="1"/>
  <c r="B2" i="19"/>
  <c r="B38" i="19" s="1"/>
  <c r="B39" i="19" s="1"/>
  <c r="B1" i="21"/>
  <c r="B29" i="21" s="1"/>
  <c r="J37" i="21"/>
  <c r="B37" i="21"/>
  <c r="D9" i="21"/>
  <c r="D17" i="21" s="1"/>
  <c r="D21" i="21" s="1"/>
  <c r="K38" i="19"/>
  <c r="K39" i="19" s="1"/>
  <c r="G38" i="19"/>
  <c r="G39" i="19"/>
  <c r="C38" i="19"/>
  <c r="C39" i="19" s="1"/>
  <c r="E42" i="19" s="1"/>
  <c r="K27" i="19"/>
  <c r="K27" i="21" s="1"/>
  <c r="J27" i="19"/>
  <c r="J27" i="21" s="1"/>
  <c r="I27" i="19"/>
  <c r="I27" i="21"/>
  <c r="H27" i="19"/>
  <c r="H27" i="21" s="1"/>
  <c r="G27" i="19"/>
  <c r="G27" i="21" s="1"/>
  <c r="F27" i="19"/>
  <c r="F27" i="21" s="1"/>
  <c r="E27" i="19"/>
  <c r="E27" i="21" s="1"/>
  <c r="D27" i="19"/>
  <c r="D27" i="21" s="1"/>
  <c r="C27" i="19"/>
  <c r="C27" i="21" s="1"/>
  <c r="B27" i="19"/>
  <c r="B27" i="21" s="1"/>
  <c r="K19" i="19"/>
  <c r="J19" i="19"/>
  <c r="J28" i="19" s="1"/>
  <c r="I19" i="19"/>
  <c r="H19" i="19"/>
  <c r="G19" i="19"/>
  <c r="G22" i="21" s="1"/>
  <c r="F19" i="19"/>
  <c r="F22" i="21" s="1"/>
  <c r="E19" i="19"/>
  <c r="D19" i="19"/>
  <c r="C19" i="19"/>
  <c r="C22" i="21" s="1"/>
  <c r="B19" i="19"/>
  <c r="B22" i="21" s="1"/>
  <c r="H17" i="19"/>
  <c r="D17" i="19"/>
  <c r="K11" i="19"/>
  <c r="K12" i="19" s="1"/>
  <c r="K10" i="21"/>
  <c r="K38" i="21" s="1"/>
  <c r="J11" i="19"/>
  <c r="I11" i="19"/>
  <c r="H11" i="19"/>
  <c r="H10" i="21" s="1"/>
  <c r="G11" i="19"/>
  <c r="G10" i="21" s="1"/>
  <c r="F11" i="19"/>
  <c r="E11" i="19"/>
  <c r="E10" i="21" s="1"/>
  <c r="D11" i="19"/>
  <c r="D10" i="21" s="1"/>
  <c r="C11" i="19"/>
  <c r="C10" i="21" s="1"/>
  <c r="C38" i="21" s="1"/>
  <c r="B11" i="19"/>
  <c r="B12" i="19" s="1"/>
  <c r="K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H31" i="19"/>
  <c r="G17" i="19"/>
  <c r="F38" i="19"/>
  <c r="F39" i="19" s="1"/>
  <c r="E31" i="19"/>
  <c r="D31" i="19"/>
  <c r="C17" i="19"/>
  <c r="D22" i="21"/>
  <c r="H22" i="21"/>
  <c r="E22" i="21"/>
  <c r="I22" i="21"/>
  <c r="I28" i="19"/>
  <c r="I29" i="19" s="1"/>
  <c r="G12" i="19"/>
  <c r="I10" i="21"/>
  <c r="I18" i="21" s="1"/>
  <c r="I38" i="21"/>
  <c r="B10" i="21"/>
  <c r="B13" i="21" s="1"/>
  <c r="B38" i="21"/>
  <c r="B39" i="21" s="1"/>
  <c r="F12" i="19"/>
  <c r="F10" i="21"/>
  <c r="F38" i="21"/>
  <c r="J12" i="19"/>
  <c r="J10" i="21"/>
  <c r="J38" i="21" s="1"/>
  <c r="C12" i="19"/>
  <c r="F13" i="19"/>
  <c r="F41" i="19"/>
  <c r="D8" i="19"/>
  <c r="H8" i="19"/>
  <c r="H12" i="19"/>
  <c r="C13" i="19"/>
  <c r="C41" i="19" s="1"/>
  <c r="K13" i="19"/>
  <c r="K41" i="19" s="1"/>
  <c r="E17" i="19"/>
  <c r="I17" i="19"/>
  <c r="C31" i="19"/>
  <c r="G31" i="19"/>
  <c r="K31" i="19"/>
  <c r="D38" i="19"/>
  <c r="D39" i="19" s="1"/>
  <c r="H38" i="19"/>
  <c r="H39" i="19"/>
  <c r="B17" i="19"/>
  <c r="F17" i="19"/>
  <c r="J17" i="19"/>
  <c r="E38" i="19"/>
  <c r="E39" i="19" s="1"/>
  <c r="J13" i="19"/>
  <c r="J41" i="19" s="1"/>
  <c r="F31" i="19"/>
  <c r="J31" i="19"/>
  <c r="E12" i="19"/>
  <c r="I12" i="19"/>
  <c r="B8" i="19"/>
  <c r="F8" i="19"/>
  <c r="J8" i="19"/>
  <c r="H6" i="17"/>
  <c r="H9" i="17"/>
  <c r="H7" i="17"/>
  <c r="E7" i="17" s="1"/>
  <c r="G7" i="17"/>
  <c r="G6" i="17"/>
  <c r="G9" i="17"/>
  <c r="G8" i="17"/>
  <c r="G11" i="17"/>
  <c r="G10" i="17"/>
  <c r="G12" i="17"/>
  <c r="G5" i="17"/>
  <c r="E12" i="17" s="1"/>
  <c r="H5" i="17"/>
  <c r="C2" i="1"/>
  <c r="H8" i="17"/>
  <c r="E8" i="17" s="1"/>
  <c r="H10" i="17"/>
  <c r="E10" i="17" s="1"/>
  <c r="H11" i="17"/>
  <c r="H12" i="17"/>
  <c r="J7" i="17"/>
  <c r="F18" i="21"/>
  <c r="B18" i="21"/>
  <c r="E6"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B51" i="1"/>
  <c r="J44" i="17"/>
  <c r="B45" i="1"/>
  <c r="B46" i="1"/>
  <c r="J45" i="17"/>
  <c r="C25" i="1"/>
  <c r="C42" i="1" s="1"/>
  <c r="D25" i="1"/>
  <c r="D42" i="1"/>
  <c r="E25" i="1"/>
  <c r="E42" i="1" s="1"/>
  <c r="F25" i="1"/>
  <c r="B47" i="1"/>
  <c r="B48" i="1"/>
  <c r="B25" i="1"/>
  <c r="B42" i="1" s="1"/>
  <c r="B125" i="1"/>
  <c r="B126" i="1" s="1"/>
  <c r="B127" i="1" s="1"/>
  <c r="B114" i="1"/>
  <c r="B115" i="1" s="1"/>
  <c r="B116" i="1" s="1"/>
  <c r="B81" i="1"/>
  <c r="C81" i="1" s="1"/>
  <c r="B70" i="1"/>
  <c r="C70" i="1" s="1"/>
  <c r="C71" i="1" s="1"/>
  <c r="C72" i="1" s="1"/>
  <c r="B37" i="1"/>
  <c r="B38" i="1"/>
  <c r="B36" i="1"/>
  <c r="J46" i="17"/>
  <c r="I11" i="1"/>
  <c r="B26" i="1"/>
  <c r="C26" i="1" s="1"/>
  <c r="J47" i="17"/>
  <c r="I9" i="1"/>
  <c r="B12" i="17" s="1"/>
  <c r="I8" i="1"/>
  <c r="B9" i="17" s="1"/>
  <c r="I7" i="1"/>
  <c r="B11" i="17" s="1"/>
  <c r="I6" i="1"/>
  <c r="B7" i="17" s="1"/>
  <c r="I2" i="1"/>
  <c r="B5" i="17" s="1"/>
  <c r="I4" i="1"/>
  <c r="B6" i="17" s="1"/>
  <c r="I5" i="1"/>
  <c r="B10" i="17" s="1"/>
  <c r="I3" i="1"/>
  <c r="B8" i="17" s="1"/>
  <c r="J48" i="17"/>
  <c r="C114" i="1"/>
  <c r="D114" i="1" s="1"/>
  <c r="D18" i="1"/>
  <c r="F85" i="1" s="1"/>
  <c r="D17" i="1"/>
  <c r="F140" i="1" s="1"/>
  <c r="E21" i="1"/>
  <c r="J49" i="17"/>
  <c r="J50" i="17"/>
  <c r="B71" i="1"/>
  <c r="B72" i="1" s="1"/>
  <c r="F42" i="1"/>
  <c r="J51" i="17"/>
  <c r="D70" i="1"/>
  <c r="E70" i="1" s="1"/>
  <c r="E71" i="1" s="1"/>
  <c r="E72" i="1" s="1"/>
  <c r="J52" i="17"/>
  <c r="J53" i="17"/>
  <c r="J54" i="17"/>
  <c r="J55" i="17"/>
  <c r="E11" i="17" l="1"/>
  <c r="E9" i="17"/>
  <c r="E5" i="17"/>
  <c r="M4" i="21"/>
  <c r="H83" i="32"/>
  <c r="J38" i="32"/>
  <c r="J46" i="32" s="1"/>
  <c r="J84" i="31"/>
  <c r="J91" i="31" s="1"/>
  <c r="L41" i="32"/>
  <c r="L49" i="32" s="1"/>
  <c r="L87" i="31"/>
  <c r="L94" i="31" s="1"/>
  <c r="G40" i="32"/>
  <c r="G48" i="32" s="1"/>
  <c r="K58" i="31"/>
  <c r="G86" i="31"/>
  <c r="G93" i="31" s="1"/>
  <c r="G99" i="31" s="1"/>
  <c r="L55" i="31"/>
  <c r="H83" i="31"/>
  <c r="H90" i="31" s="1"/>
  <c r="H37" i="32"/>
  <c r="H45" i="32" s="1"/>
  <c r="K125" i="32"/>
  <c r="K128" i="32" s="1"/>
  <c r="K129" i="32" s="1"/>
  <c r="K130" i="32" s="1"/>
  <c r="K90" i="32"/>
  <c r="D83" i="32"/>
  <c r="D82" i="32"/>
  <c r="I128" i="32"/>
  <c r="K41" i="32"/>
  <c r="K87" i="31"/>
  <c r="K94" i="31" s="1"/>
  <c r="G37" i="32"/>
  <c r="G45" i="32" s="1"/>
  <c r="G83" i="31"/>
  <c r="G90" i="31" s="1"/>
  <c r="K55" i="31"/>
  <c r="E118" i="32"/>
  <c r="E121" i="32" s="1"/>
  <c r="E89" i="32"/>
  <c r="G107" i="32"/>
  <c r="C88" i="31"/>
  <c r="C95" i="31" s="1"/>
  <c r="C98" i="31" s="1"/>
  <c r="J50" i="31"/>
  <c r="K50" i="31" s="1"/>
  <c r="L50" i="31" s="1"/>
  <c r="K96" i="32"/>
  <c r="J96" i="32"/>
  <c r="L153" i="32"/>
  <c r="L154" i="32" s="1"/>
  <c r="L155" i="32" s="1"/>
  <c r="D153" i="32"/>
  <c r="H156" i="32" s="1"/>
  <c r="N151" i="32"/>
  <c r="N154" i="32" s="1"/>
  <c r="O78" i="32"/>
  <c r="C139" i="32"/>
  <c r="C142" i="32" s="1"/>
  <c r="C92" i="32"/>
  <c r="L23" i="32"/>
  <c r="L31" i="32" s="1"/>
  <c r="L20" i="32"/>
  <c r="L28" i="32" s="1"/>
  <c r="I41" i="32"/>
  <c r="I49" i="32" s="1"/>
  <c r="I87" i="31"/>
  <c r="I94" i="31" s="1"/>
  <c r="D40" i="32"/>
  <c r="D48" i="32" s="1"/>
  <c r="D86" i="31"/>
  <c r="D93" i="31" s="1"/>
  <c r="D99" i="31" s="1"/>
  <c r="H58" i="31"/>
  <c r="F38" i="32"/>
  <c r="F46" i="32" s="1"/>
  <c r="F84" i="31"/>
  <c r="F91" i="31" s="1"/>
  <c r="J56" i="31"/>
  <c r="H125" i="32"/>
  <c r="H90" i="32"/>
  <c r="E104" i="32"/>
  <c r="E107" i="32" s="1"/>
  <c r="E81" i="32"/>
  <c r="E87" i="32"/>
  <c r="E98" i="32" s="1"/>
  <c r="D52" i="31"/>
  <c r="E52" i="31" s="1"/>
  <c r="F52" i="31" s="1"/>
  <c r="G52" i="31" s="1"/>
  <c r="H52" i="31" s="1"/>
  <c r="I52" i="31" s="1"/>
  <c r="J52" i="31" s="1"/>
  <c r="K52" i="31" s="1"/>
  <c r="L52" i="31" s="1"/>
  <c r="I40" i="32"/>
  <c r="I48" i="32" s="1"/>
  <c r="I86" i="31"/>
  <c r="I93" i="31" s="1"/>
  <c r="I99" i="31" s="1"/>
  <c r="G139" i="32"/>
  <c r="G142" i="32" s="1"/>
  <c r="G92" i="32"/>
  <c r="G111" i="32"/>
  <c r="G114" i="32" s="1"/>
  <c r="G88" i="32"/>
  <c r="N8" i="32"/>
  <c r="K23" i="32"/>
  <c r="K31" i="32" s="1"/>
  <c r="M4" i="32"/>
  <c r="N49" i="31"/>
  <c r="D49" i="31"/>
  <c r="E49" i="31" s="1"/>
  <c r="F49" i="31" s="1"/>
  <c r="G49" i="31" s="1"/>
  <c r="H49" i="31" s="1"/>
  <c r="I49" i="31" s="1"/>
  <c r="J49" i="31" s="1"/>
  <c r="K49" i="31" s="1"/>
  <c r="L49" i="31" s="1"/>
  <c r="D47" i="31"/>
  <c r="E47" i="31" s="1"/>
  <c r="F47" i="31" s="1"/>
  <c r="G47" i="31" s="1"/>
  <c r="H47" i="31" s="1"/>
  <c r="I47" i="31" s="1"/>
  <c r="J47" i="31" s="1"/>
  <c r="K47" i="31" s="1"/>
  <c r="L47" i="31" s="1"/>
  <c r="L59" i="31"/>
  <c r="H87" i="31"/>
  <c r="H94" i="31" s="1"/>
  <c r="H41" i="32"/>
  <c r="H49" i="32" s="1"/>
  <c r="C40" i="32"/>
  <c r="C48" i="32" s="1"/>
  <c r="C86" i="31"/>
  <c r="C93" i="31" s="1"/>
  <c r="C99" i="31" s="1"/>
  <c r="P14" i="31"/>
  <c r="G58" i="31"/>
  <c r="I38" i="32"/>
  <c r="I46" i="32" s="1"/>
  <c r="I84" i="31"/>
  <c r="I91" i="31" s="1"/>
  <c r="D37" i="32"/>
  <c r="D45" i="32" s="1"/>
  <c r="H55" i="31"/>
  <c r="D83" i="31"/>
  <c r="D90" i="31" s="1"/>
  <c r="G125" i="32"/>
  <c r="G128" i="32" s="1"/>
  <c r="G90" i="32"/>
  <c r="J118" i="32"/>
  <c r="J89" i="32"/>
  <c r="B118" i="32"/>
  <c r="C121" i="32" s="1"/>
  <c r="B89" i="32"/>
  <c r="P7" i="32"/>
  <c r="K38" i="32"/>
  <c r="K84" i="31"/>
  <c r="K91" i="31" s="1"/>
  <c r="L88" i="31"/>
  <c r="L95" i="31" s="1"/>
  <c r="L98" i="31" s="1"/>
  <c r="L42" i="32"/>
  <c r="L50" i="32" s="1"/>
  <c r="G41" i="32"/>
  <c r="G49" i="32" s="1"/>
  <c r="G87" i="31"/>
  <c r="G94" i="31" s="1"/>
  <c r="K59" i="31"/>
  <c r="L56" i="31"/>
  <c r="H84" i="31"/>
  <c r="H91" i="31" s="1"/>
  <c r="H38" i="32"/>
  <c r="H46" i="32" s="1"/>
  <c r="C37" i="32"/>
  <c r="C45" i="32" s="1"/>
  <c r="C83" i="31"/>
  <c r="C90" i="31" s="1"/>
  <c r="G55" i="31"/>
  <c r="P11" i="31"/>
  <c r="L142" i="32"/>
  <c r="L143" i="32" s="1"/>
  <c r="L144" i="32" s="1"/>
  <c r="D139" i="32"/>
  <c r="D142" i="32" s="1"/>
  <c r="D92" i="32"/>
  <c r="G42" i="32"/>
  <c r="G50" i="32" s="1"/>
  <c r="K60" i="31"/>
  <c r="G88" i="31"/>
  <c r="G95" i="31" s="1"/>
  <c r="G98" i="31" s="1"/>
  <c r="D39" i="32"/>
  <c r="D47" i="32" s="1"/>
  <c r="H57" i="31"/>
  <c r="D85" i="31"/>
  <c r="D92" i="31" s="1"/>
  <c r="D100" i="31" s="1"/>
  <c r="L24" i="32"/>
  <c r="L32" i="32" s="1"/>
  <c r="L21" i="32"/>
  <c r="L29" i="32" s="1"/>
  <c r="G57" i="31"/>
  <c r="N50" i="31"/>
  <c r="H86" i="31"/>
  <c r="H93" i="31" s="1"/>
  <c r="H99" i="31" s="1"/>
  <c r="H40" i="32"/>
  <c r="H48" i="32" s="1"/>
  <c r="L58" i="31"/>
  <c r="J41" i="32"/>
  <c r="J49" i="32" s="1"/>
  <c r="J87" i="31"/>
  <c r="J94" i="31" s="1"/>
  <c r="J37" i="32"/>
  <c r="J45" i="32" s="1"/>
  <c r="J83" i="31"/>
  <c r="J90" i="31" s="1"/>
  <c r="F104" i="32"/>
  <c r="F107" i="32" s="1"/>
  <c r="H110" i="32" s="1"/>
  <c r="F87" i="32"/>
  <c r="F81" i="32"/>
  <c r="D51" i="31"/>
  <c r="E51" i="31" s="1"/>
  <c r="F51" i="31" s="1"/>
  <c r="G51" i="31" s="1"/>
  <c r="H51" i="31" s="1"/>
  <c r="I51" i="31" s="1"/>
  <c r="J51" i="31" s="1"/>
  <c r="K51" i="31" s="1"/>
  <c r="L51" i="31" s="1"/>
  <c r="N51" i="31"/>
  <c r="E142" i="32"/>
  <c r="H98" i="32"/>
  <c r="H96" i="32"/>
  <c r="F40" i="32"/>
  <c r="F48" i="32" s="1"/>
  <c r="J58" i="31"/>
  <c r="F86" i="31"/>
  <c r="F93" i="31" s="1"/>
  <c r="F99" i="31" s="1"/>
  <c r="H111" i="32"/>
  <c r="H114" i="32" s="1"/>
  <c r="H88" i="32"/>
  <c r="J104" i="32"/>
  <c r="K107" i="32" s="1"/>
  <c r="K108" i="32" s="1"/>
  <c r="K109" i="32" s="1"/>
  <c r="J87" i="32"/>
  <c r="J98" i="32" s="1"/>
  <c r="J81" i="32"/>
  <c r="C83" i="32"/>
  <c r="C82" i="32"/>
  <c r="L96" i="32"/>
  <c r="M154" i="32"/>
  <c r="C111" i="32"/>
  <c r="C114" i="32" s="1"/>
  <c r="C88" i="32"/>
  <c r="C98" i="32" s="1"/>
  <c r="J42" i="32"/>
  <c r="J50" i="32" s="1"/>
  <c r="J88" i="31"/>
  <c r="J95" i="31" s="1"/>
  <c r="J98" i="31" s="1"/>
  <c r="E41" i="32"/>
  <c r="E49" i="32" s="1"/>
  <c r="I59" i="31"/>
  <c r="E87" i="31"/>
  <c r="E94" i="31" s="1"/>
  <c r="K39" i="32"/>
  <c r="K85" i="31"/>
  <c r="K92" i="31" s="1"/>
  <c r="K100" i="31" s="1"/>
  <c r="L39" i="32"/>
  <c r="L47" i="32" s="1"/>
  <c r="L85" i="31"/>
  <c r="L92" i="31" s="1"/>
  <c r="L100" i="31" s="1"/>
  <c r="K24" i="32"/>
  <c r="K32" i="32" s="1"/>
  <c r="M5" i="32"/>
  <c r="I42" i="32"/>
  <c r="I50" i="32" s="1"/>
  <c r="I88" i="31"/>
  <c r="I95" i="31" s="1"/>
  <c r="I98" i="31" s="1"/>
  <c r="D41" i="32"/>
  <c r="D49" i="32" s="1"/>
  <c r="H59" i="31"/>
  <c r="D87" i="31"/>
  <c r="D94" i="31" s="1"/>
  <c r="J39" i="32"/>
  <c r="J47" i="32" s="1"/>
  <c r="J85" i="31"/>
  <c r="J92" i="31" s="1"/>
  <c r="J100" i="31" s="1"/>
  <c r="E38" i="32"/>
  <c r="E46" i="32" s="1"/>
  <c r="E84" i="31"/>
  <c r="E91" i="31" s="1"/>
  <c r="I56" i="31"/>
  <c r="L98" i="32"/>
  <c r="H107" i="32"/>
  <c r="H121" i="32"/>
  <c r="L60" i="31"/>
  <c r="H88" i="31"/>
  <c r="H95" i="31" s="1"/>
  <c r="H98" i="31" s="1"/>
  <c r="H42" i="32"/>
  <c r="H50" i="32" s="1"/>
  <c r="C41" i="32"/>
  <c r="C49" i="32" s="1"/>
  <c r="C87" i="31"/>
  <c r="C94" i="31" s="1"/>
  <c r="P15" i="31"/>
  <c r="G59" i="31"/>
  <c r="I39" i="32"/>
  <c r="I47" i="32" s="1"/>
  <c r="I85" i="31"/>
  <c r="I92" i="31" s="1"/>
  <c r="I100" i="31" s="1"/>
  <c r="D38" i="32"/>
  <c r="D46" i="32" s="1"/>
  <c r="H56" i="31"/>
  <c r="D84" i="31"/>
  <c r="D91" i="31" s="1"/>
  <c r="K135" i="32"/>
  <c r="K136" i="32" s="1"/>
  <c r="K137" i="32" s="1"/>
  <c r="F128" i="32"/>
  <c r="I118" i="32"/>
  <c r="I121" i="32" s="1"/>
  <c r="I89" i="32"/>
  <c r="D111" i="32"/>
  <c r="D114" i="32" s="1"/>
  <c r="D88" i="32"/>
  <c r="G81" i="32"/>
  <c r="F41" i="32"/>
  <c r="F49" i="32" s="1"/>
  <c r="J57" i="32" s="1"/>
  <c r="J65" i="32" s="1"/>
  <c r="F87" i="31"/>
  <c r="F94" i="31" s="1"/>
  <c r="J59" i="31"/>
  <c r="C38" i="32"/>
  <c r="C46" i="32" s="1"/>
  <c r="G54" i="32" s="1"/>
  <c r="G62" i="32" s="1"/>
  <c r="G56" i="31"/>
  <c r="C84" i="31"/>
  <c r="C91" i="31" s="1"/>
  <c r="P12" i="31"/>
  <c r="K92" i="32"/>
  <c r="K98" i="32" s="1"/>
  <c r="K139" i="32"/>
  <c r="K142" i="32" s="1"/>
  <c r="K143" i="32" s="1"/>
  <c r="K144" i="32" s="1"/>
  <c r="K111" i="32"/>
  <c r="K114" i="32" s="1"/>
  <c r="K115" i="32" s="1"/>
  <c r="K116" i="32" s="1"/>
  <c r="K88" i="32"/>
  <c r="B104" i="32"/>
  <c r="B87" i="32"/>
  <c r="B98" i="32" s="1"/>
  <c r="B100" i="32" s="1"/>
  <c r="B81" i="32"/>
  <c r="B83" i="32" s="1"/>
  <c r="G135" i="32"/>
  <c r="C107" i="32"/>
  <c r="G110" i="32" s="1"/>
  <c r="C128" i="32"/>
  <c r="K20" i="32"/>
  <c r="K28" i="32" s="1"/>
  <c r="C85" i="31"/>
  <c r="C92" i="31" s="1"/>
  <c r="C100" i="31" s="1"/>
  <c r="O147" i="32"/>
  <c r="P77" i="32"/>
  <c r="E37" i="32"/>
  <c r="E45" i="32" s="1"/>
  <c r="I55" i="31"/>
  <c r="E83" i="31"/>
  <c r="E90" i="31" s="1"/>
  <c r="J138" i="32"/>
  <c r="L84" i="31"/>
  <c r="L91" i="31" s="1"/>
  <c r="L38" i="32"/>
  <c r="L46" i="32" s="1"/>
  <c r="J128" i="32"/>
  <c r="K42" i="32"/>
  <c r="K88" i="31"/>
  <c r="K95" i="31" s="1"/>
  <c r="K98" i="31" s="1"/>
  <c r="H39" i="32"/>
  <c r="H47" i="32" s="1"/>
  <c r="L57" i="31"/>
  <c r="H85" i="31"/>
  <c r="H92" i="31" s="1"/>
  <c r="H100" i="31" s="1"/>
  <c r="L121" i="32"/>
  <c r="L122" i="32" s="1"/>
  <c r="L123" i="32" s="1"/>
  <c r="L48" i="31"/>
  <c r="M152" i="32"/>
  <c r="M155" i="32" s="1"/>
  <c r="N95" i="32"/>
  <c r="G96" i="32"/>
  <c r="I153" i="32"/>
  <c r="I156" i="32" s="1"/>
  <c r="L25" i="32"/>
  <c r="L33" i="32" s="1"/>
  <c r="L22" i="32"/>
  <c r="L30" i="32" s="1"/>
  <c r="F42" i="32"/>
  <c r="F50" i="32" s="1"/>
  <c r="J58" i="32" s="1"/>
  <c r="J66" i="32" s="1"/>
  <c r="J60" i="31"/>
  <c r="F88" i="31"/>
  <c r="F95" i="31" s="1"/>
  <c r="F98" i="31" s="1"/>
  <c r="L86" i="31"/>
  <c r="L93" i="31" s="1"/>
  <c r="L99" i="31" s="1"/>
  <c r="L40" i="32"/>
  <c r="L48" i="32" s="1"/>
  <c r="G39" i="32"/>
  <c r="G47" i="32" s="1"/>
  <c r="G85" i="31"/>
  <c r="G92" i="31" s="1"/>
  <c r="G100" i="31" s="1"/>
  <c r="K57" i="31"/>
  <c r="I37" i="32"/>
  <c r="I45" i="32" s="1"/>
  <c r="I83" i="31"/>
  <c r="I90" i="31" s="1"/>
  <c r="F142" i="32"/>
  <c r="D125" i="32"/>
  <c r="D128" i="32" s="1"/>
  <c r="D90" i="32"/>
  <c r="I104" i="32"/>
  <c r="I107" i="32" s="1"/>
  <c r="I81" i="32"/>
  <c r="I87" i="32"/>
  <c r="I98" i="32" s="1"/>
  <c r="G38" i="32"/>
  <c r="G46" i="32" s="1"/>
  <c r="K56" i="31"/>
  <c r="G84" i="31"/>
  <c r="G91" i="31" s="1"/>
  <c r="K25" i="32"/>
  <c r="K33" i="32" s="1"/>
  <c r="N6" i="32"/>
  <c r="K21" i="32"/>
  <c r="K29" i="32" s="1"/>
  <c r="E42" i="32"/>
  <c r="E50" i="32" s="1"/>
  <c r="E88" i="31"/>
  <c r="E95" i="31" s="1"/>
  <c r="E98" i="31" s="1"/>
  <c r="I60" i="31"/>
  <c r="K40" i="32"/>
  <c r="K86" i="31"/>
  <c r="K93" i="31" s="1"/>
  <c r="K99" i="31" s="1"/>
  <c r="F39" i="32"/>
  <c r="F47" i="32" s="1"/>
  <c r="F85" i="31"/>
  <c r="F92" i="31" s="1"/>
  <c r="F100" i="31" s="1"/>
  <c r="J57" i="31"/>
  <c r="L37" i="32"/>
  <c r="L45" i="32" s="1"/>
  <c r="L83" i="31"/>
  <c r="L90" i="31" s="1"/>
  <c r="F118" i="32"/>
  <c r="F121" i="32" s="1"/>
  <c r="F89" i="32"/>
  <c r="I114" i="32"/>
  <c r="J117" i="32" s="1"/>
  <c r="L83" i="32"/>
  <c r="D98" i="32"/>
  <c r="P9" i="32"/>
  <c r="D42" i="32"/>
  <c r="D50" i="32" s="1"/>
  <c r="H58" i="32" s="1"/>
  <c r="H66" i="32" s="1"/>
  <c r="H60" i="31"/>
  <c r="M60" i="31" s="1"/>
  <c r="D88" i="31"/>
  <c r="D95" i="31" s="1"/>
  <c r="D98" i="31" s="1"/>
  <c r="J40" i="32"/>
  <c r="J48" i="32" s="1"/>
  <c r="J86" i="31"/>
  <c r="J93" i="31" s="1"/>
  <c r="J99" i="31" s="1"/>
  <c r="E39" i="32"/>
  <c r="E47" i="32" s="1"/>
  <c r="I55" i="32" s="1"/>
  <c r="I63" i="32" s="1"/>
  <c r="E85" i="31"/>
  <c r="E92" i="31" s="1"/>
  <c r="E100" i="31" s="1"/>
  <c r="I57" i="31"/>
  <c r="K37" i="32"/>
  <c r="K83" i="31"/>
  <c r="K90" i="31" s="1"/>
  <c r="K97" i="31" s="1"/>
  <c r="H139" i="32"/>
  <c r="H92" i="32"/>
  <c r="K81" i="32"/>
  <c r="G98" i="32"/>
  <c r="E40" i="32"/>
  <c r="E48" i="32" s="1"/>
  <c r="E86" i="31"/>
  <c r="E93" i="31" s="1"/>
  <c r="E99" i="31" s="1"/>
  <c r="I58" i="31"/>
  <c r="F37" i="32"/>
  <c r="F45" i="32" s="1"/>
  <c r="J53" i="32" s="1"/>
  <c r="J61" i="32" s="1"/>
  <c r="F83" i="31"/>
  <c r="F90" i="31" s="1"/>
  <c r="J55" i="31"/>
  <c r="O148" i="32"/>
  <c r="P94" i="32"/>
  <c r="P16" i="31"/>
  <c r="N48" i="31"/>
  <c r="K29" i="21"/>
  <c r="K37" i="21"/>
  <c r="L1" i="21"/>
  <c r="K9" i="21"/>
  <c r="K17" i="21" s="1"/>
  <c r="K21" i="21" s="1"/>
  <c r="C37" i="21"/>
  <c r="C29" i="21"/>
  <c r="C9" i="21"/>
  <c r="C17" i="21" s="1"/>
  <c r="C21" i="21" s="1"/>
  <c r="D40" i="19"/>
  <c r="J40" i="19"/>
  <c r="J40" i="21" s="1"/>
  <c r="K40" i="19"/>
  <c r="E9" i="21"/>
  <c r="E17" i="21" s="1"/>
  <c r="E21" i="21" s="1"/>
  <c r="E29" i="21"/>
  <c r="E37" i="21"/>
  <c r="G9" i="21"/>
  <c r="G17" i="21" s="1"/>
  <c r="G21" i="21" s="1"/>
  <c r="G37" i="21"/>
  <c r="G29" i="21"/>
  <c r="E40" i="19"/>
  <c r="I37" i="21"/>
  <c r="I29" i="21"/>
  <c r="I9" i="21"/>
  <c r="I17" i="21" s="1"/>
  <c r="I21" i="21" s="1"/>
  <c r="D29" i="21"/>
  <c r="H9" i="21"/>
  <c r="H17" i="21" s="1"/>
  <c r="H21" i="21" s="1"/>
  <c r="F9" i="21"/>
  <c r="F17" i="21" s="1"/>
  <c r="F21" i="21" s="1"/>
  <c r="B31" i="19"/>
  <c r="I38" i="19"/>
  <c r="I39" i="19" s="1"/>
  <c r="J42" i="19" s="1"/>
  <c r="I31" i="19"/>
  <c r="I8" i="19"/>
  <c r="H37" i="21"/>
  <c r="B9" i="21"/>
  <c r="B17" i="21" s="1"/>
  <c r="B21" i="21" s="1"/>
  <c r="F37" i="21"/>
  <c r="J9" i="21"/>
  <c r="J17" i="21" s="1"/>
  <c r="J21" i="21" s="1"/>
  <c r="F107" i="1"/>
  <c r="F118" i="1"/>
  <c r="F74" i="1"/>
  <c r="N3" i="21"/>
  <c r="M11" i="21"/>
  <c r="M31" i="21" s="1"/>
  <c r="L11" i="21"/>
  <c r="L31" i="21" s="1"/>
  <c r="B27" i="1"/>
  <c r="K42" i="19"/>
  <c r="K40" i="21"/>
  <c r="I40" i="19"/>
  <c r="C40" i="19"/>
  <c r="J44" i="19"/>
  <c r="I44" i="19"/>
  <c r="C40" i="21"/>
  <c r="F40" i="19"/>
  <c r="F42" i="19"/>
  <c r="H40" i="19"/>
  <c r="G44" i="19"/>
  <c r="G40" i="19"/>
  <c r="C39" i="21"/>
  <c r="D39" i="21" s="1"/>
  <c r="F40" i="21"/>
  <c r="H42" i="19"/>
  <c r="G42" i="19"/>
  <c r="K44" i="19"/>
  <c r="H44" i="19"/>
  <c r="E28" i="19"/>
  <c r="H28" i="19"/>
  <c r="H19" i="21" s="1"/>
  <c r="K28" i="19"/>
  <c r="K29" i="19" s="1"/>
  <c r="D28" i="19"/>
  <c r="D32" i="19" s="1"/>
  <c r="I19" i="21"/>
  <c r="I32" i="19"/>
  <c r="I30" i="21" s="1"/>
  <c r="I33" i="21" s="1"/>
  <c r="K22" i="21"/>
  <c r="G28" i="19"/>
  <c r="G19" i="21" s="1"/>
  <c r="C28" i="19"/>
  <c r="C19" i="21" s="1"/>
  <c r="G38" i="21"/>
  <c r="G18" i="21"/>
  <c r="E18" i="21"/>
  <c r="E13" i="21"/>
  <c r="E38" i="21"/>
  <c r="J22" i="21"/>
  <c r="F28" i="19"/>
  <c r="F29" i="19" s="1"/>
  <c r="G13" i="19"/>
  <c r="G41" i="19" s="1"/>
  <c r="J14" i="19"/>
  <c r="J43" i="19" s="1"/>
  <c r="E29" i="19"/>
  <c r="D13" i="19"/>
  <c r="D41" i="19" s="1"/>
  <c r="D40" i="21" s="1"/>
  <c r="D38" i="21"/>
  <c r="D13" i="21"/>
  <c r="D18" i="21"/>
  <c r="H18" i="21"/>
  <c r="H38" i="21"/>
  <c r="H13" i="21"/>
  <c r="J19" i="21"/>
  <c r="J29" i="19"/>
  <c r="J32" i="19"/>
  <c r="J18" i="21"/>
  <c r="H29" i="19"/>
  <c r="H32" i="19"/>
  <c r="E13" i="19"/>
  <c r="E41" i="19" s="1"/>
  <c r="G14" i="19"/>
  <c r="G43" i="19" s="1"/>
  <c r="G41" i="21" s="1"/>
  <c r="H15" i="19"/>
  <c r="H45" i="19" s="1"/>
  <c r="E14" i="19"/>
  <c r="E43" i="19" s="1"/>
  <c r="E41" i="21" s="1"/>
  <c r="K15" i="19"/>
  <c r="K45" i="19" s="1"/>
  <c r="H14" i="19"/>
  <c r="H43" i="19" s="1"/>
  <c r="H41" i="21" s="1"/>
  <c r="D12" i="19"/>
  <c r="J15" i="19"/>
  <c r="J45" i="19" s="1"/>
  <c r="I13" i="19"/>
  <c r="I41" i="19" s="1"/>
  <c r="I15" i="19"/>
  <c r="I45" i="19" s="1"/>
  <c r="G13" i="21"/>
  <c r="J13" i="21"/>
  <c r="H13" i="19"/>
  <c r="H41" i="19" s="1"/>
  <c r="F14" i="19"/>
  <c r="F43" i="19" s="1"/>
  <c r="K18" i="21"/>
  <c r="C18" i="21"/>
  <c r="B28" i="19"/>
  <c r="K14" i="19"/>
  <c r="K43" i="19" s="1"/>
  <c r="K41" i="21" s="1"/>
  <c r="I14" i="19"/>
  <c r="I43" i="19" s="1"/>
  <c r="G15" i="19"/>
  <c r="G45" i="19" s="1"/>
  <c r="K13" i="21"/>
  <c r="C13" i="21"/>
  <c r="D115" i="1"/>
  <c r="D116" i="1" s="1"/>
  <c r="E114" i="1"/>
  <c r="D26" i="1"/>
  <c r="C27" i="1"/>
  <c r="F70" i="1"/>
  <c r="F71" i="1" s="1"/>
  <c r="F72" i="1" s="1"/>
  <c r="F75" i="1" s="1"/>
  <c r="F76" i="1" s="1"/>
  <c r="G76" i="1" s="1"/>
  <c r="B104" i="1"/>
  <c r="B105" i="1" s="1"/>
  <c r="B106" i="1" s="1"/>
  <c r="C103" i="1"/>
  <c r="D71" i="1"/>
  <c r="D72" i="1" s="1"/>
  <c r="D73" i="1" s="1"/>
  <c r="D81" i="1"/>
  <c r="C82" i="1"/>
  <c r="C83" i="1" s="1"/>
  <c r="C84" i="1" s="1"/>
  <c r="N11" i="21"/>
  <c r="N31" i="21" s="1"/>
  <c r="O3" i="21"/>
  <c r="G5" i="21"/>
  <c r="C115" i="1"/>
  <c r="C116" i="1" s="1"/>
  <c r="C117" i="1" s="1"/>
  <c r="B82" i="1"/>
  <c r="B83" i="1" s="1"/>
  <c r="B84" i="1" s="1"/>
  <c r="C125" i="1"/>
  <c r="B92" i="1"/>
  <c r="B136" i="1"/>
  <c r="I13" i="21"/>
  <c r="F13" i="21"/>
  <c r="K6" i="21"/>
  <c r="B58" i="1"/>
  <c r="B53" i="1"/>
  <c r="F129" i="1"/>
  <c r="B52" i="1"/>
  <c r="F96" i="1"/>
  <c r="F63" i="1"/>
  <c r="E73" i="1"/>
  <c r="C73" i="1"/>
  <c r="D117" i="1"/>
  <c r="B128" i="1"/>
  <c r="B73" i="1"/>
  <c r="B117" i="1"/>
  <c r="F73" i="1" l="1"/>
  <c r="G74" i="1" s="1"/>
  <c r="N4" i="21"/>
  <c r="M12" i="21"/>
  <c r="M32" i="21" s="1"/>
  <c r="C100" i="32"/>
  <c r="C101" i="32" s="1"/>
  <c r="C99" i="32"/>
  <c r="K100" i="32"/>
  <c r="K99" i="32"/>
  <c r="P148" i="32"/>
  <c r="Q94" i="32"/>
  <c r="Q148" i="32" s="1"/>
  <c r="O6" i="32"/>
  <c r="E128" i="32"/>
  <c r="I131" i="32" s="1"/>
  <c r="K47" i="32"/>
  <c r="M39" i="32"/>
  <c r="F83" i="32"/>
  <c r="F82" i="32"/>
  <c r="K110" i="32"/>
  <c r="G97" i="31"/>
  <c r="O60" i="31"/>
  <c r="M66" i="32" s="1"/>
  <c r="N66" i="32" s="1"/>
  <c r="O66" i="32" s="1"/>
  <c r="P66" i="32" s="1"/>
  <c r="Q66" i="32" s="1"/>
  <c r="Q9" i="32"/>
  <c r="L97" i="31"/>
  <c r="J55" i="32"/>
  <c r="J63" i="32" s="1"/>
  <c r="L128" i="32"/>
  <c r="L129" i="32" s="1"/>
  <c r="L130" i="32" s="1"/>
  <c r="N152" i="32"/>
  <c r="N155" i="32" s="1"/>
  <c r="O95" i="32"/>
  <c r="K50" i="32"/>
  <c r="M50" i="32" s="1"/>
  <c r="M42" i="32"/>
  <c r="I53" i="32"/>
  <c r="I61" i="32" s="1"/>
  <c r="K138" i="32"/>
  <c r="J131" i="32"/>
  <c r="H54" i="32"/>
  <c r="H62" i="32" s="1"/>
  <c r="L100" i="32"/>
  <c r="L101" i="32" s="1"/>
  <c r="L99" i="32"/>
  <c r="C84" i="32"/>
  <c r="J56" i="32"/>
  <c r="J64" i="32" s="1"/>
  <c r="F98" i="32"/>
  <c r="H55" i="32"/>
  <c r="H63" i="32" s="1"/>
  <c r="D97" i="31"/>
  <c r="G56" i="32"/>
  <c r="G64" i="32" s="1"/>
  <c r="N47" i="31"/>
  <c r="N4" i="32"/>
  <c r="E100" i="32"/>
  <c r="E101" i="32" s="1"/>
  <c r="E99" i="32"/>
  <c r="H128" i="32"/>
  <c r="J54" i="32"/>
  <c r="J62" i="32" s="1"/>
  <c r="G156" i="32"/>
  <c r="G138" i="32"/>
  <c r="G100" i="32"/>
  <c r="G99" i="32"/>
  <c r="D100" i="32"/>
  <c r="D99" i="32"/>
  <c r="K48" i="32"/>
  <c r="M48" i="32" s="1"/>
  <c r="M40" i="32"/>
  <c r="G55" i="32"/>
  <c r="G63" i="32" s="1"/>
  <c r="K83" i="32"/>
  <c r="K82" i="32"/>
  <c r="K45" i="32"/>
  <c r="M45" i="32" s="1"/>
  <c r="M37" i="32"/>
  <c r="N37" i="32" s="1"/>
  <c r="O37" i="32" s="1"/>
  <c r="P37" i="32" s="1"/>
  <c r="Q37" i="32" s="1"/>
  <c r="L82" i="32"/>
  <c r="H131" i="32"/>
  <c r="G83" i="32"/>
  <c r="G84" i="32" s="1"/>
  <c r="G82" i="32"/>
  <c r="M59" i="31"/>
  <c r="O59" i="31"/>
  <c r="M65" i="32" s="1"/>
  <c r="N65" i="32" s="1"/>
  <c r="O65" i="32" s="1"/>
  <c r="P65" i="32" s="1"/>
  <c r="Q65" i="32" s="1"/>
  <c r="N59" i="31"/>
  <c r="J107" i="32"/>
  <c r="H100" i="32"/>
  <c r="H99" i="32"/>
  <c r="L56" i="32"/>
  <c r="L64" i="32" s="1"/>
  <c r="G53" i="32"/>
  <c r="G61" i="32" s="1"/>
  <c r="K131" i="32"/>
  <c r="H56" i="32"/>
  <c r="H64" i="32" s="1"/>
  <c r="F97" i="31"/>
  <c r="I56" i="32"/>
  <c r="I64" i="32" s="1"/>
  <c r="H142" i="32"/>
  <c r="K145" i="32" s="1"/>
  <c r="I58" i="32"/>
  <c r="I66" i="32" s="1"/>
  <c r="I100" i="32"/>
  <c r="I101" i="32" s="1"/>
  <c r="I99" i="32"/>
  <c r="G121" i="32"/>
  <c r="I124" i="32" s="1"/>
  <c r="P147" i="32"/>
  <c r="Q77" i="32"/>
  <c r="Q147" i="32" s="1"/>
  <c r="G58" i="32"/>
  <c r="G66" i="32" s="1"/>
  <c r="L119" i="32"/>
  <c r="K119" i="32"/>
  <c r="H117" i="32"/>
  <c r="H138" i="32"/>
  <c r="I54" i="32"/>
  <c r="I62" i="32" s="1"/>
  <c r="N5" i="32"/>
  <c r="J156" i="32"/>
  <c r="J83" i="32"/>
  <c r="J82" i="32"/>
  <c r="J110" i="32"/>
  <c r="M55" i="31"/>
  <c r="O55" i="31"/>
  <c r="N55" i="31"/>
  <c r="K57" i="32"/>
  <c r="K65" i="32" s="1"/>
  <c r="K46" i="32"/>
  <c r="M46" i="32" s="1"/>
  <c r="M38" i="32"/>
  <c r="N38" i="32" s="1"/>
  <c r="O38" i="32" s="1"/>
  <c r="P38" i="32" s="1"/>
  <c r="Q38" i="32" s="1"/>
  <c r="E114" i="32"/>
  <c r="I117" i="32" s="1"/>
  <c r="J121" i="32"/>
  <c r="N58" i="31"/>
  <c r="M58" i="31"/>
  <c r="M56" i="32" s="1"/>
  <c r="N56" i="32" s="1"/>
  <c r="O56" i="32" s="1"/>
  <c r="P56" i="32" s="1"/>
  <c r="Q56" i="32" s="1"/>
  <c r="O58" i="31"/>
  <c r="M64" i="32" s="1"/>
  <c r="N64" i="32" s="1"/>
  <c r="O64" i="32" s="1"/>
  <c r="P64" i="32" s="1"/>
  <c r="Q64" i="32" s="1"/>
  <c r="L57" i="32"/>
  <c r="L65" i="32" s="1"/>
  <c r="K117" i="32"/>
  <c r="E83" i="32"/>
  <c r="E84" i="32" s="1"/>
  <c r="E82" i="32"/>
  <c r="I138" i="32"/>
  <c r="G145" i="32"/>
  <c r="D84" i="32"/>
  <c r="H97" i="31"/>
  <c r="K56" i="32"/>
  <c r="K64" i="32" s="1"/>
  <c r="K121" i="32"/>
  <c r="K122" i="32" s="1"/>
  <c r="K123" i="32" s="1"/>
  <c r="N60" i="31"/>
  <c r="H82" i="32"/>
  <c r="I83" i="32"/>
  <c r="I84" i="32" s="1"/>
  <c r="I82" i="32"/>
  <c r="I97" i="31"/>
  <c r="K55" i="32"/>
  <c r="K63" i="32" s="1"/>
  <c r="L55" i="32"/>
  <c r="L63" i="32" s="1"/>
  <c r="E97" i="31"/>
  <c r="G131" i="32"/>
  <c r="O56" i="31"/>
  <c r="N56" i="31"/>
  <c r="M56" i="31"/>
  <c r="G57" i="32"/>
  <c r="G65" i="32" s="1"/>
  <c r="I142" i="32"/>
  <c r="H57" i="32"/>
  <c r="H65" i="32" s="1"/>
  <c r="I57" i="32"/>
  <c r="I65" i="32" s="1"/>
  <c r="G117" i="32"/>
  <c r="K156" i="32"/>
  <c r="J100" i="32"/>
  <c r="J101" i="32" s="1"/>
  <c r="J99" i="32"/>
  <c r="J97" i="31"/>
  <c r="O57" i="31"/>
  <c r="M63" i="32" s="1"/>
  <c r="N63" i="32" s="1"/>
  <c r="O63" i="32" s="1"/>
  <c r="P63" i="32" s="1"/>
  <c r="Q63" i="32" s="1"/>
  <c r="N57" i="31"/>
  <c r="M57" i="31"/>
  <c r="C97" i="31"/>
  <c r="Q7" i="32"/>
  <c r="H53" i="32"/>
  <c r="H61" i="32" s="1"/>
  <c r="O8" i="32"/>
  <c r="N52" i="31"/>
  <c r="I110" i="32"/>
  <c r="O151" i="32"/>
  <c r="O154" i="32" s="1"/>
  <c r="P78" i="32"/>
  <c r="K49" i="32"/>
  <c r="M49" i="32" s="1"/>
  <c r="M41" i="32"/>
  <c r="H84" i="32"/>
  <c r="J41" i="21"/>
  <c r="E40" i="21"/>
  <c r="I42" i="19"/>
  <c r="L29" i="21"/>
  <c r="M1" i="21"/>
  <c r="L9" i="21"/>
  <c r="I41" i="21"/>
  <c r="E39" i="21"/>
  <c r="F39" i="21" s="1"/>
  <c r="G39" i="21" s="1"/>
  <c r="B54" i="1"/>
  <c r="B28" i="1"/>
  <c r="B29" i="1"/>
  <c r="B43" i="1" s="1"/>
  <c r="I40" i="21"/>
  <c r="H39" i="21"/>
  <c r="I39" i="21" s="1"/>
  <c r="J39" i="21" s="1"/>
  <c r="K39" i="21" s="1"/>
  <c r="F41" i="21"/>
  <c r="H40" i="21"/>
  <c r="G40" i="21"/>
  <c r="K19" i="21"/>
  <c r="G32" i="19"/>
  <c r="K32" i="19"/>
  <c r="K30" i="21" s="1"/>
  <c r="K33" i="21" s="1"/>
  <c r="K35" i="21" s="1"/>
  <c r="G29" i="19"/>
  <c r="E32" i="19"/>
  <c r="E19" i="21"/>
  <c r="D19" i="21"/>
  <c r="D29" i="19"/>
  <c r="I33" i="19"/>
  <c r="C29" i="19"/>
  <c r="C32" i="19"/>
  <c r="D34" i="19" s="1"/>
  <c r="F19" i="21"/>
  <c r="F32" i="19"/>
  <c r="I35" i="19" s="1"/>
  <c r="G33" i="19"/>
  <c r="G30" i="21"/>
  <c r="G33" i="21" s="1"/>
  <c r="K15" i="21"/>
  <c r="K14" i="21"/>
  <c r="D33" i="19"/>
  <c r="D30" i="21"/>
  <c r="D33" i="21" s="1"/>
  <c r="E34" i="19"/>
  <c r="H30" i="21"/>
  <c r="H33" i="21" s="1"/>
  <c r="H33" i="19"/>
  <c r="I34" i="19"/>
  <c r="H34" i="19"/>
  <c r="J35" i="19"/>
  <c r="B29" i="19"/>
  <c r="B19" i="21"/>
  <c r="B32" i="19"/>
  <c r="J30" i="21"/>
  <c r="J33" i="21" s="1"/>
  <c r="J34" i="19"/>
  <c r="J33" i="19"/>
  <c r="B137" i="1"/>
  <c r="B138" i="1" s="1"/>
  <c r="B139" i="1" s="1"/>
  <c r="C136" i="1"/>
  <c r="B93" i="1"/>
  <c r="B94" i="1" s="1"/>
  <c r="B95" i="1" s="1"/>
  <c r="C92" i="1"/>
  <c r="D103" i="1"/>
  <c r="C104" i="1"/>
  <c r="C105" i="1" s="1"/>
  <c r="C106" i="1" s="1"/>
  <c r="D125" i="1"/>
  <c r="C126" i="1"/>
  <c r="C127" i="1" s="1"/>
  <c r="C128" i="1" s="1"/>
  <c r="F114" i="1"/>
  <c r="F115" i="1" s="1"/>
  <c r="F116" i="1" s="1"/>
  <c r="E115" i="1"/>
  <c r="E116" i="1" s="1"/>
  <c r="E117" i="1" s="1"/>
  <c r="B59" i="1"/>
  <c r="C58" i="1"/>
  <c r="D82" i="1"/>
  <c r="D83" i="1" s="1"/>
  <c r="D84" i="1" s="1"/>
  <c r="E81" i="1"/>
  <c r="C28" i="1"/>
  <c r="C29" i="1" s="1"/>
  <c r="P3" i="21"/>
  <c r="P11" i="21" s="1"/>
  <c r="P31" i="21" s="1"/>
  <c r="O11" i="21"/>
  <c r="O31" i="21" s="1"/>
  <c r="E26" i="1"/>
  <c r="D27" i="1"/>
  <c r="G73" i="1"/>
  <c r="G77" i="1" s="1"/>
  <c r="G78" i="1" s="1"/>
  <c r="K3" i="1" s="1"/>
  <c r="C8" i="17" s="1"/>
  <c r="N12" i="21" l="1"/>
  <c r="N32" i="21" s="1"/>
  <c r="O4" i="21"/>
  <c r="P8" i="32"/>
  <c r="N41" i="32"/>
  <c r="M74" i="32"/>
  <c r="M133" i="32" s="1"/>
  <c r="M136" i="32" s="1"/>
  <c r="H145" i="32"/>
  <c r="M71" i="32"/>
  <c r="M112" i="32" s="1"/>
  <c r="M115" i="32" s="1"/>
  <c r="H101" i="32"/>
  <c r="K84" i="32"/>
  <c r="N70" i="32"/>
  <c r="O4" i="32"/>
  <c r="I145" i="32"/>
  <c r="F84" i="32"/>
  <c r="L58" i="32"/>
  <c r="L66" i="32" s="1"/>
  <c r="P151" i="32"/>
  <c r="P154" i="32" s="1"/>
  <c r="Q78" i="32"/>
  <c r="Q151" i="32" s="1"/>
  <c r="M91" i="32"/>
  <c r="M134" i="32" s="1"/>
  <c r="M137" i="32" s="1"/>
  <c r="N49" i="32"/>
  <c r="J84" i="32"/>
  <c r="J145" i="32"/>
  <c r="K58" i="32"/>
  <c r="K66" i="32" s="1"/>
  <c r="D101" i="32"/>
  <c r="M70" i="32"/>
  <c r="L54" i="32"/>
  <c r="L62" i="32" s="1"/>
  <c r="N42" i="32"/>
  <c r="M75" i="32"/>
  <c r="M140" i="32" s="1"/>
  <c r="M143" i="32" s="1"/>
  <c r="L84" i="32"/>
  <c r="N39" i="32"/>
  <c r="M72" i="32"/>
  <c r="M119" i="32" s="1"/>
  <c r="M122" i="32" s="1"/>
  <c r="P6" i="32"/>
  <c r="K101" i="32"/>
  <c r="N46" i="32"/>
  <c r="M88" i="32"/>
  <c r="M113" i="32" s="1"/>
  <c r="M116" i="32" s="1"/>
  <c r="K124" i="32"/>
  <c r="N45" i="32"/>
  <c r="M87" i="32"/>
  <c r="N40" i="32"/>
  <c r="M73" i="32"/>
  <c r="M126" i="32" s="1"/>
  <c r="M129" i="32" s="1"/>
  <c r="L53" i="32"/>
  <c r="L61" i="32" s="1"/>
  <c r="M92" i="32"/>
  <c r="M141" i="32" s="1"/>
  <c r="M144" i="32" s="1"/>
  <c r="N50" i="32"/>
  <c r="K54" i="32"/>
  <c r="K62" i="32" s="1"/>
  <c r="M47" i="32"/>
  <c r="H124" i="32"/>
  <c r="N71" i="32"/>
  <c r="N112" i="32" s="1"/>
  <c r="O5" i="32"/>
  <c r="M90" i="32"/>
  <c r="M127" i="32" s="1"/>
  <c r="M130" i="32" s="1"/>
  <c r="N48" i="32"/>
  <c r="K53" i="32"/>
  <c r="K61" i="32" s="1"/>
  <c r="F100" i="32"/>
  <c r="F101" i="32" s="1"/>
  <c r="F99" i="32"/>
  <c r="P95" i="32"/>
  <c r="O152" i="32"/>
  <c r="O155" i="32" s="1"/>
  <c r="J124" i="32"/>
  <c r="G124" i="32"/>
  <c r="M29" i="21"/>
  <c r="N1" i="21"/>
  <c r="M9" i="21"/>
  <c r="K35" i="19"/>
  <c r="K34" i="19"/>
  <c r="K34" i="21"/>
  <c r="K33" i="19"/>
  <c r="E30" i="21"/>
  <c r="E33" i="21" s="1"/>
  <c r="E33" i="19"/>
  <c r="C33" i="19"/>
  <c r="C30" i="21"/>
  <c r="C33" i="21" s="1"/>
  <c r="F35" i="19"/>
  <c r="F30" i="21"/>
  <c r="F33" i="21" s="1"/>
  <c r="J36" i="19"/>
  <c r="F33" i="19"/>
  <c r="G34" i="19"/>
  <c r="F34" i="19"/>
  <c r="G35" i="19"/>
  <c r="H35" i="19"/>
  <c r="I36" i="19"/>
  <c r="G36" i="19"/>
  <c r="K36" i="19"/>
  <c r="H36" i="19"/>
  <c r="B30" i="21"/>
  <c r="B33" i="21" s="1"/>
  <c r="C34" i="19"/>
  <c r="B33" i="19"/>
  <c r="E35" i="19"/>
  <c r="E82" i="1"/>
  <c r="E83" i="1" s="1"/>
  <c r="E84" i="1" s="1"/>
  <c r="F81" i="1"/>
  <c r="F82" i="1" s="1"/>
  <c r="F83" i="1" s="1"/>
  <c r="C93" i="1"/>
  <c r="C94" i="1" s="1"/>
  <c r="C95" i="1" s="1"/>
  <c r="D92" i="1"/>
  <c r="F119" i="1"/>
  <c r="F120" i="1" s="1"/>
  <c r="G120" i="1" s="1"/>
  <c r="F117" i="1"/>
  <c r="G118" i="1" s="1"/>
  <c r="D126" i="1"/>
  <c r="D127" i="1" s="1"/>
  <c r="D128" i="1" s="1"/>
  <c r="E125" i="1"/>
  <c r="D28" i="1"/>
  <c r="D29" i="1" s="1"/>
  <c r="C43" i="1"/>
  <c r="D58" i="1"/>
  <c r="C59" i="1"/>
  <c r="C137" i="1"/>
  <c r="C138" i="1" s="1"/>
  <c r="C139" i="1" s="1"/>
  <c r="D136" i="1"/>
  <c r="F26" i="1"/>
  <c r="E27" i="1"/>
  <c r="B60" i="1"/>
  <c r="B61" i="1"/>
  <c r="B62" i="1" s="1"/>
  <c r="E103" i="1"/>
  <c r="D104" i="1"/>
  <c r="D105" i="1" s="1"/>
  <c r="D106" i="1" s="1"/>
  <c r="P4" i="21" l="1"/>
  <c r="P12" i="21" s="1"/>
  <c r="P32" i="21" s="1"/>
  <c r="O12" i="21"/>
  <c r="O32" i="21" s="1"/>
  <c r="M98" i="32"/>
  <c r="M106" i="32"/>
  <c r="M109" i="32" s="1"/>
  <c r="O46" i="32"/>
  <c r="N88" i="32"/>
  <c r="N113" i="32" s="1"/>
  <c r="N116" i="32" s="1"/>
  <c r="N105" i="32"/>
  <c r="O71" i="32"/>
  <c r="O112" i="32" s="1"/>
  <c r="O115" i="32" s="1"/>
  <c r="P5" i="32"/>
  <c r="O45" i="32"/>
  <c r="N87" i="32"/>
  <c r="O39" i="32"/>
  <c r="N72" i="32"/>
  <c r="N119" i="32" s="1"/>
  <c r="N122" i="32" s="1"/>
  <c r="N90" i="32"/>
  <c r="N127" i="32" s="1"/>
  <c r="N130" i="32" s="1"/>
  <c r="O48" i="32"/>
  <c r="O40" i="32"/>
  <c r="N73" i="32"/>
  <c r="N126" i="32" s="1"/>
  <c r="N129" i="32" s="1"/>
  <c r="N47" i="32"/>
  <c r="M89" i="32"/>
  <c r="M120" i="32" s="1"/>
  <c r="M123" i="32" s="1"/>
  <c r="O42" i="32"/>
  <c r="N75" i="32"/>
  <c r="N140" i="32" s="1"/>
  <c r="N143" i="32" s="1"/>
  <c r="N91" i="32"/>
  <c r="N134" i="32" s="1"/>
  <c r="N137" i="32" s="1"/>
  <c r="O49" i="32"/>
  <c r="P152" i="32"/>
  <c r="P155" i="32" s="1"/>
  <c r="Q95" i="32"/>
  <c r="Q152" i="32" s="1"/>
  <c r="G101" i="32"/>
  <c r="N115" i="32"/>
  <c r="Q6" i="32"/>
  <c r="M105" i="32"/>
  <c r="M108" i="32" s="1"/>
  <c r="M81" i="32"/>
  <c r="Q154" i="32"/>
  <c r="O41" i="32"/>
  <c r="N74" i="32"/>
  <c r="N133" i="32" s="1"/>
  <c r="N136" i="32" s="1"/>
  <c r="N92" i="32"/>
  <c r="N141" i="32" s="1"/>
  <c r="N144" i="32" s="1"/>
  <c r="O50" i="32"/>
  <c r="O70" i="32"/>
  <c r="P4" i="32"/>
  <c r="Q8" i="32"/>
  <c r="N29" i="21"/>
  <c r="O1" i="21"/>
  <c r="N9" i="21"/>
  <c r="D43" i="1"/>
  <c r="C60" i="1"/>
  <c r="C61" i="1"/>
  <c r="C62" i="1" s="1"/>
  <c r="E104" i="1"/>
  <c r="E105" i="1" s="1"/>
  <c r="E106" i="1" s="1"/>
  <c r="F103" i="1"/>
  <c r="F104" i="1" s="1"/>
  <c r="F105" i="1" s="1"/>
  <c r="E58" i="1"/>
  <c r="D59" i="1"/>
  <c r="E28" i="1"/>
  <c r="E29" i="1" s="1"/>
  <c r="E43" i="1" s="1"/>
  <c r="F86" i="1"/>
  <c r="F87" i="1" s="1"/>
  <c r="G87" i="1" s="1"/>
  <c r="F84" i="1"/>
  <c r="G85" i="1" s="1"/>
  <c r="L16" i="1"/>
  <c r="F27" i="1"/>
  <c r="E136" i="1"/>
  <c r="D137" i="1"/>
  <c r="D138" i="1" s="1"/>
  <c r="D139" i="1" s="1"/>
  <c r="E126" i="1"/>
  <c r="E127" i="1" s="1"/>
  <c r="E128" i="1" s="1"/>
  <c r="F125" i="1"/>
  <c r="F126" i="1" s="1"/>
  <c r="F127" i="1" s="1"/>
  <c r="D93" i="1"/>
  <c r="D94" i="1" s="1"/>
  <c r="D95" i="1" s="1"/>
  <c r="E92" i="1"/>
  <c r="G117" i="1"/>
  <c r="G121" i="1" s="1"/>
  <c r="G122" i="1" s="1"/>
  <c r="K7" i="1" s="1"/>
  <c r="C11" i="17" s="1"/>
  <c r="P70" i="32" l="1"/>
  <c r="Q4" i="32"/>
  <c r="Q70" i="32" s="1"/>
  <c r="O47" i="32"/>
  <c r="N89" i="32"/>
  <c r="N120" i="32" s="1"/>
  <c r="N123" i="32" s="1"/>
  <c r="O87" i="32"/>
  <c r="P45" i="32"/>
  <c r="N108" i="32"/>
  <c r="M100" i="32"/>
  <c r="M101" i="32" s="1"/>
  <c r="M99" i="32"/>
  <c r="O105" i="32"/>
  <c r="O108" i="32" s="1"/>
  <c r="P41" i="32"/>
  <c r="O74" i="32"/>
  <c r="O133" i="32" s="1"/>
  <c r="O136" i="32" s="1"/>
  <c r="Q155" i="32"/>
  <c r="P71" i="32"/>
  <c r="P112" i="32" s="1"/>
  <c r="P115" i="32" s="1"/>
  <c r="Q5" i="32"/>
  <c r="Q71" i="32" s="1"/>
  <c r="Q112" i="32" s="1"/>
  <c r="O92" i="32"/>
  <c r="O141" i="32" s="1"/>
  <c r="O144" i="32" s="1"/>
  <c r="P50" i="32"/>
  <c r="P42" i="32"/>
  <c r="O75" i="32"/>
  <c r="O140" i="32" s="1"/>
  <c r="O143" i="32" s="1"/>
  <c r="P40" i="32"/>
  <c r="O73" i="32"/>
  <c r="O126" i="32" s="1"/>
  <c r="O129" i="32" s="1"/>
  <c r="P39" i="32"/>
  <c r="O72" i="32"/>
  <c r="O119" i="32" s="1"/>
  <c r="O122" i="32" s="1"/>
  <c r="O88" i="32"/>
  <c r="O113" i="32" s="1"/>
  <c r="O116" i="32" s="1"/>
  <c r="P46" i="32"/>
  <c r="M83" i="32"/>
  <c r="M84" i="32" s="1"/>
  <c r="M82" i="32"/>
  <c r="P49" i="32"/>
  <c r="O91" i="32"/>
  <c r="O134" i="32" s="1"/>
  <c r="O137" i="32" s="1"/>
  <c r="O90" i="32"/>
  <c r="O127" i="32" s="1"/>
  <c r="O130" i="32" s="1"/>
  <c r="P48" i="32"/>
  <c r="N106" i="32"/>
  <c r="N109" i="32" s="1"/>
  <c r="N98" i="32"/>
  <c r="N81" i="32"/>
  <c r="O29" i="21"/>
  <c r="P1" i="21"/>
  <c r="O9" i="21"/>
  <c r="G84" i="1"/>
  <c r="G88" i="1" s="1"/>
  <c r="G89" i="1" s="1"/>
  <c r="K4" i="1" s="1"/>
  <c r="C6" i="17" s="1"/>
  <c r="F28" i="1"/>
  <c r="F29" i="1" s="1"/>
  <c r="E93" i="1"/>
  <c r="E94" i="1" s="1"/>
  <c r="E95" i="1" s="1"/>
  <c r="F92" i="1"/>
  <c r="F93" i="1" s="1"/>
  <c r="F94" i="1" s="1"/>
  <c r="F136" i="1"/>
  <c r="F137" i="1" s="1"/>
  <c r="F138" i="1" s="1"/>
  <c r="E137" i="1"/>
  <c r="E138" i="1" s="1"/>
  <c r="E139" i="1" s="1"/>
  <c r="D61" i="1"/>
  <c r="D62" i="1" s="1"/>
  <c r="D60" i="1"/>
  <c r="F108" i="1"/>
  <c r="F109" i="1" s="1"/>
  <c r="G109" i="1" s="1"/>
  <c r="F106" i="1"/>
  <c r="F130" i="1"/>
  <c r="F131" i="1" s="1"/>
  <c r="G131" i="1" s="1"/>
  <c r="F128" i="1"/>
  <c r="G129" i="1" s="1"/>
  <c r="E59" i="1"/>
  <c r="F58" i="1"/>
  <c r="F59" i="1" s="1"/>
  <c r="N100" i="32" l="1"/>
  <c r="N101" i="32" s="1"/>
  <c r="N99" i="32"/>
  <c r="Q46" i="32"/>
  <c r="Q88" i="32" s="1"/>
  <c r="Q113" i="32" s="1"/>
  <c r="Q116" i="32" s="1"/>
  <c r="P88" i="32"/>
  <c r="P113" i="32" s="1"/>
  <c r="P116" i="32" s="1"/>
  <c r="P92" i="32"/>
  <c r="P141" i="32" s="1"/>
  <c r="P144" i="32" s="1"/>
  <c r="Q50" i="32"/>
  <c r="Q92" i="32" s="1"/>
  <c r="Q141" i="32" s="1"/>
  <c r="Q144" i="32" s="1"/>
  <c r="Q41" i="32"/>
  <c r="Q74" i="32" s="1"/>
  <c r="Q133" i="32" s="1"/>
  <c r="Q136" i="32" s="1"/>
  <c r="P74" i="32"/>
  <c r="P133" i="32" s="1"/>
  <c r="P136" i="32" s="1"/>
  <c r="P91" i="32"/>
  <c r="P134" i="32" s="1"/>
  <c r="P137" i="32" s="1"/>
  <c r="Q49" i="32"/>
  <c r="Q91" i="32" s="1"/>
  <c r="Q134" i="32" s="1"/>
  <c r="Q137" i="32" s="1"/>
  <c r="Q40" i="32"/>
  <c r="Q73" i="32" s="1"/>
  <c r="Q126" i="32" s="1"/>
  <c r="Q129" i="32" s="1"/>
  <c r="P73" i="32"/>
  <c r="P126" i="32" s="1"/>
  <c r="P129" i="32" s="1"/>
  <c r="O81" i="32"/>
  <c r="O89" i="32"/>
  <c r="O120" i="32" s="1"/>
  <c r="O123" i="32" s="1"/>
  <c r="P47" i="32"/>
  <c r="P90" i="32"/>
  <c r="P127" i="32" s="1"/>
  <c r="P130" i="32" s="1"/>
  <c r="Q48" i="32"/>
  <c r="Q90" i="32" s="1"/>
  <c r="Q127" i="32" s="1"/>
  <c r="Q130" i="32" s="1"/>
  <c r="Q45" i="32"/>
  <c r="Q87" i="32" s="1"/>
  <c r="P87" i="32"/>
  <c r="Q105" i="32"/>
  <c r="N83" i="32"/>
  <c r="N84" i="32" s="1"/>
  <c r="N82" i="32"/>
  <c r="Q39" i="32"/>
  <c r="Q72" i="32" s="1"/>
  <c r="Q119" i="32" s="1"/>
  <c r="P72" i="32"/>
  <c r="P119" i="32" s="1"/>
  <c r="P122" i="32" s="1"/>
  <c r="Q42" i="32"/>
  <c r="Q75" i="32" s="1"/>
  <c r="Q140" i="32" s="1"/>
  <c r="Q143" i="32" s="1"/>
  <c r="P75" i="32"/>
  <c r="P140" i="32" s="1"/>
  <c r="P143" i="32" s="1"/>
  <c r="Q115" i="32"/>
  <c r="O98" i="32"/>
  <c r="O106" i="32"/>
  <c r="O109" i="32" s="1"/>
  <c r="P105" i="32"/>
  <c r="P108" i="32" s="1"/>
  <c r="P9" i="21"/>
  <c r="P29" i="21"/>
  <c r="G128" i="1"/>
  <c r="G132" i="1" s="1"/>
  <c r="G133" i="1" s="1"/>
  <c r="K8" i="1" s="1"/>
  <c r="C9" i="17" s="1"/>
  <c r="F97" i="1"/>
  <c r="F98" i="1" s="1"/>
  <c r="G98" i="1" s="1"/>
  <c r="F95" i="1"/>
  <c r="G96" i="1" s="1"/>
  <c r="F60" i="1"/>
  <c r="F61" i="1"/>
  <c r="G107" i="1"/>
  <c r="G106" i="1"/>
  <c r="E60" i="1"/>
  <c r="E61" i="1"/>
  <c r="E62" i="1" s="1"/>
  <c r="B49" i="1"/>
  <c r="B50" i="1" s="1"/>
  <c r="D21" i="1" s="1"/>
  <c r="F43" i="1"/>
  <c r="L17" i="1"/>
  <c r="F141" i="1"/>
  <c r="F142" i="1" s="1"/>
  <c r="G142" i="1" s="1"/>
  <c r="F139" i="1"/>
  <c r="G140" i="1" s="1"/>
  <c r="Q122" i="32" l="1"/>
  <c r="Q108" i="32"/>
  <c r="P81" i="32"/>
  <c r="P106" i="32"/>
  <c r="P109" i="32" s="1"/>
  <c r="Q47" i="32"/>
  <c r="Q89" i="32" s="1"/>
  <c r="Q120" i="32" s="1"/>
  <c r="P89" i="32"/>
  <c r="P120" i="32" s="1"/>
  <c r="P123" i="32" s="1"/>
  <c r="Q98" i="32"/>
  <c r="Q106" i="32"/>
  <c r="Q109" i="32" s="1"/>
  <c r="O100" i="32"/>
  <c r="O101" i="32" s="1"/>
  <c r="O99" i="32"/>
  <c r="Q81" i="32"/>
  <c r="O82" i="32"/>
  <c r="O83" i="32"/>
  <c r="O84" i="32" s="1"/>
  <c r="G110" i="1"/>
  <c r="G111" i="1" s="1"/>
  <c r="K6" i="1" s="1"/>
  <c r="C7" i="17" s="1"/>
  <c r="G139" i="1"/>
  <c r="G143" i="1" s="1"/>
  <c r="G144" i="1" s="1"/>
  <c r="K9" i="1" s="1"/>
  <c r="C12" i="17" s="1"/>
  <c r="F64" i="1"/>
  <c r="F65" i="1" s="1"/>
  <c r="G65" i="1" s="1"/>
  <c r="F62" i="1"/>
  <c r="G95" i="1"/>
  <c r="G99" i="1" s="1"/>
  <c r="G100" i="1" s="1"/>
  <c r="K5" i="1" s="1"/>
  <c r="C10" i="17" s="1"/>
  <c r="C21" i="1"/>
  <c r="B21" i="1"/>
  <c r="Q83" i="32" l="1"/>
  <c r="Q82" i="32"/>
  <c r="Q100" i="32"/>
  <c r="Q99" i="32"/>
  <c r="P98" i="32"/>
  <c r="P83" i="32"/>
  <c r="P84" i="32" s="1"/>
  <c r="P82" i="32"/>
  <c r="Q123" i="32"/>
  <c r="G63" i="1"/>
  <c r="G62" i="1"/>
  <c r="F21" i="1"/>
  <c r="C22" i="1" s="1"/>
  <c r="P100" i="32" l="1"/>
  <c r="P101" i="32" s="1"/>
  <c r="P99" i="32"/>
  <c r="Q84" i="32"/>
  <c r="G66" i="1"/>
  <c r="G67" i="1" s="1"/>
  <c r="K2" i="1" s="1"/>
  <c r="C5" i="17" s="1"/>
  <c r="B2" i="17" s="1"/>
  <c r="B22" i="1"/>
  <c r="E22" i="1"/>
  <c r="L18" i="1"/>
  <c r="I12" i="1"/>
  <c r="D22" i="1"/>
  <c r="Q101" i="32" l="1"/>
  <c r="B1" i="17"/>
  <c r="K5" i="17" s="1"/>
  <c r="N5" i="17" s="1"/>
  <c r="K6" i="17" l="1"/>
  <c r="N6" i="17" s="1"/>
  <c r="O6" i="17" s="1"/>
  <c r="K10" i="17"/>
  <c r="N10" i="17" s="1"/>
  <c r="O10" i="17" s="1"/>
  <c r="K14" i="17"/>
  <c r="N14" i="17" s="1"/>
  <c r="O14" i="17" s="1"/>
  <c r="K18" i="17"/>
  <c r="K22" i="17"/>
  <c r="N22" i="17" s="1"/>
  <c r="O22" i="17" s="1"/>
  <c r="K26" i="17"/>
  <c r="K30" i="17"/>
  <c r="K34" i="17"/>
  <c r="K38" i="17"/>
  <c r="N38" i="17" s="1"/>
  <c r="O38" i="17" s="1"/>
  <c r="K42" i="17"/>
  <c r="K46" i="17"/>
  <c r="N46" i="17" s="1"/>
  <c r="O46" i="17" s="1"/>
  <c r="K50" i="17"/>
  <c r="N50" i="17" s="1"/>
  <c r="O50" i="17" s="1"/>
  <c r="K54" i="17"/>
  <c r="N54" i="17" s="1"/>
  <c r="O54" i="17" s="1"/>
  <c r="K8" i="17"/>
  <c r="K36" i="17"/>
  <c r="N36" i="17" s="1"/>
  <c r="O36" i="17" s="1"/>
  <c r="K44" i="17"/>
  <c r="K52" i="17"/>
  <c r="N52" i="17" s="1"/>
  <c r="O52" i="17" s="1"/>
  <c r="K13" i="17"/>
  <c r="K17" i="17"/>
  <c r="K25" i="17"/>
  <c r="N25" i="17" s="1"/>
  <c r="O25" i="17" s="1"/>
  <c r="K29" i="17"/>
  <c r="N29" i="17" s="1"/>
  <c r="O29" i="17" s="1"/>
  <c r="K37" i="17"/>
  <c r="N37" i="17" s="1"/>
  <c r="O37" i="17" s="1"/>
  <c r="K45" i="17"/>
  <c r="N45" i="17" s="1"/>
  <c r="O45" i="17" s="1"/>
  <c r="K53" i="17"/>
  <c r="K7" i="17"/>
  <c r="K11" i="17"/>
  <c r="N11" i="17" s="1"/>
  <c r="O11" i="17" s="1"/>
  <c r="K15" i="17"/>
  <c r="K19" i="17"/>
  <c r="K23" i="17"/>
  <c r="K27" i="17"/>
  <c r="N27" i="17" s="1"/>
  <c r="O27" i="17" s="1"/>
  <c r="K31" i="17"/>
  <c r="K35" i="17"/>
  <c r="K39" i="17"/>
  <c r="N39" i="17" s="1"/>
  <c r="O39" i="17" s="1"/>
  <c r="K43" i="17"/>
  <c r="N43" i="17" s="1"/>
  <c r="O43" i="17" s="1"/>
  <c r="K47" i="17"/>
  <c r="K51" i="17"/>
  <c r="K55" i="17"/>
  <c r="N55" i="17" s="1"/>
  <c r="O55" i="17" s="1"/>
  <c r="K12" i="17"/>
  <c r="N12" i="17" s="1"/>
  <c r="O12" i="17" s="1"/>
  <c r="K16" i="17"/>
  <c r="N16" i="17" s="1"/>
  <c r="O16" i="17" s="1"/>
  <c r="K20" i="17"/>
  <c r="N20" i="17" s="1"/>
  <c r="O20" i="17" s="1"/>
  <c r="K24" i="17"/>
  <c r="N24" i="17" s="1"/>
  <c r="O24" i="17" s="1"/>
  <c r="K28" i="17"/>
  <c r="N28" i="17" s="1"/>
  <c r="O28" i="17" s="1"/>
  <c r="K32" i="17"/>
  <c r="N32" i="17" s="1"/>
  <c r="O32" i="17" s="1"/>
  <c r="K40" i="17"/>
  <c r="K48" i="17"/>
  <c r="N48" i="17" s="1"/>
  <c r="O48" i="17" s="1"/>
  <c r="K9" i="17"/>
  <c r="K21" i="17"/>
  <c r="K33" i="17"/>
  <c r="N33" i="17" s="1"/>
  <c r="O33" i="17" s="1"/>
  <c r="K41" i="17"/>
  <c r="K49" i="17"/>
  <c r="N49" i="17" s="1"/>
  <c r="O49" i="17" s="1"/>
  <c r="N31" i="17"/>
  <c r="O31" i="17" s="1"/>
  <c r="N42" i="17"/>
  <c r="O42" i="17" s="1"/>
  <c r="O5" i="17"/>
  <c r="D7" i="17" l="1"/>
  <c r="D6" i="17"/>
  <c r="D8" i="17"/>
  <c r="N30" i="17"/>
  <c r="O30" i="17" s="1"/>
  <c r="D11" i="17"/>
  <c r="D5" i="17"/>
  <c r="L30" i="17" s="1"/>
  <c r="D9" i="17"/>
  <c r="D12" i="17"/>
  <c r="D10" i="17"/>
  <c r="N26" i="17"/>
  <c r="O26" i="17" s="1"/>
  <c r="N7" i="17"/>
  <c r="O7" i="17" s="1"/>
  <c r="N17" i="17"/>
  <c r="O17" i="17" s="1"/>
  <c r="N18" i="17"/>
  <c r="O18" i="17" s="1"/>
  <c r="N44" i="17"/>
  <c r="O44" i="17" s="1"/>
  <c r="N23" i="17"/>
  <c r="O23" i="17" s="1"/>
  <c r="N35" i="17"/>
  <c r="O35" i="17" s="1"/>
  <c r="N40" i="17"/>
  <c r="O40" i="17" s="1"/>
  <c r="N41" i="17"/>
  <c r="O41" i="17" s="1"/>
  <c r="N9" i="17"/>
  <c r="O9" i="17" s="1"/>
  <c r="N34" i="17"/>
  <c r="O34" i="17" s="1"/>
  <c r="N47" i="17"/>
  <c r="O47" i="17" s="1"/>
  <c r="N19" i="17"/>
  <c r="O19" i="17" s="1"/>
  <c r="N13" i="17"/>
  <c r="O13" i="17" s="1"/>
  <c r="N51" i="17"/>
  <c r="O51" i="17" s="1"/>
  <c r="N53" i="17"/>
  <c r="O53" i="17" s="1"/>
  <c r="N15" i="17"/>
  <c r="O15" i="17" s="1"/>
  <c r="N21" i="17"/>
  <c r="O21" i="17" s="1"/>
  <c r="N8" i="17"/>
  <c r="O8" i="17" s="1"/>
  <c r="L15" i="17" l="1"/>
  <c r="L23" i="17"/>
  <c r="M45" i="17"/>
  <c r="L32" i="17"/>
  <c r="M32" i="17"/>
  <c r="M22" i="17"/>
  <c r="L19" i="17"/>
  <c r="L8" i="17"/>
  <c r="L34" i="17"/>
  <c r="M17" i="17"/>
  <c r="L40" i="17"/>
  <c r="L29" i="17"/>
  <c r="M40" i="17"/>
  <c r="L48" i="17"/>
  <c r="L44" i="17"/>
  <c r="M11" i="17"/>
  <c r="L37" i="17"/>
  <c r="M37" i="17"/>
  <c r="L22" i="17"/>
  <c r="M53" i="17"/>
  <c r="L6" i="17"/>
  <c r="M34" i="17"/>
  <c r="M48" i="17"/>
  <c r="M12" i="17"/>
  <c r="L26" i="17"/>
  <c r="L21" i="17"/>
  <c r="L36" i="17"/>
  <c r="L35" i="17"/>
  <c r="M41" i="17"/>
  <c r="L24" i="17"/>
  <c r="L38" i="17"/>
  <c r="M7" i="17"/>
  <c r="L18" i="17"/>
  <c r="L45" i="17"/>
  <c r="M24" i="17"/>
  <c r="M50" i="17"/>
  <c r="M10" i="17"/>
  <c r="L55" i="17"/>
  <c r="L39" i="17"/>
  <c r="M51" i="17"/>
  <c r="M35" i="17"/>
  <c r="M44" i="17"/>
  <c r="L51" i="17"/>
  <c r="M47" i="17"/>
  <c r="M29" i="17"/>
  <c r="L10" i="17"/>
  <c r="L54" i="17"/>
  <c r="L33" i="17"/>
  <c r="M30" i="17"/>
  <c r="L28" i="17"/>
  <c r="M55" i="17"/>
  <c r="L14" i="17"/>
  <c r="M27" i="17"/>
  <c r="L42" i="17"/>
  <c r="L9" i="17"/>
  <c r="L41" i="17"/>
  <c r="L11" i="17"/>
  <c r="L53" i="17"/>
  <c r="M8" i="17"/>
  <c r="M28" i="17"/>
  <c r="L5" i="17"/>
  <c r="M20" i="17"/>
  <c r="L50" i="17"/>
  <c r="M14" i="17"/>
  <c r="M52" i="17"/>
  <c r="M13" i="17"/>
  <c r="L43" i="17"/>
  <c r="M6" i="17"/>
  <c r="M9" i="17"/>
  <c r="L31" i="17"/>
  <c r="L12" i="17"/>
  <c r="M33" i="17"/>
  <c r="M16" i="17"/>
  <c r="M18" i="17"/>
  <c r="M43" i="17"/>
  <c r="M26" i="17"/>
  <c r="M21" i="17"/>
  <c r="M38" i="17"/>
  <c r="M31" i="17"/>
  <c r="M5" i="17"/>
  <c r="M25" i="17"/>
  <c r="L25" i="17"/>
  <c r="M46" i="17"/>
  <c r="L16" i="17"/>
  <c r="M54" i="17"/>
  <c r="L20" i="17"/>
  <c r="L52" i="17"/>
  <c r="M36" i="17"/>
  <c r="L46" i="17"/>
  <c r="M23" i="17"/>
  <c r="L17" i="17"/>
  <c r="L7" i="17"/>
  <c r="M19" i="17"/>
  <c r="L13" i="17"/>
  <c r="M15" i="17"/>
  <c r="M42" i="17"/>
  <c r="L27" i="17"/>
  <c r="L47" i="17"/>
  <c r="M49" i="17"/>
  <c r="M39" i="17"/>
  <c r="L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9CC3AE8-BA96-407E-B31A-67CA667675CE}">
      <text>
        <r>
          <rPr>
            <b/>
            <sz val="9"/>
            <color indexed="81"/>
            <rFont val="Tahoma"/>
            <family val="2"/>
          </rPr>
          <t>Erik Kobayashi-Solomon:</t>
        </r>
        <r>
          <rPr>
            <sz val="9"/>
            <color indexed="81"/>
            <rFont val="Tahoma"/>
            <family val="2"/>
          </rPr>
          <t xml:space="preserve">
These data are in quarterly earnings announcements.</t>
        </r>
      </text>
    </comment>
    <comment ref="A62" authorId="0" shapeId="0" xr:uid="{170C58C1-04AA-4E62-AD94-6FAD86A33286}">
      <text>
        <r>
          <rPr>
            <b/>
            <sz val="9"/>
            <color indexed="81"/>
            <rFont val="Tahoma"/>
            <family val="2"/>
          </rPr>
          <t>Erik Kobayashi-Solomon:</t>
        </r>
        <r>
          <rPr>
            <sz val="9"/>
            <color indexed="81"/>
            <rFont val="Tahoma"/>
            <family val="2"/>
          </rPr>
          <t xml:space="preserve">
2014, five years after 2009 trough, gave notably higher numbers, so excluding that year from calculation of statistics.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M20" authorId="0" shapeId="0" xr:uid="{9A4BE44D-3433-4C3C-88BE-2350754960EF}">
      <text>
        <r>
          <rPr>
            <b/>
            <sz val="9"/>
            <color indexed="81"/>
            <rFont val="Tahoma"/>
            <family val="2"/>
          </rPr>
          <t>Erik Kobayashi-Solomon:</t>
        </r>
        <r>
          <rPr>
            <sz val="9"/>
            <color indexed="81"/>
            <rFont val="Tahoma"/>
            <family val="2"/>
          </rPr>
          <t xml:space="preserve">
Using Max</t>
        </r>
      </text>
    </comment>
    <comment ref="M21" authorId="0" shapeId="0" xr:uid="{6CF37EBF-46E5-4660-873A-3CAE3420CC4D}">
      <text>
        <r>
          <rPr>
            <b/>
            <sz val="9"/>
            <color indexed="81"/>
            <rFont val="Tahoma"/>
            <family val="2"/>
          </rPr>
          <t>Erik Kobayashi-Solomon:</t>
        </r>
        <r>
          <rPr>
            <sz val="9"/>
            <color indexed="81"/>
            <rFont val="Tahoma"/>
            <family val="2"/>
          </rPr>
          <t xml:space="preserve">
Using median - Max includes year of Great Recession outlier</t>
        </r>
      </text>
    </comment>
    <comment ref="M22" authorId="0" shapeId="0" xr:uid="{9C41D7AB-B7E9-4D27-8E72-1DD8F008A86B}">
      <text>
        <r>
          <rPr>
            <b/>
            <sz val="9"/>
            <color indexed="81"/>
            <rFont val="Tahoma"/>
            <family val="2"/>
          </rPr>
          <t>Erik Kobayashi-Solomon:</t>
        </r>
        <r>
          <rPr>
            <sz val="9"/>
            <color indexed="81"/>
            <rFont val="Tahoma"/>
            <family val="2"/>
          </rPr>
          <t xml:space="preserve">
Using median to avoid GR outlier.</t>
        </r>
      </text>
    </comment>
    <comment ref="M23" authorId="0" shapeId="0" xr:uid="{744D2EE6-8CA2-4088-A1F8-3AD5D6B8B890}">
      <text>
        <r>
          <rPr>
            <b/>
            <sz val="9"/>
            <color indexed="81"/>
            <rFont val="Tahoma"/>
            <family val="2"/>
          </rPr>
          <t>Erik Kobayashi-Solomon:</t>
        </r>
        <r>
          <rPr>
            <sz val="9"/>
            <color indexed="81"/>
            <rFont val="Tahoma"/>
            <family val="2"/>
          </rPr>
          <t xml:space="preserve">
Using -8% - just less than median; more representative of trend.</t>
        </r>
      </text>
    </comment>
    <comment ref="M24" authorId="0" shapeId="0" xr:uid="{F8B56063-0915-40D0-BFEC-CE0BB335D4CC}">
      <text>
        <r>
          <rPr>
            <b/>
            <sz val="9"/>
            <color indexed="81"/>
            <rFont val="Tahoma"/>
            <family val="2"/>
          </rPr>
          <t>Erik Kobayashi-Solomon:</t>
        </r>
        <r>
          <rPr>
            <sz val="9"/>
            <color indexed="81"/>
            <rFont val="Tahoma"/>
            <family val="2"/>
          </rPr>
          <t xml:space="preserve">
Using historical series starting in 2011 - strong secular uptick followed by correction. Fracking.</t>
        </r>
      </text>
    </comment>
    <comment ref="M25" authorId="0" shapeId="0" xr:uid="{7525546C-0BB4-4FD6-AE00-76A3245E2107}">
      <text>
        <r>
          <rPr>
            <b/>
            <sz val="9"/>
            <color indexed="81"/>
            <rFont val="Tahoma"/>
            <family val="2"/>
          </rPr>
          <t>Erik Kobayashi-Solomon:</t>
        </r>
        <r>
          <rPr>
            <sz val="9"/>
            <color indexed="81"/>
            <rFont val="Tahoma"/>
            <family val="2"/>
          </rPr>
          <t xml:space="preserve">
Max includes influence of GR outlier. 0% is higher than median.</t>
        </r>
      </text>
    </comment>
    <comment ref="M28" authorId="0" shapeId="0" xr:uid="{E564F10E-215A-488D-85EC-4CCCAD0C7810}">
      <text>
        <r>
          <rPr>
            <b/>
            <sz val="9"/>
            <color indexed="81"/>
            <rFont val="Tahoma"/>
            <family val="2"/>
          </rPr>
          <t>Erik Kobayashi-Solomon:</t>
        </r>
        <r>
          <rPr>
            <sz val="9"/>
            <color indexed="81"/>
            <rFont val="Tahoma"/>
            <family val="2"/>
          </rPr>
          <t xml:space="preserve">
Using minimum</t>
        </r>
      </text>
    </comment>
    <comment ref="M29" authorId="0" shapeId="0" xr:uid="{3AB86D46-9D5D-4389-9A23-304BE5585D93}">
      <text>
        <r>
          <rPr>
            <b/>
            <sz val="9"/>
            <color indexed="81"/>
            <rFont val="Tahoma"/>
            <family val="2"/>
          </rPr>
          <t>Erik Kobayashi-Solomon:</t>
        </r>
        <r>
          <rPr>
            <sz val="9"/>
            <color indexed="81"/>
            <rFont val="Tahoma"/>
            <family val="2"/>
          </rPr>
          <t xml:space="preserve">
Using flat - better than min.</t>
        </r>
      </text>
    </comment>
    <comment ref="M54" authorId="0" shapeId="0" xr:uid="{455795AB-69A1-4EBE-BC2E-A4B0C3BC26C3}">
      <text>
        <r>
          <rPr>
            <b/>
            <sz val="9"/>
            <color indexed="81"/>
            <rFont val="Tahoma"/>
            <family val="2"/>
          </rPr>
          <t>Erik Kobayashi-Solomon:</t>
        </r>
        <r>
          <rPr>
            <sz val="9"/>
            <color indexed="81"/>
            <rFont val="Tahoma"/>
            <family val="2"/>
          </rPr>
          <t xml:space="preserve">
Historical max does not match with trend. Asuming better than last year and positive trend in future.</t>
        </r>
      </text>
    </comment>
    <comment ref="M55" authorId="0" shapeId="0" xr:uid="{F9E38D7D-3568-4457-B21F-B53003F8E6CF}">
      <text>
        <r>
          <rPr>
            <b/>
            <sz val="9"/>
            <color indexed="81"/>
            <rFont val="Tahoma"/>
            <family val="2"/>
          </rPr>
          <t>Erik Kobayashi-Solomon:</t>
        </r>
        <r>
          <rPr>
            <sz val="9"/>
            <color indexed="81"/>
            <rFont val="Tahoma"/>
            <family val="2"/>
          </rPr>
          <t xml:space="preserve">
2017 trend unusually good. Assuming a return toward median.</t>
        </r>
      </text>
    </comment>
    <comment ref="M56" authorId="0" shapeId="0" xr:uid="{13E047AE-6291-4896-BC80-7193F27D3D9C}">
      <text>
        <r>
          <rPr>
            <b/>
            <sz val="9"/>
            <color indexed="81"/>
            <rFont val="Tahoma"/>
            <family val="2"/>
          </rPr>
          <t>Erik Kobayashi-Solomon:</t>
        </r>
        <r>
          <rPr>
            <sz val="9"/>
            <color indexed="81"/>
            <rFont val="Tahoma"/>
            <family val="2"/>
          </rPr>
          <t xml:space="preserve">
Using median as last year trend is lower than historical.</t>
        </r>
      </text>
    </comment>
    <comment ref="M57" authorId="0" shapeId="0" xr:uid="{296A8160-4766-446E-B802-B797DAF9EC06}">
      <text>
        <r>
          <rPr>
            <b/>
            <sz val="9"/>
            <color indexed="81"/>
            <rFont val="Tahoma"/>
            <family val="2"/>
          </rPr>
          <t>Erik Kobayashi-Solomon:</t>
        </r>
        <r>
          <rPr>
            <sz val="9"/>
            <color indexed="81"/>
            <rFont val="Tahoma"/>
            <family val="2"/>
          </rPr>
          <t xml:space="preserve">
Last year boom year for volumes, but rev/tm increase very small. Assuming less growth than historical best.</t>
        </r>
      </text>
    </comment>
    <comment ref="M58" authorId="0" shapeId="0" xr:uid="{203DFC91-534C-41E9-962F-649E3B54B860}">
      <text>
        <r>
          <rPr>
            <b/>
            <sz val="9"/>
            <color indexed="81"/>
            <rFont val="Tahoma"/>
            <family val="2"/>
          </rPr>
          <t>Erik Kobayashi-Solomon:</t>
        </r>
        <r>
          <rPr>
            <sz val="9"/>
            <color indexed="81"/>
            <rFont val="Tahoma"/>
            <family val="2"/>
          </rPr>
          <t xml:space="preserve">
Company reports weakness in this business. Panama canal,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<sst xmlns="http://schemas.openxmlformats.org/spreadsheetml/2006/main" count="621" uniqueCount="245">
  <si>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</si>
  <si>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</si>
  <si>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</si>
  <si>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</si>
  <si>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</si>
  <si>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</si>
  <si>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</si>
  <si>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</si>
  <si>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</si>
  <si>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</si>
  <si>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</si>
  <si>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</si>
  <si>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</si>
  <si>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</si>
  <si>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</si>
  <si>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</si>
  <si>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</si>
  <si>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</si>
  <si>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</si>
  <si>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</si>
  <si>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</si>
  <si>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</si>
  <si>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</si>
  <si>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</si>
  <si>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</si>
  <si>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</si>
  <si>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</si>
  <si>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</si>
  <si>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</si>
  <si>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</si>
  <si>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</si>
  <si>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</si>
  <si>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</si>
  <si>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</si>
  <si>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</si>
  <si>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</si>
  <si>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</si>
  <si>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</si>
  <si>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</si>
  <si>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</si>
  <si>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</si>
  <si>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</si>
  <si>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</si>
  <si>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</si>
  <si>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</si>
  <si>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</si>
  <si>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</si>
  <si>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</si>
  <si>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</si>
  <si>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</si>
  <si>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</si>
  <si>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</si>
  <si>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</si>
  <si>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</si>
  <si>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</si>
  <si>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</si>
  <si>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</si>
  <si>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</si>
  <si>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</si>
  <si>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</si>
  <si>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</si>
  <si>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</si>
  <si>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</si>
  <si>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</si>
  <si>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</si>
  <si>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</si>
  <si>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</si>
  <si>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</si>
  <si>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</si>
  <si>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</si>
  <si>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</si>
  <si>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</si>
  <si>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</si>
  <si>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</si>
  <si>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</si>
  <si>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</si>
  <si>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</si>
  <si>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</si>
  <si>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</si>
  <si>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</si>
  <si>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</si>
  <si>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</si>
  <si>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</si>
  <si>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</si>
  <si>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</si>
  <si>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</si>
  <si>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</si>
  <si>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</si>
  <si>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</si>
  <si>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</si>
  <si>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</si>
  <si>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</si>
  <si>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</si>
  <si>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</si>
  <si>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</si>
  <si>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</si>
  <si>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</si>
  <si>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</si>
  <si>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</si>
  <si>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</si>
  <si>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</si>
  <si>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</si>
  <si>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</si>
  <si>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</si>
  <si>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</si>
  <si>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</si>
  <si>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</si>
  <si>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</si>
  <si>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</si>
  <si>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</si>
  <si>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</si>
  <si>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</si>
  <si>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</si>
  <si>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</si>
  <si>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</si>
  <si>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</si>
  <si>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</si>
  <si>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</si>
  <si>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</si>
  <si>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</si>
  <si>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</si>
  <si>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</si>
  <si>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</si>
  <si>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</si>
  <si>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</si>
  <si>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</si>
  <si>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</si>
  <si>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</si>
  <si>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</si>
  <si>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</si>
  <si>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</si>
  <si>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</si>
  <si>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</si>
  <si>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</si>
  <si>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</si>
  <si>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</si>
  <si>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</si>
  <si>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</si>
  <si>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</si>
  <si>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</si>
  <si>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</si>
  <si>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</si>
  <si>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</si>
  <si>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</si>
  <si>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</si>
  <si>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</si>
  <si>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</si>
  <si>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</si>
  <si>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</si>
  <si>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</si>
  <si>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</si>
  <si>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</si>
  <si>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</si>
  <si>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</si>
  <si>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</si>
  <si>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</si>
  <si>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</si>
  <si>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</si>
  <si>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</si>
  <si>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</si>
  <si>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</si>
  <si>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</si>
  <si>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</si>
  <si>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</si>
  <si>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</si>
  <si>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</si>
  <si>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</si>
  <si>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</si>
  <si>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</si>
  <si>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</si>
  <si>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</si>
  <si>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</si>
  <si>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</si>
  <si>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</si>
  <si>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</si>
  <si>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</si>
  <si>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</si>
  <si>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</si>
  <si>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</si>
  <si>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</si>
  <si>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</si>
  <si>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</si>
  <si>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</si>
  <si>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</si>
  <si>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</si>
  <si>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</si>
  <si>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</si>
  <si>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</si>
  <si>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</si>
  <si>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</si>
  <si>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</si>
  <si>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Union Pacific</t>
  </si>
  <si>
    <t>UNP</t>
  </si>
  <si>
    <t>Freight Revenues</t>
  </si>
  <si>
    <t>Agricultural</t>
  </si>
  <si>
    <t>Automotive</t>
  </si>
  <si>
    <t>Chemicals</t>
  </si>
  <si>
    <t>Coal</t>
  </si>
  <si>
    <t>Industrial</t>
  </si>
  <si>
    <t>Intermodal</t>
  </si>
  <si>
    <t>Revenue Ton Miles (Millions)</t>
  </si>
  <si>
    <t>Revenue Ton-Miles</t>
  </si>
  <si>
    <t>Revenue / Ton-Miles</t>
  </si>
  <si>
    <t>Revenues Adjusted for Fuel Surcharge</t>
  </si>
  <si>
    <t>Fuel Surcharge</t>
  </si>
  <si>
    <t>max</t>
  </si>
  <si>
    <t>min</t>
  </si>
  <si>
    <t>YoY Adjusted Revenue Change</t>
  </si>
  <si>
    <t>Indexed</t>
  </si>
  <si>
    <t>Period RGR</t>
  </si>
  <si>
    <t>Revenues / Ton Miles (5Y RGR)</t>
  </si>
  <si>
    <t>Median</t>
  </si>
  <si>
    <t>Revenue Ton Miles (5Y RGR)</t>
  </si>
  <si>
    <t>Other Revenue</t>
  </si>
  <si>
    <t>Subsidiaries, Commuter Rail, etc.</t>
  </si>
  <si>
    <t>Revenue Ton-Mile (YoY Change)</t>
  </si>
  <si>
    <t>Revenues / Ton-Mile (YoY Change)</t>
  </si>
  <si>
    <t>Average Effect of Pricing on Revenue</t>
  </si>
  <si>
    <t>Intermodal Contribution</t>
  </si>
  <si>
    <t>Coal Contribution</t>
  </si>
  <si>
    <t>Chemical Contribution</t>
  </si>
  <si>
    <t>3Y RGR Revenue Ton Miles</t>
  </si>
  <si>
    <t>9m 2017 Revenues</t>
  </si>
  <si>
    <t>Other Revenues</t>
  </si>
  <si>
    <t>Industrial Run Rate</t>
  </si>
  <si>
    <t>Revenue Ton Miles: First step is to think about "volume". How much business will the company do?</t>
  </si>
  <si>
    <t>Best Case</t>
  </si>
  <si>
    <t>Worst Case</t>
  </si>
  <si>
    <t>Adjusted Revenues / Ton Miles: Next step is to see how much pricing power the firm is likely to have</t>
  </si>
  <si>
    <t>Revenues: With volumes and prices, we've got all the requirements to generate revenue forecasts</t>
  </si>
  <si>
    <t>Best Case Freight Revenues</t>
  </si>
  <si>
    <t xml:space="preserve">Best Case </t>
  </si>
  <si>
    <t>Worst Case Freight Revenues</t>
  </si>
  <si>
    <t>Graphs</t>
  </si>
  <si>
    <t>Agricultural Revenues</t>
  </si>
  <si>
    <t>Change</t>
  </si>
  <si>
    <t>Best Case Change</t>
  </si>
  <si>
    <t>Worst Case Change</t>
  </si>
  <si>
    <t>Automotive Revenues</t>
  </si>
  <si>
    <t>Chemicals Revenues</t>
  </si>
  <si>
    <t>Coal Revenues</t>
  </si>
  <si>
    <t>Industrial Revenues</t>
  </si>
  <si>
    <t>Intermodal Revenues</t>
  </si>
  <si>
    <t>Adjusted Revenue / Ton Miles</t>
  </si>
  <si>
    <t>Most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</si>
</sst>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_(* #,##0.0000_);_(* \(#,##0.0000\);_(* &quot;-&quot;??_);_(@_)"/>
  </numFmts>
  <fonts count="54">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b/>
      <sz val="14"/>
      <color theme="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6AD"/>
        <bgColor indexed="64"/>
      </patternFill>
    </fill>
    <fill>
      <patternFill patternType="solid">
        <fgColor theme="4" tint="0.39997558519241921"/>
        <bgColor indexed="64"/>
      </patternFill>
    </fill>
    <fill>
      <patternFill patternType="solid">
        <fgColor rgb="FFFFC000"/>
        <bgColor indexed="64"/>
      </patternFill>
    </fill>
    <fill>
      <patternFill patternType="solid">
        <fgColor theme="4" tint="0.79998168889431442"/>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1">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67" fontId="0" fillId="0" borderId="0" xfId="3" applyNumberFormat="1" applyFont="1"/>
    <xf numFmtId="208" fontId="0" fillId="0" borderId="0" xfId="1" applyNumberFormat="1" applyFont="1"/>
    <xf numFmtId="0" fontId="3" fillId="9" borderId="0" xfId="0" applyFont="1" applyFill="1"/>
    <xf numFmtId="0" fontId="5" fillId="9" borderId="0" xfId="0" applyFont="1" applyFill="1"/>
    <xf numFmtId="0" fontId="4" fillId="10" borderId="0" xfId="0" applyFont="1" applyFill="1"/>
    <xf numFmtId="0" fontId="0" fillId="10" borderId="0" xfId="0" applyFill="1"/>
    <xf numFmtId="0" fontId="4" fillId="11" borderId="0" xfId="0" applyFont="1" applyFill="1"/>
    <xf numFmtId="0" fontId="0" fillId="11" borderId="0" xfId="0" applyFill="1"/>
    <xf numFmtId="9" fontId="0" fillId="12" borderId="0" xfId="3" applyFont="1" applyFill="1"/>
    <xf numFmtId="9" fontId="0" fillId="12" borderId="0" xfId="0" applyNumberFormat="1" applyFill="1"/>
    <xf numFmtId="165" fontId="0" fillId="12" borderId="0" xfId="0" applyNumberFormat="1" applyFill="1"/>
    <xf numFmtId="9" fontId="0" fillId="0" borderId="24" xfId="3" applyFont="1" applyBorder="1"/>
    <xf numFmtId="9" fontId="0" fillId="0" borderId="12" xfId="3" applyFont="1" applyBorder="1"/>
    <xf numFmtId="9" fontId="0" fillId="0" borderId="25" xfId="3" applyFont="1" applyBorder="1"/>
    <xf numFmtId="9" fontId="0" fillId="0" borderId="24" xfId="3" applyNumberFormat="1" applyFont="1" applyBorder="1"/>
    <xf numFmtId="9" fontId="0" fillId="0" borderId="12" xfId="3" applyNumberFormat="1" applyFont="1" applyBorder="1"/>
    <xf numFmtId="9" fontId="0" fillId="0" borderId="25" xfId="3" applyNumberFormat="1" applyFont="1" applyBorder="1"/>
    <xf numFmtId="0" fontId="53" fillId="9" borderId="0" xfId="0" applyFont="1" applyFill="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10.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chartsheet" Target="chartsheets/sheet5.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7.xml"/><Relationship Id="rId22" Type="http://schemas.openxmlformats.org/officeDocument/2006/relationships/externalLink" Target="externalLinks/externalLink4.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Segments!$A$75</c:f>
          <c:strCache>
            <c:ptCount val="1"/>
            <c:pt idx="0">
              <c:v>Agricultural</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Segments!$A$74</c:f>
              <c:strCache>
                <c:ptCount val="1"/>
                <c:pt idx="0">
                  <c:v>Revenue Ton-Mile (YoY Change)</c:v>
                </c:pt>
              </c:strCache>
            </c:strRef>
          </c:tx>
          <c:spPr>
            <a:solidFill>
              <a:srgbClr val="575A5D"/>
            </a:solidFill>
            <a:ln>
              <a:noFill/>
            </a:ln>
            <a:effectLst/>
          </c:spPr>
          <c:invertIfNegative val="0"/>
          <c:cat>
            <c:numRef>
              <c:extLst>
                <c:ext xmlns:c15="http://schemas.microsoft.com/office/drawing/2012/chart" uri="{02D57815-91ED-43cb-92C2-25804820EDAC}">
                  <c15:fullRef>
                    <c15:sqref>Segments!$B$1:$L$1</c15:sqref>
                  </c15:fullRef>
                </c:ext>
              </c:extLst>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extLst>
                <c:ext xmlns:c15="http://schemas.microsoft.com/office/drawing/2012/chart" uri="{02D57815-91ED-43cb-92C2-25804820EDAC}">
                  <c15:fullRef>
                    <c15:sqref>Segments!$B$75:$L$75</c15:sqref>
                  </c15:fullRef>
                </c:ext>
              </c:extLst>
              <c:f>Segments!$C$75:$L$75</c:f>
              <c:numCache>
                <c:formatCode>0.0%</c:formatCode>
                <c:ptCount val="10"/>
                <c:pt idx="0">
                  <c:v>0.10003476878756268</c:v>
                </c:pt>
                <c:pt idx="1">
                  <c:v>-8.3318282385876241E-2</c:v>
                </c:pt>
                <c:pt idx="2">
                  <c:v>8.6568891844299056E-2</c:v>
                </c:pt>
                <c:pt idx="3">
                  <c:v>-1.6206353343835023E-3</c:v>
                </c:pt>
                <c:pt idx="4">
                  <c:v>-7.5907553295343599E-2</c:v>
                </c:pt>
                <c:pt idx="5">
                  <c:v>-6.1788298303585565E-3</c:v>
                </c:pt>
                <c:pt idx="6">
                  <c:v>0.16524522891327997</c:v>
                </c:pt>
                <c:pt idx="7">
                  <c:v>-5.5371103072990091E-2</c:v>
                </c:pt>
                <c:pt idx="8">
                  <c:v>3.5832594073192281E-2</c:v>
                </c:pt>
                <c:pt idx="9">
                  <c:v>-2.5443389271931016E-2</c:v>
                </c:pt>
              </c:numCache>
            </c:numRef>
          </c:val>
          <c:extLst>
            <c:ext xmlns:c16="http://schemas.microsoft.com/office/drawing/2014/chart" uri="{C3380CC4-5D6E-409C-BE32-E72D297353CC}">
              <c16:uniqueId val="{00000000-261F-489D-8417-0AB2E8D2DF97}"/>
            </c:ext>
          </c:extLst>
        </c:ser>
        <c:ser>
          <c:idx val="1"/>
          <c:order val="1"/>
          <c:tx>
            <c:strRef>
              <c:f>Segments!$A$82</c:f>
              <c:strCache>
                <c:ptCount val="1"/>
                <c:pt idx="0">
                  <c:v>Revenues / Ton-Mile (YoY Change)</c:v>
                </c:pt>
              </c:strCache>
            </c:strRef>
          </c:tx>
          <c:spPr>
            <a:solidFill>
              <a:srgbClr val="0046AD"/>
            </a:solidFill>
            <a:ln>
              <a:noFill/>
            </a:ln>
            <a:effectLst/>
          </c:spPr>
          <c:invertIfNegative val="0"/>
          <c:cat>
            <c:numRef>
              <c:extLst>
                <c:ext xmlns:c15="http://schemas.microsoft.com/office/drawing/2012/chart" uri="{02D57815-91ED-43cb-92C2-25804820EDAC}">
                  <c15:fullRef>
                    <c15:sqref>Segments!$B$1:$L$1</c15:sqref>
                  </c15:fullRef>
                </c:ext>
              </c:extLst>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extLst>
                <c:ext xmlns:c15="http://schemas.microsoft.com/office/drawing/2012/chart" uri="{02D57815-91ED-43cb-92C2-25804820EDAC}">
                  <c15:fullRef>
                    <c15:sqref>Segments!$B$83:$L$83</c15:sqref>
                  </c15:fullRef>
                </c:ext>
              </c:extLst>
              <c:f>Segments!$C$83:$L$83</c:f>
              <c:numCache>
                <c:formatCode>0.0%</c:formatCode>
                <c:ptCount val="10"/>
                <c:pt idx="0">
                  <c:v>6.6736493702963973E-2</c:v>
                </c:pt>
                <c:pt idx="1">
                  <c:v>-4.1903679417534256E-3</c:v>
                </c:pt>
                <c:pt idx="2">
                  <c:v>8.210799451428219E-3</c:v>
                </c:pt>
                <c:pt idx="3">
                  <c:v>5.8597179354373585E-2</c:v>
                </c:pt>
                <c:pt idx="4">
                  <c:v>4.7810083471034659E-2</c:v>
                </c:pt>
                <c:pt idx="5">
                  <c:v>3.815920307409959E-3</c:v>
                </c:pt>
                <c:pt idx="6">
                  <c:v>-1.3167039378953804E-2</c:v>
                </c:pt>
                <c:pt idx="7">
                  <c:v>7.325223595470387E-2</c:v>
                </c:pt>
                <c:pt idx="8">
                  <c:v>1.3157751429712095E-2</c:v>
                </c:pt>
                <c:pt idx="9">
                  <c:v>2.3562379393248012E-2</c:v>
                </c:pt>
              </c:numCache>
            </c:numRef>
          </c:val>
          <c:extLst>
            <c:ext xmlns:c16="http://schemas.microsoft.com/office/drawing/2014/chart" uri="{C3380CC4-5D6E-409C-BE32-E72D297353CC}">
              <c16:uniqueId val="{00000001-261F-489D-8417-0AB2E8D2DF97}"/>
            </c:ext>
          </c:extLst>
        </c:ser>
        <c:dLbls>
          <c:showLegendKey val="0"/>
          <c:showVal val="0"/>
          <c:showCatName val="0"/>
          <c:showSerName val="0"/>
          <c:showPercent val="0"/>
          <c:showBubbleSize val="0"/>
        </c:dLbls>
        <c:gapWidth val="219"/>
        <c:overlap val="-27"/>
        <c:axId val="537534936"/>
        <c:axId val="537533952"/>
      </c:barChart>
      <c:catAx>
        <c:axId val="5375349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3952"/>
        <c:crosses val="autoZero"/>
        <c:auto val="1"/>
        <c:lblAlgn val="ctr"/>
        <c:lblOffset val="100"/>
        <c:noMultiLvlLbl val="0"/>
      </c:catAx>
      <c:valAx>
        <c:axId val="53753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4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Automotive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Model'!$A$111</c:f>
              <c:strCache>
                <c:ptCount val="1"/>
                <c:pt idx="0">
                  <c:v>Automotive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Model'!$B$111:$Q$111</c:f>
              <c:numCache>
                <c:formatCode>_(* #,##0_);_(* \(#,##0\);_(* "-"??_);_(@_)</c:formatCode>
                <c:ptCount val="16"/>
                <c:pt idx="0">
                  <c:v>1412.0115227509366</c:v>
                </c:pt>
                <c:pt idx="1">
                  <c:v>1286.2708915790279</c:v>
                </c:pt>
                <c:pt idx="2">
                  <c:v>841.702738799803</c:v>
                </c:pt>
                <c:pt idx="3">
                  <c:v>1241.1874442736357</c:v>
                </c:pt>
                <c:pt idx="4">
                  <c:v>1457.4486450145757</c:v>
                </c:pt>
                <c:pt idx="5">
                  <c:v>1732.4492804795907</c:v>
                </c:pt>
                <c:pt idx="6">
                  <c:v>1995.2545423433514</c:v>
                </c:pt>
                <c:pt idx="7">
                  <c:v>2017.4302793338779</c:v>
                </c:pt>
                <c:pt idx="8">
                  <c:v>2105.2387765831331</c:v>
                </c:pt>
                <c:pt idx="9">
                  <c:v>1976.8538575313707</c:v>
                </c:pt>
                <c:pt idx="10">
                  <c:v>1960.1482470255248</c:v>
                </c:pt>
              </c:numCache>
            </c:numRef>
          </c:val>
          <c:extLst>
            <c:ext xmlns:c16="http://schemas.microsoft.com/office/drawing/2014/chart" uri="{C3380CC4-5D6E-409C-BE32-E72D297353CC}">
              <c16:uniqueId val="{00000000-4490-4377-9A4B-539E152FBE8D}"/>
            </c:ext>
          </c:extLst>
        </c:ser>
        <c:ser>
          <c:idx val="1"/>
          <c:order val="1"/>
          <c:tx>
            <c:strRef>
              <c:f>'Revenue Model'!$A$112</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Model'!$B$112:$Q$112</c:f>
              <c:numCache>
                <c:formatCode>_(* #,##0_);_(* \(#,##0\);_(* "-"??_);_(@_)</c:formatCode>
                <c:ptCount val="16"/>
                <c:pt idx="11">
                  <c:v>2060.1049120410971</c:v>
                </c:pt>
                <c:pt idx="12">
                  <c:v>2168.5473839636675</c:v>
                </c:pt>
                <c:pt idx="13">
                  <c:v>2328.3521550721348</c:v>
                </c:pt>
                <c:pt idx="14">
                  <c:v>2499.9332724379533</c:v>
                </c:pt>
                <c:pt idx="15">
                  <c:v>2684.1585595322945</c:v>
                </c:pt>
              </c:numCache>
            </c:numRef>
          </c:val>
          <c:extLst>
            <c:ext xmlns:c16="http://schemas.microsoft.com/office/drawing/2014/chart" uri="{C3380CC4-5D6E-409C-BE32-E72D297353CC}">
              <c16:uniqueId val="{00000001-4490-4377-9A4B-539E152FBE8D}"/>
            </c:ext>
          </c:extLst>
        </c:ser>
        <c:ser>
          <c:idx val="2"/>
          <c:order val="2"/>
          <c:tx>
            <c:strRef>
              <c:f>'Revenue Model'!$A$113</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Model'!$B$113:$Q$113</c:f>
              <c:numCache>
                <c:formatCode>_(* #,##0_);_(* \(#,##0\);_(* "-"??_);_(@_)</c:formatCode>
                <c:ptCount val="16"/>
                <c:pt idx="11">
                  <c:v>1937.3167803807432</c:v>
                </c:pt>
                <c:pt idx="12">
                  <c:v>1917.9436125769357</c:v>
                </c:pt>
                <c:pt idx="13">
                  <c:v>1917.9436125769357</c:v>
                </c:pt>
                <c:pt idx="14">
                  <c:v>1917.9436125769357</c:v>
                </c:pt>
                <c:pt idx="15">
                  <c:v>1917.9436125769357</c:v>
                </c:pt>
              </c:numCache>
            </c:numRef>
          </c:val>
          <c:extLst>
            <c:ext xmlns:c16="http://schemas.microsoft.com/office/drawing/2014/chart" uri="{C3380CC4-5D6E-409C-BE32-E72D297353CC}">
              <c16:uniqueId val="{00000002-4490-4377-9A4B-539E152FBE8D}"/>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Model'!$A$114</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Model'!$B$114:$Q$114</c:f>
              <c:numCache>
                <c:formatCode>0%</c:formatCode>
                <c:ptCount val="16"/>
                <c:pt idx="1">
                  <c:v>-8.9050711800804483E-2</c:v>
                </c:pt>
                <c:pt idx="2">
                  <c:v>-0.34562560319892832</c:v>
                </c:pt>
                <c:pt idx="3">
                  <c:v>0.47461495259414765</c:v>
                </c:pt>
                <c:pt idx="4">
                  <c:v>0.17423734161885585</c:v>
                </c:pt>
                <c:pt idx="5">
                  <c:v>0.18868632963891829</c:v>
                </c:pt>
                <c:pt idx="6">
                  <c:v>0.15169578978439646</c:v>
                </c:pt>
                <c:pt idx="7">
                  <c:v>1.1114239571900386E-2</c:v>
                </c:pt>
                <c:pt idx="8">
                  <c:v>4.3524922843057645E-2</c:v>
                </c:pt>
                <c:pt idx="9">
                  <c:v>-6.098354280749807E-2</c:v>
                </c:pt>
              </c:numCache>
            </c:numRef>
          </c:val>
          <c:smooth val="0"/>
          <c:extLst>
            <c:ext xmlns:c16="http://schemas.microsoft.com/office/drawing/2014/chart" uri="{C3380CC4-5D6E-409C-BE32-E72D297353CC}">
              <c16:uniqueId val="{00000003-4490-4377-9A4B-539E152FBE8D}"/>
            </c:ext>
          </c:extLst>
        </c:ser>
        <c:ser>
          <c:idx val="4"/>
          <c:order val="4"/>
          <c:tx>
            <c:strRef>
              <c:f>'Revenue Model'!$A$115</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Model'!$B$115:$Q$115</c:f>
              <c:numCache>
                <c:formatCode>_(* #,##0_);_(* \(#,##0\);_(* "-"??_);_(@_)</c:formatCode>
                <c:ptCount val="16"/>
                <c:pt idx="9" formatCode="0%">
                  <c:v>-6.098354280749807E-2</c:v>
                </c:pt>
                <c:pt idx="10" formatCode="0%">
                  <c:v>0</c:v>
                </c:pt>
                <c:pt idx="11" formatCode="0%">
                  <c:v>4.211290287977465E-2</c:v>
                </c:pt>
                <c:pt idx="12" formatCode="0%">
                  <c:v>5.2639295838156297E-2</c:v>
                </c:pt>
                <c:pt idx="13" formatCode="0%">
                  <c:v>7.369208175491937E-2</c:v>
                </c:pt>
                <c:pt idx="14" formatCode="0%">
                  <c:v>7.369208175491937E-2</c:v>
                </c:pt>
                <c:pt idx="15" formatCode="0%">
                  <c:v>7.3692081754919592E-2</c:v>
                </c:pt>
              </c:numCache>
            </c:numRef>
          </c:val>
          <c:smooth val="0"/>
          <c:extLst>
            <c:ext xmlns:c16="http://schemas.microsoft.com/office/drawing/2014/chart" uri="{C3380CC4-5D6E-409C-BE32-E72D297353CC}">
              <c16:uniqueId val="{00000004-4490-4377-9A4B-539E152FBE8D}"/>
            </c:ext>
          </c:extLst>
        </c:ser>
        <c:ser>
          <c:idx val="5"/>
          <c:order val="5"/>
          <c:tx>
            <c:strRef>
              <c:f>'Revenue Model'!$A$116</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Model'!$B$116:$Q$116</c:f>
              <c:numCache>
                <c:formatCode>_(* #,##0_);_(* \(#,##0\);_(* "-"??_);_(@_)</c:formatCode>
                <c:ptCount val="16"/>
                <c:pt idx="9" formatCode="0%">
                  <c:v>-6.098354280749807E-2</c:v>
                </c:pt>
                <c:pt idx="10" formatCode="0%">
                  <c:v>0</c:v>
                </c:pt>
                <c:pt idx="11" formatCode="0%">
                  <c:v>-2.0000000000000018E-2</c:v>
                </c:pt>
                <c:pt idx="12" formatCode="0%">
                  <c:v>-1.0000000000000009E-2</c:v>
                </c:pt>
                <c:pt idx="13" formatCode="0%">
                  <c:v>0</c:v>
                </c:pt>
                <c:pt idx="14" formatCode="0%">
                  <c:v>0</c:v>
                </c:pt>
                <c:pt idx="15" formatCode="0%">
                  <c:v>0</c:v>
                </c:pt>
              </c:numCache>
            </c:numRef>
          </c:val>
          <c:smooth val="0"/>
          <c:extLst>
            <c:ext xmlns:c16="http://schemas.microsoft.com/office/drawing/2014/chart" uri="{C3380CC4-5D6E-409C-BE32-E72D297353CC}">
              <c16:uniqueId val="{00000005-4490-4377-9A4B-539E152FBE8D}"/>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General" sourceLinked="1"/>
        <c:majorTickMark val="out"/>
        <c:minorTickMark val="none"/>
        <c:tickLblPos val="nextTo"/>
        <c:crossAx val="311363072"/>
        <c:crosses val="autoZero"/>
        <c:auto val="1"/>
        <c:lblAlgn val="ctr"/>
        <c:lblOffset val="100"/>
        <c:noMultiLvlLbl val="1"/>
      </c:catAx>
      <c:spPr>
        <a:noFill/>
        <a:ln>
          <a:noFill/>
        </a:ln>
        <a:effectLst/>
      </c:spPr>
    </c:plotArea>
    <c:legend>
      <c:legendPos val="t"/>
      <c:layout>
        <c:manualLayout>
          <c:xMode val="edge"/>
          <c:yMode val="edge"/>
          <c:x val="0.12013801399825022"/>
          <c:y val="0.13319444444444445"/>
          <c:w val="0.77639063867016611"/>
          <c:h val="0.21672717993584134"/>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Chemicals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Model'!$A$118</c:f>
              <c:strCache>
                <c:ptCount val="1"/>
                <c:pt idx="0">
                  <c:v>Chemicals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Model'!$B$118:$Q$118</c:f>
              <c:numCache>
                <c:formatCode>_(* #,##0_);_(* \(#,##0\);_(* "-"??_);_(@_)</c:formatCode>
                <c:ptCount val="16"/>
                <c:pt idx="0">
                  <c:v>2138.3147967855903</c:v>
                </c:pt>
                <c:pt idx="1">
                  <c:v>2267.7119693013715</c:v>
                </c:pt>
                <c:pt idx="2">
                  <c:v>2041.3280403515948</c:v>
                </c:pt>
                <c:pt idx="3">
                  <c:v>2296.0872002305919</c:v>
                </c:pt>
                <c:pt idx="4">
                  <c:v>2574.3807460364405</c:v>
                </c:pt>
                <c:pt idx="5">
                  <c:v>2898.2508870470974</c:v>
                </c:pt>
                <c:pt idx="6">
                  <c:v>3127.0659728703877</c:v>
                </c:pt>
                <c:pt idx="7">
                  <c:v>3279.2801253208982</c:v>
                </c:pt>
                <c:pt idx="8">
                  <c:v>3350.8095395177666</c:v>
                </c:pt>
                <c:pt idx="9">
                  <c:v>3388.8000063616269</c:v>
                </c:pt>
                <c:pt idx="10">
                  <c:v>3458.466582819286</c:v>
                </c:pt>
              </c:numCache>
            </c:numRef>
          </c:val>
          <c:extLst>
            <c:ext xmlns:c16="http://schemas.microsoft.com/office/drawing/2014/chart" uri="{C3380CC4-5D6E-409C-BE32-E72D297353CC}">
              <c16:uniqueId val="{00000000-2F8C-44E1-A35C-73AA96027B25}"/>
            </c:ext>
          </c:extLst>
        </c:ser>
        <c:ser>
          <c:idx val="1"/>
          <c:order val="1"/>
          <c:tx>
            <c:strRef>
              <c:f>'Revenue Model'!$A$119</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Model'!$B$119:$Q$119</c:f>
              <c:numCache>
                <c:formatCode>General</c:formatCode>
                <c:ptCount val="16"/>
                <c:pt idx="9" formatCode="0%">
                  <c:v>-6.098354280749807E-2</c:v>
                </c:pt>
                <c:pt idx="10" formatCode="0%">
                  <c:v>-3.0491771403749035E-2</c:v>
                </c:pt>
                <c:pt idx="11" formatCode="_(* #,##0_);_(* \(#,##0\);_(* &quot;-&quot;??_);_(@_)">
                  <c:v>3656.4469865159845</c:v>
                </c:pt>
                <c:pt idx="12" formatCode="_(* #,##0_);_(* \(#,##0\);_(* &quot;-&quot;??_);_(@_)">
                  <c:v>3945.2326900683806</c:v>
                </c:pt>
                <c:pt idx="13" formatCode="_(* #,##0_);_(* \(#,##0\);_(* &quot;-&quot;??_);_(@_)">
                  <c:v>4256.8266506210275</c:v>
                </c:pt>
                <c:pt idx="14" formatCode="_(* #,##0_);_(* \(#,##0\);_(* &quot;-&quot;??_);_(@_)">
                  <c:v>4593.0302613211297</c:v>
                </c:pt>
                <c:pt idx="15" formatCode="_(* #,##0_);_(* \(#,##0\);_(* &quot;-&quot;??_);_(@_)">
                  <c:v>4955.7871891104523</c:v>
                </c:pt>
              </c:numCache>
            </c:numRef>
          </c:val>
          <c:extLst>
            <c:ext xmlns:c16="http://schemas.microsoft.com/office/drawing/2014/chart" uri="{C3380CC4-5D6E-409C-BE32-E72D297353CC}">
              <c16:uniqueId val="{00000001-2F8C-44E1-A35C-73AA96027B25}"/>
            </c:ext>
          </c:extLst>
        </c:ser>
        <c:ser>
          <c:idx val="2"/>
          <c:order val="2"/>
          <c:tx>
            <c:strRef>
              <c:f>'Revenue Model'!$A$120</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Model'!$B$120:$Q$120</c:f>
              <c:numCache>
                <c:formatCode>General</c:formatCode>
                <c:ptCount val="16"/>
                <c:pt idx="11" formatCode="_(* #,##0_);_(* \(#,##0\);_(* &quot;-&quot;??_);_(@_)">
                  <c:v>3387.5022891890344</c:v>
                </c:pt>
                <c:pt idx="12" formatCode="_(* #,##0_);_(* \(#,##0\);_(* &quot;-&quot;??_);_(@_)">
                  <c:v>3386.2050689681228</c:v>
                </c:pt>
                <c:pt idx="13" formatCode="_(* #,##0_);_(* \(#,##0\);_(* &quot;-&quot;??_);_(@_)">
                  <c:v>3384.9083455085884</c:v>
                </c:pt>
                <c:pt idx="14" formatCode="_(* #,##0_);_(* \(#,##0\);_(* &quot;-&quot;??_);_(@_)">
                  <c:v>3383.6121186201999</c:v>
                </c:pt>
                <c:pt idx="15" formatCode="_(* #,##0_);_(* \(#,##0\);_(* &quot;-&quot;??_);_(@_)">
                  <c:v>3382.316388112798</c:v>
                </c:pt>
              </c:numCache>
            </c:numRef>
          </c:val>
          <c:extLst>
            <c:ext xmlns:c16="http://schemas.microsoft.com/office/drawing/2014/chart" uri="{C3380CC4-5D6E-409C-BE32-E72D297353CC}">
              <c16:uniqueId val="{00000002-2F8C-44E1-A35C-73AA96027B25}"/>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Model'!$A$121</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Model'!$B$121:$Q$121</c:f>
              <c:numCache>
                <c:formatCode>0%</c:formatCode>
                <c:ptCount val="16"/>
                <c:pt idx="1">
                  <c:v>6.0513621619369129E-2</c:v>
                </c:pt>
                <c:pt idx="2">
                  <c:v>-9.9829225234243535E-2</c:v>
                </c:pt>
                <c:pt idx="3">
                  <c:v>0.12480069584265241</c:v>
                </c:pt>
                <c:pt idx="4">
                  <c:v>0.12120338712654299</c:v>
                </c:pt>
                <c:pt idx="5">
                  <c:v>0.12580506652300461</c:v>
                </c:pt>
                <c:pt idx="6">
                  <c:v>7.8949371445347971E-2</c:v>
                </c:pt>
                <c:pt idx="7">
                  <c:v>4.8676348299358185E-2</c:v>
                </c:pt>
                <c:pt idx="8">
                  <c:v>2.1812535514900144E-2</c:v>
                </c:pt>
                <c:pt idx="9">
                  <c:v>1.1337698068427882E-2</c:v>
                </c:pt>
                <c:pt idx="10">
                  <c:v>2.0557889614871705E-2</c:v>
                </c:pt>
              </c:numCache>
            </c:numRef>
          </c:val>
          <c:smooth val="0"/>
          <c:extLst>
            <c:ext xmlns:c16="http://schemas.microsoft.com/office/drawing/2014/chart" uri="{C3380CC4-5D6E-409C-BE32-E72D297353CC}">
              <c16:uniqueId val="{00000003-2F8C-44E1-A35C-73AA96027B25}"/>
            </c:ext>
          </c:extLst>
        </c:ser>
        <c:ser>
          <c:idx val="4"/>
          <c:order val="4"/>
          <c:tx>
            <c:strRef>
              <c:f>'Revenue Model'!$A$122</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Model'!$B$122:$Q$122</c:f>
              <c:numCache>
                <c:formatCode>_(* #,##0_);_(* \(#,##0\);_(* "-"??_);_(@_)</c:formatCode>
                <c:ptCount val="16"/>
                <c:pt idx="9" formatCode="0%">
                  <c:v>1.1337698068427882E-2</c:v>
                </c:pt>
                <c:pt idx="10" formatCode="0%">
                  <c:v>2.0557889614871705E-2</c:v>
                </c:pt>
                <c:pt idx="11" formatCode="0%">
                  <c:v>7.897986887745434E-2</c:v>
                </c:pt>
                <c:pt idx="12" formatCode="0%">
                  <c:v>7.8979868877454562E-2</c:v>
                </c:pt>
                <c:pt idx="13" formatCode="0%">
                  <c:v>7.897986887745434E-2</c:v>
                </c:pt>
                <c:pt idx="14" formatCode="0%">
                  <c:v>7.897986887745434E-2</c:v>
                </c:pt>
                <c:pt idx="15" formatCode="0%">
                  <c:v>7.897986887745434E-2</c:v>
                </c:pt>
              </c:numCache>
            </c:numRef>
          </c:val>
          <c:smooth val="0"/>
          <c:extLst>
            <c:ext xmlns:c16="http://schemas.microsoft.com/office/drawing/2014/chart" uri="{C3380CC4-5D6E-409C-BE32-E72D297353CC}">
              <c16:uniqueId val="{00000004-2F8C-44E1-A35C-73AA96027B25}"/>
            </c:ext>
          </c:extLst>
        </c:ser>
        <c:ser>
          <c:idx val="5"/>
          <c:order val="5"/>
          <c:tx>
            <c:strRef>
              <c:f>'Revenue Model'!$A$123</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Model'!$B$123:$Q$123</c:f>
              <c:numCache>
                <c:formatCode>_(* #,##0_);_(* \(#,##0\);_(* "-"??_);_(@_)</c:formatCode>
                <c:ptCount val="16"/>
                <c:pt idx="9" formatCode="0%">
                  <c:v>1.1337698068427882E-2</c:v>
                </c:pt>
                <c:pt idx="10" formatCode="0%">
                  <c:v>2.0557889614871705E-2</c:v>
                </c:pt>
                <c:pt idx="11" formatCode="0%">
                  <c:v>-3.8294297986196657E-4</c:v>
                </c:pt>
                <c:pt idx="12" formatCode="0%">
                  <c:v>-3.8294297986207759E-4</c:v>
                </c:pt>
                <c:pt idx="13" formatCode="0%">
                  <c:v>-3.8294297986196657E-4</c:v>
                </c:pt>
                <c:pt idx="14" formatCode="0%">
                  <c:v>-3.8294297986185555E-4</c:v>
                </c:pt>
                <c:pt idx="15" formatCode="0%">
                  <c:v>-3.8294297986207759E-4</c:v>
                </c:pt>
              </c:numCache>
            </c:numRef>
          </c:val>
          <c:smooth val="0"/>
          <c:extLst>
            <c:ext xmlns:c16="http://schemas.microsoft.com/office/drawing/2014/chart" uri="{C3380CC4-5D6E-409C-BE32-E72D297353CC}">
              <c16:uniqueId val="{00000005-2F8C-44E1-A35C-73AA96027B25}"/>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General" sourceLinked="1"/>
        <c:majorTickMark val="out"/>
        <c:minorTickMark val="none"/>
        <c:tickLblPos val="nextTo"/>
        <c:crossAx val="311363072"/>
        <c:crosses val="autoZero"/>
        <c:auto val="1"/>
        <c:lblAlgn val="ctr"/>
        <c:lblOffset val="100"/>
        <c:noMultiLvlLbl val="1"/>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Coal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6381051326917468"/>
          <c:w val="0.7839212598425197"/>
          <c:h val="0.52117454068241464"/>
        </c:manualLayout>
      </c:layout>
      <c:barChart>
        <c:barDir val="col"/>
        <c:grouping val="clustered"/>
        <c:varyColors val="0"/>
        <c:ser>
          <c:idx val="0"/>
          <c:order val="0"/>
          <c:tx>
            <c:strRef>
              <c:f>'Revenue Model'!$A$125</c:f>
              <c:strCache>
                <c:ptCount val="1"/>
                <c:pt idx="0">
                  <c:v>Coal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Model'!$B$125:$Q$125</c:f>
              <c:numCache>
                <c:formatCode>_(* #,##0_);_(* \(#,##0\);_(* "-"??_);_(@_)</c:formatCode>
                <c:ptCount val="16"/>
                <c:pt idx="0">
                  <c:v>2472.6413975384671</c:v>
                </c:pt>
                <c:pt idx="1">
                  <c:v>2743.2707831598327</c:v>
                </c:pt>
                <c:pt idx="2">
                  <c:v>2842.4769589388716</c:v>
                </c:pt>
                <c:pt idx="3">
                  <c:v>2952.7852209838584</c:v>
                </c:pt>
                <c:pt idx="4">
                  <c:v>3119.9105579200473</c:v>
                </c:pt>
                <c:pt idx="5">
                  <c:v>2876.881570337222</c:v>
                </c:pt>
                <c:pt idx="6">
                  <c:v>3033.0813577250947</c:v>
                </c:pt>
                <c:pt idx="7">
                  <c:v>3152.151147410344</c:v>
                </c:pt>
                <c:pt idx="8">
                  <c:v>2831.9921139711569</c:v>
                </c:pt>
                <c:pt idx="9">
                  <c:v>2291.0094311115354</c:v>
                </c:pt>
                <c:pt idx="10">
                  <c:v>2374.6832625915695</c:v>
                </c:pt>
              </c:numCache>
            </c:numRef>
          </c:val>
          <c:extLst>
            <c:ext xmlns:c16="http://schemas.microsoft.com/office/drawing/2014/chart" uri="{C3380CC4-5D6E-409C-BE32-E72D297353CC}">
              <c16:uniqueId val="{00000000-7D4B-43DE-A915-E10AAE348214}"/>
            </c:ext>
          </c:extLst>
        </c:ser>
        <c:ser>
          <c:idx val="1"/>
          <c:order val="1"/>
          <c:tx>
            <c:strRef>
              <c:f>'Revenue Model'!$A$126</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Model'!$B$126:$Q$126</c:f>
              <c:numCache>
                <c:formatCode>General</c:formatCode>
                <c:ptCount val="16"/>
                <c:pt idx="11" formatCode="_(* #,##0_);_(* \(#,##0\);_(* &quot;-&quot;??_);_(@_)">
                  <c:v>2260.8499413461045</c:v>
                </c:pt>
                <c:pt idx="12" formatCode="_(* #,##0_);_(* \(#,##0\);_(* &quot;-&quot;??_);_(@_)">
                  <c:v>2231.0874795503355</c:v>
                </c:pt>
                <c:pt idx="13" formatCode="_(* #,##0_);_(* \(#,##0\);_(* &quot;-&quot;??_);_(@_)">
                  <c:v>2201.716819136846</c:v>
                </c:pt>
                <c:pt idx="14" formatCode="_(* #,##0_);_(* \(#,##0\);_(* &quot;-&quot;??_);_(@_)">
                  <c:v>2172.7328023225118</c:v>
                </c:pt>
                <c:pt idx="15" formatCode="_(* #,##0_);_(* \(#,##0\);_(* &quot;-&quot;??_);_(@_)">
                  <c:v>2144.1303392227119</c:v>
                </c:pt>
              </c:numCache>
            </c:numRef>
          </c:val>
          <c:extLst>
            <c:ext xmlns:c16="http://schemas.microsoft.com/office/drawing/2014/chart" uri="{C3380CC4-5D6E-409C-BE32-E72D297353CC}">
              <c16:uniqueId val="{00000001-7D4B-43DE-A915-E10AAE348214}"/>
            </c:ext>
          </c:extLst>
        </c:ser>
        <c:ser>
          <c:idx val="2"/>
          <c:order val="2"/>
          <c:tx>
            <c:strRef>
              <c:f>'Revenue Model'!$A$127</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Model'!$B$127:$Q$127</c:f>
              <c:numCache>
                <c:formatCode>General</c:formatCode>
                <c:ptCount val="16"/>
                <c:pt idx="11" formatCode="_(* #,##0_);_(* \(#,##0\);_(* &quot;-&quot;??_);_(@_)">
                  <c:v>2105.49873075813</c:v>
                </c:pt>
                <c:pt idx="12" formatCode="_(* #,##0_);_(* \(#,##0\);_(* &quot;-&quot;??_);_(@_)">
                  <c:v>1935.0094526120149</c:v>
                </c:pt>
                <c:pt idx="13" formatCode="_(* #,##0_);_(* \(#,##0\);_(* &quot;-&quot;??_);_(@_)">
                  <c:v>1778.3252618488391</c:v>
                </c:pt>
                <c:pt idx="14" formatCode="_(* #,##0_);_(* \(#,##0\);_(* &quot;-&quot;??_);_(@_)">
                  <c:v>1634.328314345365</c:v>
                </c:pt>
                <c:pt idx="15" formatCode="_(* #,##0_);_(* \(#,##0\);_(* &quot;-&quot;??_);_(@_)">
                  <c:v>1501.991281557808</c:v>
                </c:pt>
              </c:numCache>
            </c:numRef>
          </c:val>
          <c:extLst>
            <c:ext xmlns:c16="http://schemas.microsoft.com/office/drawing/2014/chart" uri="{C3380CC4-5D6E-409C-BE32-E72D297353CC}">
              <c16:uniqueId val="{00000002-7D4B-43DE-A915-E10AAE348214}"/>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Model'!$A$128</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Model'!$B$128:$Q$128</c:f>
              <c:numCache>
                <c:formatCode>0%</c:formatCode>
                <c:ptCount val="16"/>
                <c:pt idx="1">
                  <c:v>0.10944950848545165</c:v>
                </c:pt>
                <c:pt idx="2">
                  <c:v>3.6163464572304571E-2</c:v>
                </c:pt>
                <c:pt idx="3">
                  <c:v>3.8807091011976436E-2</c:v>
                </c:pt>
                <c:pt idx="4">
                  <c:v>5.6599218848874866E-2</c:v>
                </c:pt>
                <c:pt idx="5">
                  <c:v>-7.7896139351137483E-2</c:v>
                </c:pt>
                <c:pt idx="6">
                  <c:v>5.4294827078878782E-2</c:v>
                </c:pt>
                <c:pt idx="7">
                  <c:v>3.925703785755208E-2</c:v>
                </c:pt>
                <c:pt idx="8">
                  <c:v>-0.10156842691449441</c:v>
                </c:pt>
                <c:pt idx="9">
                  <c:v>-0.19102549056926199</c:v>
                </c:pt>
                <c:pt idx="10">
                  <c:v>3.6522691850918276E-2</c:v>
                </c:pt>
              </c:numCache>
            </c:numRef>
          </c:val>
          <c:smooth val="0"/>
          <c:extLst>
            <c:ext xmlns:c16="http://schemas.microsoft.com/office/drawing/2014/chart" uri="{C3380CC4-5D6E-409C-BE32-E72D297353CC}">
              <c16:uniqueId val="{00000003-7D4B-43DE-A915-E10AAE348214}"/>
            </c:ext>
          </c:extLst>
        </c:ser>
        <c:ser>
          <c:idx val="4"/>
          <c:order val="4"/>
          <c:tx>
            <c:strRef>
              <c:f>'Revenue Model'!$A$129</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Model'!$B$129:$Q$129</c:f>
              <c:numCache>
                <c:formatCode>_(* #,##0_);_(* \(#,##0\);_(* "-"??_);_(@_)</c:formatCode>
                <c:ptCount val="16"/>
                <c:pt idx="9" formatCode="0%">
                  <c:v>-0.19102549056926199</c:v>
                </c:pt>
                <c:pt idx="10" formatCode="0%">
                  <c:v>3.6522691850918276E-2</c:v>
                </c:pt>
                <c:pt idx="11" formatCode="0%">
                  <c:v>-1.3164280057458511E-2</c:v>
                </c:pt>
                <c:pt idx="12" formatCode="0%">
                  <c:v>-1.3164280057458622E-2</c:v>
                </c:pt>
                <c:pt idx="13" formatCode="0%">
                  <c:v>-1.31642800574584E-2</c:v>
                </c:pt>
                <c:pt idx="14" formatCode="0%">
                  <c:v>-1.3164280057458511E-2</c:v>
                </c:pt>
                <c:pt idx="15" formatCode="0%">
                  <c:v>-1.31642800574584E-2</c:v>
                </c:pt>
              </c:numCache>
            </c:numRef>
          </c:val>
          <c:smooth val="0"/>
          <c:extLst>
            <c:ext xmlns:c16="http://schemas.microsoft.com/office/drawing/2014/chart" uri="{C3380CC4-5D6E-409C-BE32-E72D297353CC}">
              <c16:uniqueId val="{00000004-7D4B-43DE-A915-E10AAE348214}"/>
            </c:ext>
          </c:extLst>
        </c:ser>
        <c:ser>
          <c:idx val="5"/>
          <c:order val="5"/>
          <c:tx>
            <c:strRef>
              <c:f>'Revenue Model'!$A$130</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Model'!$B$130:$Q$130</c:f>
              <c:numCache>
                <c:formatCode>_(* #,##0_);_(* \(#,##0\);_(* "-"??_);_(@_)</c:formatCode>
                <c:ptCount val="16"/>
                <c:pt idx="9" formatCode="0%">
                  <c:v>-0.19102549056926199</c:v>
                </c:pt>
                <c:pt idx="10" formatCode="0%">
                  <c:v>3.6522691850918276E-2</c:v>
                </c:pt>
                <c:pt idx="11" formatCode="0%">
                  <c:v>-8.0973346435942228E-2</c:v>
                </c:pt>
                <c:pt idx="12" formatCode="0%">
                  <c:v>-8.097334643594245E-2</c:v>
                </c:pt>
                <c:pt idx="13" formatCode="0%">
                  <c:v>-8.0973346435942339E-2</c:v>
                </c:pt>
                <c:pt idx="14" formatCode="0%">
                  <c:v>-8.097334643594245E-2</c:v>
                </c:pt>
                <c:pt idx="15" formatCode="0%">
                  <c:v>-8.097334643594245E-2</c:v>
                </c:pt>
              </c:numCache>
            </c:numRef>
          </c:val>
          <c:smooth val="0"/>
          <c:extLst>
            <c:ext xmlns:c16="http://schemas.microsoft.com/office/drawing/2014/chart" uri="{C3380CC4-5D6E-409C-BE32-E72D297353CC}">
              <c16:uniqueId val="{00000005-7D4B-43DE-A915-E10AAE348214}"/>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General" sourceLinked="1"/>
        <c:majorTickMark val="out"/>
        <c:minorTickMark val="none"/>
        <c:tickLblPos val="nextTo"/>
        <c:crossAx val="311363072"/>
        <c:crosses val="autoZero"/>
        <c:auto val="1"/>
        <c:lblAlgn val="ctr"/>
        <c:lblOffset val="100"/>
        <c:noMultiLvlLbl val="1"/>
      </c:catAx>
      <c:spPr>
        <a:noFill/>
        <a:ln>
          <a:noFill/>
        </a:ln>
        <a:effectLst/>
      </c:spPr>
    </c:plotArea>
    <c:legend>
      <c:legendPos val="t"/>
      <c:layout>
        <c:manualLayout>
          <c:xMode val="edge"/>
          <c:yMode val="edge"/>
          <c:x val="0.11656846019247596"/>
          <c:y val="0.13319444444444445"/>
          <c:w val="0.78075196850393702"/>
          <c:h val="0.2074679206765821"/>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Industrial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3603273549139695"/>
          <c:w val="0.7839212598425197"/>
          <c:h val="0.54895231846019243"/>
        </c:manualLayout>
      </c:layout>
      <c:barChart>
        <c:barDir val="col"/>
        <c:grouping val="clustered"/>
        <c:varyColors val="0"/>
        <c:ser>
          <c:idx val="0"/>
          <c:order val="0"/>
          <c:tx>
            <c:strRef>
              <c:f>'Revenue Model'!$A$132</c:f>
              <c:strCache>
                <c:ptCount val="1"/>
                <c:pt idx="0">
                  <c:v>Industrial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Model'!$B$132:$Q$132</c:f>
              <c:numCache>
                <c:formatCode>_(* #,##0_);_(* \(#,##0\);_(* "-"??_);_(@_)</c:formatCode>
                <c:ptCount val="16"/>
                <c:pt idx="0">
                  <c:v>2879.4168551824791</c:v>
                </c:pt>
                <c:pt idx="1">
                  <c:v>2981.0348896523656</c:v>
                </c:pt>
                <c:pt idx="2">
                  <c:v>2081.5076149653164</c:v>
                </c:pt>
                <c:pt idx="3">
                  <c:v>2495.5541141429671</c:v>
                </c:pt>
                <c:pt idx="4">
                  <c:v>2895.9569982935245</c:v>
                </c:pt>
                <c:pt idx="5">
                  <c:v>3140.1360439522482</c:v>
                </c:pt>
                <c:pt idx="6">
                  <c:v>3428.8695165204404</c:v>
                </c:pt>
                <c:pt idx="7">
                  <c:v>3951.4225049988263</c:v>
                </c:pt>
                <c:pt idx="8">
                  <c:v>3604.5660210087931</c:v>
                </c:pt>
                <c:pt idx="9">
                  <c:v>3260.7452009478825</c:v>
                </c:pt>
                <c:pt idx="10">
                  <c:v>3903.8028715228156</c:v>
                </c:pt>
              </c:numCache>
            </c:numRef>
          </c:val>
          <c:extLst>
            <c:ext xmlns:c16="http://schemas.microsoft.com/office/drawing/2014/chart" uri="{C3380CC4-5D6E-409C-BE32-E72D297353CC}">
              <c16:uniqueId val="{00000000-A468-4528-9FD7-24BC77B15D4C}"/>
            </c:ext>
          </c:extLst>
        </c:ser>
        <c:ser>
          <c:idx val="1"/>
          <c:order val="1"/>
          <c:tx>
            <c:strRef>
              <c:f>'Revenue Model'!$A$133</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Model'!$B$133:$Q$133</c:f>
              <c:numCache>
                <c:formatCode>General</c:formatCode>
                <c:ptCount val="16"/>
                <c:pt idx="11" formatCode="_(* #,##0_);_(* \(#,##0\);_(* &quot;-&quot;??_);_(@_)">
                  <c:v>3859.5987109386278</c:v>
                </c:pt>
                <c:pt idx="12" formatCode="_(* #,##0_);_(* \(#,##0\);_(* &quot;-&quot;??_);_(@_)">
                  <c:v>4268.7299346097689</c:v>
                </c:pt>
                <c:pt idx="13" formatCode="_(* #,##0_);_(* \(#,##0\);_(* &quot;-&quot;??_);_(@_)">
                  <c:v>4754.4616210932536</c:v>
                </c:pt>
                <c:pt idx="14" formatCode="_(* #,##0_);_(* \(#,##0\);_(* &quot;-&quot;??_);_(@_)">
                  <c:v>5588.6128910387406</c:v>
                </c:pt>
                <c:pt idx="15" formatCode="_(* #,##0_);_(* \(#,##0\);_(* &quot;-&quot;??_);_(@_)">
                  <c:v>5985.4044063024912</c:v>
                </c:pt>
              </c:numCache>
            </c:numRef>
          </c:val>
          <c:extLst>
            <c:ext xmlns:c16="http://schemas.microsoft.com/office/drawing/2014/chart" uri="{C3380CC4-5D6E-409C-BE32-E72D297353CC}">
              <c16:uniqueId val="{00000001-A468-4528-9FD7-24BC77B15D4C}"/>
            </c:ext>
          </c:extLst>
        </c:ser>
        <c:ser>
          <c:idx val="2"/>
          <c:order val="2"/>
          <c:tx>
            <c:strRef>
              <c:f>'Revenue Model'!$A$134</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Model'!$B$134:$Q$134</c:f>
              <c:numCache>
                <c:formatCode>General</c:formatCode>
                <c:ptCount val="16"/>
                <c:pt idx="11" formatCode="_(* #,##0_);_(* \(#,##0\);_(* &quot;-&quot;??_);_(@_)">
                  <c:v>3817.188512978189</c:v>
                </c:pt>
                <c:pt idx="12" formatCode="_(* #,##0_);_(* \(#,##0\);_(* &quot;-&quot;??_);_(@_)">
                  <c:v>3967.7983106962502</c:v>
                </c:pt>
                <c:pt idx="13" formatCode="_(* #,##0_);_(* \(#,##0\);_(* &quot;-&quot;??_);_(@_)">
                  <c:v>4124.3505215520308</c:v>
                </c:pt>
                <c:pt idx="14" formatCode="_(* #,##0_);_(* \(#,##0\);_(* &quot;-&quot;??_);_(@_)">
                  <c:v>4287.0796075422568</c:v>
                </c:pt>
                <c:pt idx="15" formatCode="_(* #,##0_);_(* \(#,##0\);_(* &quot;-&quot;??_);_(@_)">
                  <c:v>4456.2292815229648</c:v>
                </c:pt>
              </c:numCache>
            </c:numRef>
          </c:val>
          <c:extLst>
            <c:ext xmlns:c16="http://schemas.microsoft.com/office/drawing/2014/chart" uri="{C3380CC4-5D6E-409C-BE32-E72D297353CC}">
              <c16:uniqueId val="{00000002-A468-4528-9FD7-24BC77B15D4C}"/>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Model'!$A$135</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Model'!$B$135:$Q$135</c:f>
              <c:numCache>
                <c:formatCode>0%</c:formatCode>
                <c:ptCount val="16"/>
                <c:pt idx="1">
                  <c:v>3.5291185535359482E-2</c:v>
                </c:pt>
                <c:pt idx="2">
                  <c:v>-0.30174999890455756</c:v>
                </c:pt>
                <c:pt idx="3">
                  <c:v>0.19891663917095492</c:v>
                </c:pt>
                <c:pt idx="4">
                  <c:v>0.16044648436247799</c:v>
                </c:pt>
                <c:pt idx="5">
                  <c:v>8.4317220802176518E-2</c:v>
                </c:pt>
                <c:pt idx="6">
                  <c:v>9.1949351406057422E-2</c:v>
                </c:pt>
                <c:pt idx="7">
                  <c:v>0.15239803846740241</c:v>
                </c:pt>
                <c:pt idx="8">
                  <c:v>-8.7780156020075162E-2</c:v>
                </c:pt>
                <c:pt idx="9">
                  <c:v>-9.5384803068383595E-2</c:v>
                </c:pt>
                <c:pt idx="10">
                  <c:v>0.19721187365023174</c:v>
                </c:pt>
              </c:numCache>
            </c:numRef>
          </c:val>
          <c:smooth val="0"/>
          <c:extLst>
            <c:ext xmlns:c16="http://schemas.microsoft.com/office/drawing/2014/chart" uri="{C3380CC4-5D6E-409C-BE32-E72D297353CC}">
              <c16:uniqueId val="{00000003-A468-4528-9FD7-24BC77B15D4C}"/>
            </c:ext>
          </c:extLst>
        </c:ser>
        <c:ser>
          <c:idx val="4"/>
          <c:order val="4"/>
          <c:tx>
            <c:strRef>
              <c:f>'Revenue Model'!$A$136</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Model'!$B$136:$Q$136</c:f>
              <c:numCache>
                <c:formatCode>_(* #,##0_);_(* \(#,##0\);_(* "-"??_);_(@_)</c:formatCode>
                <c:ptCount val="16"/>
                <c:pt idx="9" formatCode="0%">
                  <c:v>-9.5384803068383595E-2</c:v>
                </c:pt>
                <c:pt idx="10" formatCode="0%">
                  <c:v>0.19721187365023174</c:v>
                </c:pt>
                <c:pt idx="11" formatCode="0%">
                  <c:v>0.18365541404972752</c:v>
                </c:pt>
                <c:pt idx="12" formatCode="0%">
                  <c:v>0.10600356521822007</c:v>
                </c:pt>
                <c:pt idx="13" formatCode="0%">
                  <c:v>0.11378833843417846</c:v>
                </c:pt>
                <c:pt idx="14" formatCode="0%">
                  <c:v>0.17544599923675053</c:v>
                </c:pt>
                <c:pt idx="15" formatCode="0%">
                  <c:v>7.0999999999999952E-2</c:v>
                </c:pt>
              </c:numCache>
            </c:numRef>
          </c:val>
          <c:smooth val="0"/>
          <c:extLst>
            <c:ext xmlns:c16="http://schemas.microsoft.com/office/drawing/2014/chart" uri="{C3380CC4-5D6E-409C-BE32-E72D297353CC}">
              <c16:uniqueId val="{00000004-A468-4528-9FD7-24BC77B15D4C}"/>
            </c:ext>
          </c:extLst>
        </c:ser>
        <c:ser>
          <c:idx val="5"/>
          <c:order val="5"/>
          <c:tx>
            <c:strRef>
              <c:f>'Revenue Model'!$A$137</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Model'!$B$137:$Q$137</c:f>
              <c:numCache>
                <c:formatCode>_(* #,##0_);_(* \(#,##0\);_(* "-"??_);_(@_)</c:formatCode>
                <c:ptCount val="16"/>
                <c:pt idx="9" formatCode="0%">
                  <c:v>-9.5384803068383595E-2</c:v>
                </c:pt>
                <c:pt idx="10" formatCode="0%">
                  <c:v>0.19721187365023174</c:v>
                </c:pt>
                <c:pt idx="11" formatCode="0%">
                  <c:v>0.17064912396974496</c:v>
                </c:pt>
                <c:pt idx="12" formatCode="0%">
                  <c:v>3.945568766279095E-2</c:v>
                </c:pt>
                <c:pt idx="13" formatCode="0%">
                  <c:v>3.945568766279095E-2</c:v>
                </c:pt>
                <c:pt idx="14" formatCode="0%">
                  <c:v>3.945568766279095E-2</c:v>
                </c:pt>
                <c:pt idx="15" formatCode="0%">
                  <c:v>3.945568766279095E-2</c:v>
                </c:pt>
              </c:numCache>
            </c:numRef>
          </c:val>
          <c:smooth val="0"/>
          <c:extLst>
            <c:ext xmlns:c16="http://schemas.microsoft.com/office/drawing/2014/chart" uri="{C3380CC4-5D6E-409C-BE32-E72D297353CC}">
              <c16:uniqueId val="{00000005-A468-4528-9FD7-24BC77B15D4C}"/>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General" sourceLinked="1"/>
        <c:majorTickMark val="out"/>
        <c:minorTickMark val="none"/>
        <c:tickLblPos val="nextTo"/>
        <c:crossAx val="311363072"/>
        <c:crosses val="autoZero"/>
        <c:auto val="1"/>
        <c:lblAlgn val="ctr"/>
        <c:lblOffset val="100"/>
        <c:noMultiLvlLbl val="1"/>
      </c:catAx>
      <c:spPr>
        <a:noFill/>
        <a:ln>
          <a:noFill/>
        </a:ln>
        <a:effectLst/>
      </c:spPr>
    </c:plotArea>
    <c:legend>
      <c:legendPos val="t"/>
      <c:layout>
        <c:manualLayout>
          <c:xMode val="edge"/>
          <c:yMode val="edge"/>
          <c:x val="0.11934623797025372"/>
          <c:y val="0.13319444444444445"/>
          <c:w val="0.78075196850393702"/>
          <c:h val="0.17506051326917466"/>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Intermodal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6844014289880433"/>
          <c:w val="0.7839212598425197"/>
          <c:h val="0.51654491105278511"/>
        </c:manualLayout>
      </c:layout>
      <c:barChart>
        <c:barDir val="col"/>
        <c:grouping val="clustered"/>
        <c:varyColors val="0"/>
        <c:ser>
          <c:idx val="0"/>
          <c:order val="0"/>
          <c:tx>
            <c:strRef>
              <c:f>'Revenue Model'!$A$139</c:f>
              <c:strCache>
                <c:ptCount val="1"/>
                <c:pt idx="0">
                  <c:v>Intermodal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Model'!$B$139:$Q$139</c:f>
              <c:numCache>
                <c:formatCode>_(* #,##0_);_(* \(#,##0\);_(* "-"??_);_(@_)</c:formatCode>
                <c:ptCount val="16"/>
                <c:pt idx="0">
                  <c:v>2712.4644181224357</c:v>
                </c:pt>
                <c:pt idx="1">
                  <c:v>2708.4750378134158</c:v>
                </c:pt>
                <c:pt idx="2">
                  <c:v>2397.5127465629357</c:v>
                </c:pt>
                <c:pt idx="3">
                  <c:v>3038.1269292851653</c:v>
                </c:pt>
                <c:pt idx="4">
                  <c:v>3292.3057492969283</c:v>
                </c:pt>
                <c:pt idx="5">
                  <c:v>3564.4494263218394</c:v>
                </c:pt>
                <c:pt idx="6">
                  <c:v>3632.7541845560327</c:v>
                </c:pt>
                <c:pt idx="7">
                  <c:v>4062.9751723435261</c:v>
                </c:pt>
                <c:pt idx="8">
                  <c:v>3862.0750873648294</c:v>
                </c:pt>
                <c:pt idx="9">
                  <c:v>3611.9558821190576</c:v>
                </c:pt>
                <c:pt idx="10">
                  <c:v>3674.9641627439091</c:v>
                </c:pt>
              </c:numCache>
            </c:numRef>
          </c:val>
          <c:extLst>
            <c:ext xmlns:c16="http://schemas.microsoft.com/office/drawing/2014/chart" uri="{C3380CC4-5D6E-409C-BE32-E72D297353CC}">
              <c16:uniqueId val="{00000000-13DB-4A80-BDD5-E125C96A4A70}"/>
            </c:ext>
          </c:extLst>
        </c:ser>
        <c:ser>
          <c:idx val="1"/>
          <c:order val="1"/>
          <c:tx>
            <c:strRef>
              <c:f>'Revenue Model'!$A$140</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Model'!$B$140:$Q$140</c:f>
              <c:numCache>
                <c:formatCode>General</c:formatCode>
                <c:ptCount val="16"/>
                <c:pt idx="11" formatCode="_(* #,##0_);_(* \(#,##0\);_(* &quot;-&quot;??_);_(@_)">
                  <c:v>3684.1949997614388</c:v>
                </c:pt>
                <c:pt idx="12" formatCode="_(* #,##0_);_(* \(#,##0\);_(* &quot;-&quot;??_);_(@_)">
                  <c:v>3757.8788997566676</c:v>
                </c:pt>
                <c:pt idx="13" formatCode="_(* #,##0_);_(* \(#,##0\);_(* &quot;-&quot;??_);_(@_)">
                  <c:v>3833.0364777518007</c:v>
                </c:pt>
                <c:pt idx="14" formatCode="_(* #,##0_);_(* \(#,##0\);_(* &quot;-&quot;??_);_(@_)">
                  <c:v>3909.6972073068368</c:v>
                </c:pt>
                <c:pt idx="15" formatCode="_(* #,##0_);_(* \(#,##0\);_(* &quot;-&quot;??_);_(@_)">
                  <c:v>3987.8911514529736</c:v>
                </c:pt>
              </c:numCache>
            </c:numRef>
          </c:val>
          <c:extLst>
            <c:ext xmlns:c16="http://schemas.microsoft.com/office/drawing/2014/chart" uri="{C3380CC4-5D6E-409C-BE32-E72D297353CC}">
              <c16:uniqueId val="{00000001-13DB-4A80-BDD5-E125C96A4A70}"/>
            </c:ext>
          </c:extLst>
        </c:ser>
        <c:ser>
          <c:idx val="2"/>
          <c:order val="2"/>
          <c:tx>
            <c:strRef>
              <c:f>'Revenue Model'!$A$141</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Model'!$B$141:$Q$141</c:f>
              <c:numCache>
                <c:formatCode>General</c:formatCode>
                <c:ptCount val="16"/>
                <c:pt idx="11" formatCode="_(* #,##0_);_(* \(#,##0\);_(* &quot;-&quot;??_);_(@_)">
                  <c:v>3618.6279921594405</c:v>
                </c:pt>
                <c:pt idx="12" formatCode="_(* #,##0_);_(* \(#,##0\);_(* &quot;-&quot;??_);_(@_)">
                  <c:v>3625.3124271156985</c:v>
                </c:pt>
                <c:pt idx="13" formatCode="_(* #,##0_);_(* \(#,##0\);_(* &quot;-&quot;??_);_(@_)">
                  <c:v>3632.0092097547758</c:v>
                </c:pt>
                <c:pt idx="14" formatCode="_(* #,##0_);_(* \(#,##0\);_(* &quot;-&quot;??_);_(@_)">
                  <c:v>3638.7183628856696</c:v>
                </c:pt>
                <c:pt idx="15" formatCode="_(* #,##0_);_(* \(#,##0\);_(* &quot;-&quot;??_);_(@_)">
                  <c:v>3645.4399093595134</c:v>
                </c:pt>
              </c:numCache>
            </c:numRef>
          </c:val>
          <c:extLst>
            <c:ext xmlns:c16="http://schemas.microsoft.com/office/drawing/2014/chart" uri="{C3380CC4-5D6E-409C-BE32-E72D297353CC}">
              <c16:uniqueId val="{00000002-13DB-4A80-BDD5-E125C96A4A70}"/>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Model'!$A$142</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Model'!$B$142:$Q$142</c:f>
              <c:numCache>
                <c:formatCode>0%</c:formatCode>
                <c:ptCount val="16"/>
                <c:pt idx="1">
                  <c:v>-1.4707585774641485E-3</c:v>
                </c:pt>
                <c:pt idx="2">
                  <c:v>-0.11481083890716737</c:v>
                </c:pt>
                <c:pt idx="3">
                  <c:v>0.26719948982152908</c:v>
                </c:pt>
                <c:pt idx="4">
                  <c:v>8.3663002214185989E-2</c:v>
                </c:pt>
                <c:pt idx="5">
                  <c:v>8.2660511431244643E-2</c:v>
                </c:pt>
                <c:pt idx="6">
                  <c:v>1.9162779454743761E-2</c:v>
                </c:pt>
                <c:pt idx="7">
                  <c:v>0.11842832350630728</c:v>
                </c:pt>
                <c:pt idx="8">
                  <c:v>-4.9446545070276016E-2</c:v>
                </c:pt>
                <c:pt idx="9">
                  <c:v>-6.4762905844079066E-2</c:v>
                </c:pt>
                <c:pt idx="10">
                  <c:v>1.7444366066809769E-2</c:v>
                </c:pt>
              </c:numCache>
            </c:numRef>
          </c:val>
          <c:smooth val="0"/>
          <c:extLst>
            <c:ext xmlns:c16="http://schemas.microsoft.com/office/drawing/2014/chart" uri="{C3380CC4-5D6E-409C-BE32-E72D297353CC}">
              <c16:uniqueId val="{00000003-13DB-4A80-BDD5-E125C96A4A70}"/>
            </c:ext>
          </c:extLst>
        </c:ser>
        <c:ser>
          <c:idx val="4"/>
          <c:order val="4"/>
          <c:tx>
            <c:strRef>
              <c:f>'Revenue Model'!$A$143</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Model'!$B$143:$Q$143</c:f>
              <c:numCache>
                <c:formatCode>_(* #,##0_);_(* \(#,##0\);_(* "-"??_);_(@_)</c:formatCode>
                <c:ptCount val="16"/>
                <c:pt idx="9" formatCode="0%">
                  <c:v>-6.4762905844079066E-2</c:v>
                </c:pt>
                <c:pt idx="10" formatCode="0%">
                  <c:v>1.7444366066809769E-2</c:v>
                </c:pt>
                <c:pt idx="11" formatCode="0%">
                  <c:v>2.0000000000000018E-2</c:v>
                </c:pt>
                <c:pt idx="12" formatCode="0%">
                  <c:v>2.0000000000000018E-2</c:v>
                </c:pt>
                <c:pt idx="13" formatCode="0%">
                  <c:v>2.0000000000000018E-2</c:v>
                </c:pt>
                <c:pt idx="14" formatCode="0%">
                  <c:v>2.0000000000000018E-2</c:v>
                </c:pt>
                <c:pt idx="15" formatCode="0%">
                  <c:v>2.0000000000000018E-2</c:v>
                </c:pt>
              </c:numCache>
            </c:numRef>
          </c:val>
          <c:smooth val="0"/>
          <c:extLst>
            <c:ext xmlns:c16="http://schemas.microsoft.com/office/drawing/2014/chart" uri="{C3380CC4-5D6E-409C-BE32-E72D297353CC}">
              <c16:uniqueId val="{00000004-13DB-4A80-BDD5-E125C96A4A70}"/>
            </c:ext>
          </c:extLst>
        </c:ser>
        <c:ser>
          <c:idx val="5"/>
          <c:order val="5"/>
          <c:tx>
            <c:strRef>
              <c:f>'Revenue Model'!$A$144</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Model'!$B$144:$Q$144</c:f>
              <c:numCache>
                <c:formatCode>_(* #,##0_);_(* \(#,##0\);_(* "-"??_);_(@_)</c:formatCode>
                <c:ptCount val="16"/>
                <c:pt idx="9" formatCode="0%">
                  <c:v>-6.4762905844079066E-2</c:v>
                </c:pt>
                <c:pt idx="10" formatCode="0%">
                  <c:v>1.7444366066809769E-2</c:v>
                </c:pt>
                <c:pt idx="11" formatCode="0%">
                  <c:v>1.8472291074798086E-3</c:v>
                </c:pt>
                <c:pt idx="12" formatCode="0%">
                  <c:v>1.8472291074798086E-3</c:v>
                </c:pt>
                <c:pt idx="13" formatCode="0%">
                  <c:v>1.8472291074800307E-3</c:v>
                </c:pt>
                <c:pt idx="14" formatCode="0%">
                  <c:v>1.8472291074798086E-3</c:v>
                </c:pt>
                <c:pt idx="15" formatCode="0%">
                  <c:v>1.8472291074798086E-3</c:v>
                </c:pt>
              </c:numCache>
            </c:numRef>
          </c:val>
          <c:smooth val="0"/>
          <c:extLst>
            <c:ext xmlns:c16="http://schemas.microsoft.com/office/drawing/2014/chart" uri="{C3380CC4-5D6E-409C-BE32-E72D297353CC}">
              <c16:uniqueId val="{00000005-13DB-4A80-BDD5-E125C96A4A70}"/>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General" sourceLinked="1"/>
        <c:majorTickMark val="out"/>
        <c:minorTickMark val="none"/>
        <c:tickLblPos val="nextTo"/>
        <c:crossAx val="311363072"/>
        <c:crosses val="autoZero"/>
        <c:auto val="1"/>
        <c:lblAlgn val="ctr"/>
        <c:lblOffset val="100"/>
        <c:noMultiLvlLbl val="1"/>
      </c:catAx>
      <c:spPr>
        <a:noFill/>
        <a:ln>
          <a:noFill/>
        </a:ln>
        <a:effectLst/>
      </c:spPr>
    </c:plotArea>
    <c:legend>
      <c:legendPos val="t"/>
      <c:layout>
        <c:manualLayout>
          <c:xMode val="edge"/>
          <c:yMode val="edge"/>
          <c:x val="0.115665791776028"/>
          <c:y val="0.13319444444444445"/>
          <c:w val="0.77977952755905511"/>
          <c:h val="0.1889494021580635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Fuel Surcharge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Model'!$A$146</c:f>
              <c:strCache>
                <c:ptCount val="1"/>
                <c:pt idx="0">
                  <c:v>Fuel Surcharge</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Model'!$B$146:$Q$146</c:f>
              <c:numCache>
                <c:formatCode>_(* #,##0_);_(* \(#,##0\);_(* "-"??_);_(@_)</c:formatCode>
                <c:ptCount val="16"/>
                <c:pt idx="0">
                  <c:v>1478</c:v>
                </c:pt>
                <c:pt idx="1">
                  <c:v>2323</c:v>
                </c:pt>
                <c:pt idx="2">
                  <c:v>605</c:v>
                </c:pt>
                <c:pt idx="3">
                  <c:v>1237</c:v>
                </c:pt>
                <c:pt idx="4">
                  <c:v>2200</c:v>
                </c:pt>
                <c:pt idx="5">
                  <c:v>2600</c:v>
                </c:pt>
                <c:pt idx="6">
                  <c:v>2600</c:v>
                </c:pt>
                <c:pt idx="7">
                  <c:v>2800</c:v>
                </c:pt>
                <c:pt idx="8">
                  <c:v>1300</c:v>
                </c:pt>
                <c:pt idx="9">
                  <c:v>560</c:v>
                </c:pt>
                <c:pt idx="10">
                  <c:v>966</c:v>
                </c:pt>
              </c:numCache>
            </c:numRef>
          </c:val>
          <c:extLst>
            <c:ext xmlns:c16="http://schemas.microsoft.com/office/drawing/2014/chart" uri="{C3380CC4-5D6E-409C-BE32-E72D297353CC}">
              <c16:uniqueId val="{00000000-781C-4DC4-9D85-BBDC07CCB3F9}"/>
            </c:ext>
          </c:extLst>
        </c:ser>
        <c:ser>
          <c:idx val="1"/>
          <c:order val="1"/>
          <c:tx>
            <c:strRef>
              <c:f>'Revenue Model'!$A$147</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Model'!$B$147:$Q$147</c:f>
              <c:numCache>
                <c:formatCode>General</c:formatCode>
                <c:ptCount val="16"/>
                <c:pt idx="11" formatCode="_(* #,##0_);_(* \(#,##0\);_(* &quot;-&quot;??_);_(@_)">
                  <c:v>1000</c:v>
                </c:pt>
                <c:pt idx="12" formatCode="_(* #,##0_);_(* \(#,##0\);_(* &quot;-&quot;??_);_(@_)">
                  <c:v>2300</c:v>
                </c:pt>
                <c:pt idx="13" formatCode="_(* #,##0_);_(* \(#,##0\);_(* &quot;-&quot;??_);_(@_)">
                  <c:v>2300</c:v>
                </c:pt>
                <c:pt idx="14" formatCode="_(* #,##0_);_(* \(#,##0\);_(* &quot;-&quot;??_);_(@_)">
                  <c:v>2300</c:v>
                </c:pt>
                <c:pt idx="15" formatCode="_(* #,##0_);_(* \(#,##0\);_(* &quot;-&quot;??_);_(@_)">
                  <c:v>2300</c:v>
                </c:pt>
              </c:numCache>
            </c:numRef>
          </c:val>
          <c:extLst>
            <c:ext xmlns:c16="http://schemas.microsoft.com/office/drawing/2014/chart" uri="{C3380CC4-5D6E-409C-BE32-E72D297353CC}">
              <c16:uniqueId val="{00000001-781C-4DC4-9D85-BBDC07CCB3F9}"/>
            </c:ext>
          </c:extLst>
        </c:ser>
        <c:ser>
          <c:idx val="2"/>
          <c:order val="2"/>
          <c:tx>
            <c:strRef>
              <c:f>'Revenue Model'!$A$148</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Model'!$B$148:$Q$148</c:f>
              <c:numCache>
                <c:formatCode>General</c:formatCode>
                <c:ptCount val="16"/>
                <c:pt idx="11" formatCode="_(* #,##0_);_(* \(#,##0\);_(* &quot;-&quot;??_);_(@_)">
                  <c:v>1000</c:v>
                </c:pt>
                <c:pt idx="12" formatCode="_(* #,##0_);_(* \(#,##0\);_(* &quot;-&quot;??_);_(@_)">
                  <c:v>1568.6</c:v>
                </c:pt>
                <c:pt idx="13" formatCode="_(* #,##0_);_(* \(#,##0\);_(* &quot;-&quot;??_);_(@_)">
                  <c:v>1568.6</c:v>
                </c:pt>
                <c:pt idx="14" formatCode="_(* #,##0_);_(* \(#,##0\);_(* &quot;-&quot;??_);_(@_)">
                  <c:v>1568.6</c:v>
                </c:pt>
                <c:pt idx="15" formatCode="_(* #,##0_);_(* \(#,##0\);_(* &quot;-&quot;??_);_(@_)">
                  <c:v>1568.6</c:v>
                </c:pt>
              </c:numCache>
            </c:numRef>
          </c:val>
          <c:extLst>
            <c:ext xmlns:c16="http://schemas.microsoft.com/office/drawing/2014/chart" uri="{C3380CC4-5D6E-409C-BE32-E72D297353CC}">
              <c16:uniqueId val="{00000002-781C-4DC4-9D85-BBDC07CCB3F9}"/>
            </c:ext>
          </c:extLst>
        </c:ser>
        <c:dLbls>
          <c:showLegendKey val="0"/>
          <c:showVal val="0"/>
          <c:showCatName val="0"/>
          <c:showSerName val="0"/>
          <c:showPercent val="0"/>
          <c:showBubbleSize val="0"/>
        </c:dLbls>
        <c:gapWidth val="0"/>
        <c:axId val="311344128"/>
        <c:axId val="311347456"/>
      </c:bar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Other Revenues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4529199475065625"/>
          <c:w val="0.80327755905511811"/>
          <c:h val="0.53969305920093325"/>
        </c:manualLayout>
      </c:layout>
      <c:barChart>
        <c:barDir val="col"/>
        <c:grouping val="clustered"/>
        <c:varyColors val="0"/>
        <c:ser>
          <c:idx val="0"/>
          <c:order val="0"/>
          <c:tx>
            <c:strRef>
              <c:f>'Revenue Model'!$A$150</c:f>
              <c:strCache>
                <c:ptCount val="1"/>
                <c:pt idx="0">
                  <c:v>Other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Model'!$B$150:$Q$150</c:f>
              <c:numCache>
                <c:formatCode>_(* #,##0_);_(* \(#,##0\);_(* "-"??_);_(@_)</c:formatCode>
                <c:ptCount val="16"/>
                <c:pt idx="0">
                  <c:v>797</c:v>
                </c:pt>
                <c:pt idx="1">
                  <c:v>852</c:v>
                </c:pt>
                <c:pt idx="2">
                  <c:v>770</c:v>
                </c:pt>
                <c:pt idx="3">
                  <c:v>896</c:v>
                </c:pt>
                <c:pt idx="4">
                  <c:v>1049</c:v>
                </c:pt>
                <c:pt idx="5">
                  <c:v>1240</c:v>
                </c:pt>
                <c:pt idx="6">
                  <c:v>1279</c:v>
                </c:pt>
                <c:pt idx="7">
                  <c:v>1428</c:v>
                </c:pt>
                <c:pt idx="8">
                  <c:v>1416</c:v>
                </c:pt>
                <c:pt idx="9">
                  <c:v>1340</c:v>
                </c:pt>
                <c:pt idx="10">
                  <c:v>1403</c:v>
                </c:pt>
              </c:numCache>
            </c:numRef>
          </c:val>
          <c:extLst>
            <c:ext xmlns:c16="http://schemas.microsoft.com/office/drawing/2014/chart" uri="{C3380CC4-5D6E-409C-BE32-E72D297353CC}">
              <c16:uniqueId val="{00000000-E92C-4800-9B24-DE696E50B337}"/>
            </c:ext>
          </c:extLst>
        </c:ser>
        <c:ser>
          <c:idx val="1"/>
          <c:order val="1"/>
          <c:tx>
            <c:strRef>
              <c:f>'Revenue Model'!$A$151</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Model'!$B$151:$Q$151</c:f>
              <c:numCache>
                <c:formatCode>General</c:formatCode>
                <c:ptCount val="16"/>
                <c:pt idx="11" formatCode="_(* #,##0_);_(* \(#,##0\);_(* &quot;-&quot;??_);_(@_)">
                  <c:v>1407</c:v>
                </c:pt>
                <c:pt idx="12" formatCode="_(* #,##0_);_(* \(#,##0\);_(* &quot;-&quot;??_);_(@_)">
                  <c:v>1477.3500000000001</c:v>
                </c:pt>
                <c:pt idx="13" formatCode="_(* #,##0_);_(* \(#,##0\);_(* &quot;-&quot;??_);_(@_)">
                  <c:v>1551.2175000000002</c:v>
                </c:pt>
                <c:pt idx="14" formatCode="_(* #,##0_);_(* \(#,##0\);_(* &quot;-&quot;??_);_(@_)">
                  <c:v>1628.7783750000003</c:v>
                </c:pt>
                <c:pt idx="15" formatCode="_(* #,##0_);_(* \(#,##0\);_(* &quot;-&quot;??_);_(@_)">
                  <c:v>1710.2172937500004</c:v>
                </c:pt>
              </c:numCache>
            </c:numRef>
          </c:val>
          <c:extLst>
            <c:ext xmlns:c16="http://schemas.microsoft.com/office/drawing/2014/chart" uri="{C3380CC4-5D6E-409C-BE32-E72D297353CC}">
              <c16:uniqueId val="{00000001-E92C-4800-9B24-DE696E50B337}"/>
            </c:ext>
          </c:extLst>
        </c:ser>
        <c:ser>
          <c:idx val="2"/>
          <c:order val="2"/>
          <c:tx>
            <c:strRef>
              <c:f>'Revenue Model'!$A$152</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Model'!$B$152:$Q$152</c:f>
              <c:numCache>
                <c:formatCode>General</c:formatCode>
                <c:ptCount val="16"/>
                <c:pt idx="11" formatCode="_(* #,##0_);_(* \(#,##0\);_(* &quot;-&quot;??_);_(@_)">
                  <c:v>1366.8</c:v>
                </c:pt>
                <c:pt idx="12" formatCode="_(* #,##0_);_(* \(#,##0\);_(* &quot;-&quot;??_);_(@_)">
                  <c:v>1394.136</c:v>
                </c:pt>
                <c:pt idx="13" formatCode="_(* #,##0_);_(* \(#,##0\);_(* &quot;-&quot;??_);_(@_)">
                  <c:v>1422.01872</c:v>
                </c:pt>
                <c:pt idx="14" formatCode="_(* #,##0_);_(* \(#,##0\);_(* &quot;-&quot;??_);_(@_)">
                  <c:v>1450.4590944000001</c:v>
                </c:pt>
                <c:pt idx="15" formatCode="_(* #,##0_);_(* \(#,##0\);_(* &quot;-&quot;??_);_(@_)">
                  <c:v>1479.4682762880002</c:v>
                </c:pt>
              </c:numCache>
            </c:numRef>
          </c:val>
          <c:extLst>
            <c:ext xmlns:c16="http://schemas.microsoft.com/office/drawing/2014/chart" uri="{C3380CC4-5D6E-409C-BE32-E72D297353CC}">
              <c16:uniqueId val="{00000002-E92C-4800-9B24-DE696E50B337}"/>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Model'!$A$153</c:f>
              <c:strCache>
                <c:ptCount val="1"/>
                <c:pt idx="0">
                  <c:v>Change</c:v>
                </c:pt>
              </c:strCache>
            </c:strRef>
          </c:tx>
          <c:spPr>
            <a:ln w="19050" cap="rnd">
              <a:solidFill>
                <a:schemeClr val="tx1"/>
              </a:solidFill>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Model'!$B$153:$Q$153</c:f>
              <c:numCache>
                <c:formatCode>0%</c:formatCode>
                <c:ptCount val="16"/>
                <c:pt idx="1">
                  <c:v>6.9008782936009982E-2</c:v>
                </c:pt>
                <c:pt idx="2">
                  <c:v>-9.6244131455399007E-2</c:v>
                </c:pt>
                <c:pt idx="3">
                  <c:v>0.16363636363636358</c:v>
                </c:pt>
                <c:pt idx="4">
                  <c:v>0.1707589285714286</c:v>
                </c:pt>
                <c:pt idx="5">
                  <c:v>0.18207816968541457</c:v>
                </c:pt>
                <c:pt idx="6">
                  <c:v>3.1451612903225845E-2</c:v>
                </c:pt>
                <c:pt idx="7">
                  <c:v>0.11649726348709932</c:v>
                </c:pt>
                <c:pt idx="8">
                  <c:v>-8.4033613445377853E-3</c:v>
                </c:pt>
                <c:pt idx="9">
                  <c:v>-5.3672316384180796E-2</c:v>
                </c:pt>
                <c:pt idx="10">
                  <c:v>4.7014925373134231E-2</c:v>
                </c:pt>
              </c:numCache>
            </c:numRef>
          </c:val>
          <c:smooth val="0"/>
          <c:extLst>
            <c:ext xmlns:c16="http://schemas.microsoft.com/office/drawing/2014/chart" uri="{C3380CC4-5D6E-409C-BE32-E72D297353CC}">
              <c16:uniqueId val="{00000003-E92C-4800-9B24-DE696E50B337}"/>
            </c:ext>
          </c:extLst>
        </c:ser>
        <c:ser>
          <c:idx val="4"/>
          <c:order val="4"/>
          <c:tx>
            <c:strRef>
              <c:f>'Revenue Model'!$A$154</c:f>
              <c:strCache>
                <c:ptCount val="1"/>
                <c:pt idx="0">
                  <c:v>Best Case Change</c:v>
                </c:pt>
              </c:strCache>
            </c:strRef>
          </c:tx>
          <c:spPr>
            <a:ln w="19050" cap="rnd">
              <a:solidFill>
                <a:schemeClr val="tx1"/>
              </a:solidFill>
              <a:prstDash val="sysDot"/>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Model'!$B$154:$Q$154</c:f>
              <c:numCache>
                <c:formatCode>_(* #,##0_);_(* \(#,##0\);_(* "-"??_);_(@_)</c:formatCode>
                <c:ptCount val="16"/>
                <c:pt idx="9" formatCode="0%">
                  <c:v>-5.3672316384180796E-2</c:v>
                </c:pt>
                <c:pt idx="10" formatCode="0%">
                  <c:v>4.7014925373134231E-2</c:v>
                </c:pt>
                <c:pt idx="11" formatCode="0%">
                  <c:v>5.0000000000000044E-2</c:v>
                </c:pt>
                <c:pt idx="12" formatCode="0%">
                  <c:v>5.0000000000000044E-2</c:v>
                </c:pt>
                <c:pt idx="13" formatCode="0%">
                  <c:v>5.0000000000000044E-2</c:v>
                </c:pt>
                <c:pt idx="14" formatCode="0%">
                  <c:v>5.0000000000000044E-2</c:v>
                </c:pt>
                <c:pt idx="15" formatCode="0%">
                  <c:v>5.0000000000000044E-2</c:v>
                </c:pt>
              </c:numCache>
            </c:numRef>
          </c:val>
          <c:smooth val="0"/>
          <c:extLst>
            <c:ext xmlns:c16="http://schemas.microsoft.com/office/drawing/2014/chart" uri="{C3380CC4-5D6E-409C-BE32-E72D297353CC}">
              <c16:uniqueId val="{00000004-E92C-4800-9B24-DE696E50B337}"/>
            </c:ext>
          </c:extLst>
        </c:ser>
        <c:ser>
          <c:idx val="5"/>
          <c:order val="5"/>
          <c:tx>
            <c:strRef>
              <c:f>'Revenue Model'!$A$155</c:f>
              <c:strCache>
                <c:ptCount val="1"/>
                <c:pt idx="0">
                  <c:v>Worst Case Change</c:v>
                </c:pt>
              </c:strCache>
            </c:strRef>
          </c:tx>
          <c:spPr>
            <a:ln w="19050" cap="rnd">
              <a:solidFill>
                <a:schemeClr val="tx1"/>
              </a:solidFill>
              <a:prstDash val="dash"/>
              <a:round/>
            </a:ln>
            <a:effectLst/>
          </c:spPr>
          <c:marker>
            <c:symbol val="none"/>
          </c:marker>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Model'!$B$155:$Q$155</c:f>
              <c:numCache>
                <c:formatCode>_(* #,##0_);_(* \(#,##0\);_(* "-"??_);_(@_)</c:formatCode>
                <c:ptCount val="16"/>
                <c:pt idx="9" formatCode="0%">
                  <c:v>-5.3672316384180796E-2</c:v>
                </c:pt>
                <c:pt idx="10" formatCode="0%">
                  <c:v>4.7014925373134231E-2</c:v>
                </c:pt>
                <c:pt idx="11" formatCode="0%">
                  <c:v>2.0000000000000018E-2</c:v>
                </c:pt>
                <c:pt idx="12" formatCode="0%">
                  <c:v>2.0000000000000018E-2</c:v>
                </c:pt>
                <c:pt idx="13" formatCode="0%">
                  <c:v>2.0000000000000018E-2</c:v>
                </c:pt>
                <c:pt idx="14" formatCode="0%">
                  <c:v>2.0000000000000018E-2</c:v>
                </c:pt>
                <c:pt idx="15" formatCode="0%">
                  <c:v>2.0000000000000018E-2</c:v>
                </c:pt>
              </c:numCache>
            </c:numRef>
          </c:val>
          <c:smooth val="0"/>
          <c:extLst>
            <c:ext xmlns:c16="http://schemas.microsoft.com/office/drawing/2014/chart" uri="{C3380CC4-5D6E-409C-BE32-E72D297353CC}">
              <c16:uniqueId val="{00000005-E92C-4800-9B24-DE696E50B337}"/>
            </c:ext>
          </c:extLst>
        </c:ser>
        <c:dLbls>
          <c:showLegendKey val="0"/>
          <c:showVal val="0"/>
          <c:showCatName val="0"/>
          <c:showSerName val="0"/>
          <c:showPercent val="0"/>
          <c:showBubbleSize val="0"/>
        </c:dLbls>
        <c:marker val="1"/>
        <c:smooth val="0"/>
        <c:axId val="855561096"/>
        <c:axId val="855567984"/>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85556798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855561096"/>
        <c:crosses val="max"/>
        <c:crossBetween val="between"/>
      </c:valAx>
      <c:catAx>
        <c:axId val="855561096"/>
        <c:scaling>
          <c:orientation val="minMax"/>
        </c:scaling>
        <c:delete val="1"/>
        <c:axPos val="b"/>
        <c:numFmt formatCode="General" sourceLinked="1"/>
        <c:majorTickMark val="out"/>
        <c:minorTickMark val="none"/>
        <c:tickLblPos val="nextTo"/>
        <c:crossAx val="855567984"/>
        <c:crosses val="autoZero"/>
        <c:auto val="1"/>
        <c:lblAlgn val="ctr"/>
        <c:lblOffset val="100"/>
        <c:noMultiLvlLbl val="1"/>
      </c:catAx>
      <c:spPr>
        <a:noFill/>
        <a:ln>
          <a:noFill/>
        </a:ln>
        <a:effectLst/>
      </c:spPr>
    </c:plotArea>
    <c:legend>
      <c:legendPos val="t"/>
      <c:layout>
        <c:manualLayout>
          <c:xMode val="edge"/>
          <c:yMode val="edge"/>
          <c:x val="0.11656846019247596"/>
          <c:y val="0.13319444444444445"/>
          <c:w val="0.8001964129483814"/>
          <c:h val="0.1982086614173228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#,##0_);_(* \(#,##0\);_(* "-"??_);_(@_)</c:formatCode>
                <c:ptCount val="15"/>
                <c:pt idx="0">
                  <c:v>17970</c:v>
                </c:pt>
                <c:pt idx="1">
                  <c:v>14143</c:v>
                </c:pt>
                <c:pt idx="2">
                  <c:v>16965</c:v>
                </c:pt>
                <c:pt idx="3">
                  <c:v>19557</c:v>
                </c:pt>
                <c:pt idx="4">
                  <c:v>20926</c:v>
                </c:pt>
                <c:pt idx="5">
                  <c:v>21963</c:v>
                </c:pt>
                <c:pt idx="6">
                  <c:v>23988</c:v>
                </c:pt>
                <c:pt idx="7">
                  <c:v>21813</c:v>
                </c:pt>
                <c:pt idx="8">
                  <c:v>19941</c:v>
                </c:pt>
                <c:pt idx="9">
                  <c:v>21240</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General</c:formatCode>
                <c:ptCount val="15"/>
                <c:pt idx="10" formatCode="_(* #,##0_);_(* \(#,##0\);_(* &quot;-&quot;??_);_(@_)">
                  <c:v>23068.678200855309</c:v>
                </c:pt>
                <c:pt idx="11" formatCode="_(* #,##0_);_(* \(#,##0\);_(* &quot;-&quot;??_);_(@_)">
                  <c:v>25680.719667666992</c:v>
                </c:pt>
                <c:pt idx="12" formatCode="_(* #,##0_);_(* \(#,##0\);_(* &quot;-&quot;??_);_(@_)">
                  <c:v>27089.440783189784</c:v>
                </c:pt>
                <c:pt idx="13" formatCode="_(* #,##0_);_(* \(#,##0\);_(* &quot;-&quot;??_);_(@_)">
                  <c:v>28930.295905465944</c:v>
                </c:pt>
                <c:pt idx="14" formatCode="_(* #,##0_);_(* \(#,##0\);_(* &quot;-&quot;??_);_(@_)">
                  <c:v>30370.376191953517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General</c:formatCode>
                <c:ptCount val="15"/>
                <c:pt idx="10" formatCode="_(* #,##0_);_(* \(#,##0\);_(* &quot;-&quot;??_);_(@_)">
                  <c:v>22102.319788315424</c:v>
                </c:pt>
                <c:pt idx="11" formatCode="_(* #,##0_);_(* \(#,##0\);_(* &quot;-&quot;??_);_(@_)">
                  <c:v>22707.367207273801</c:v>
                </c:pt>
                <c:pt idx="12" formatCode="_(* #,##0_);_(* \(#,##0\);_(* &quot;-&quot;??_);_(@_)">
                  <c:v>22748.937256867986</c:v>
                </c:pt>
                <c:pt idx="13" formatCode="_(* #,##0_);_(* \(#,##0\);_(* &quot;-&quot;??_);_(@_)">
                  <c:v>22811.222541435134</c:v>
                </c:pt>
                <c:pt idx="14" formatCode="_(* #,##0_);_(* \(#,##0\);_(* &quot;-&quot;??_);_(@_)">
                  <c:v>22893.400154940678</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-0.21296605453533668</c:v>
                </c:pt>
                <c:pt idx="2">
                  <c:v>0.1995333380470905</c:v>
                </c:pt>
                <c:pt idx="3">
                  <c:v>0.15278514588859426</c:v>
                </c:pt>
                <c:pt idx="4">
                  <c:v>7.0000511325867931E-2</c:v>
                </c:pt>
                <c:pt idx="5">
                  <c:v>4.9555576794418466E-2</c:v>
                </c:pt>
                <c:pt idx="6">
                  <c:v>9.2200519054773888E-2</c:v>
                </c:pt>
                <c:pt idx="7">
                  <c:v>-9.0670335167583826E-2</c:v>
                </c:pt>
                <c:pt idx="8">
                  <c:v>-8.5820382340805912E-2</c:v>
                </c:pt>
                <c:pt idx="9">
                  <c:v>6.5142169399729166E-2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6.5142169399729166E-2</c:v>
                </c:pt>
                <c:pt idx="10" formatCode="0%">
                  <c:v>8.6095960492246215E-2</c:v>
                </c:pt>
                <c:pt idx="11" formatCode="0%">
                  <c:v>0.11322891775892208</c:v>
                </c:pt>
                <c:pt idx="12" formatCode="0%">
                  <c:v>5.4855203972201227E-2</c:v>
                </c:pt>
                <c:pt idx="13" formatCode="0%">
                  <c:v>6.7954711099776244E-2</c:v>
                </c:pt>
                <c:pt idx="14" formatCode="0%">
                  <c:v>4.9777585794257062E-2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6.5142169399729166E-2</c:v>
                </c:pt>
                <c:pt idx="10" formatCode="0%">
                  <c:v>4.05988600901801E-2</c:v>
                </c:pt>
                <c:pt idx="11" formatCode="0%">
                  <c:v>2.7374837788666895E-2</c:v>
                </c:pt>
                <c:pt idx="12" formatCode="0%">
                  <c:v>1.8306855750704898E-3</c:v>
                </c:pt>
                <c:pt idx="13" formatCode="0%">
                  <c:v>2.7379426064548795E-3</c:v>
                </c:pt>
                <c:pt idx="14" formatCode="0%">
                  <c:v>3.6025080793575803E-3</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#,##0_);_(* \(#,##0\);_(* "-"??_);_(@_)</c:formatCode>
                <c:ptCount val="15"/>
                <c:pt idx="0">
                  <c:v>2196</c:v>
                </c:pt>
                <c:pt idx="1">
                  <c:v>1477</c:v>
                </c:pt>
                <c:pt idx="2">
                  <c:v>2302</c:v>
                </c:pt>
                <c:pt idx="3">
                  <c:v>3794</c:v>
                </c:pt>
                <c:pt idx="4">
                  <c:v>3956</c:v>
                </c:pt>
                <c:pt idx="5">
                  <c:v>4508</c:v>
                </c:pt>
                <c:pt idx="6">
                  <c:v>4978</c:v>
                </c:pt>
                <c:pt idx="7">
                  <c:v>4855</c:v>
                </c:pt>
                <c:pt idx="8">
                  <c:v>4998</c:v>
                </c:pt>
                <c:pt idx="9">
                  <c:v>4912</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General</c:formatCode>
                <c:ptCount val="15"/>
                <c:pt idx="10" formatCode="_(* #,##0_);_(* \(#,##0\);_(* &quot;-&quot;??_);_(@_)">
                  <c:v>5767.1695502138273</c:v>
                </c:pt>
                <c:pt idx="11" formatCode="_(* #,##0_);_(* \(#,##0\);_(* &quot;-&quot;??_);_(@_)">
                  <c:v>6420.179916916748</c:v>
                </c:pt>
                <c:pt idx="12" formatCode="_(* #,##0_);_(* \(#,##0\);_(* &quot;-&quot;??_);_(@_)">
                  <c:v>7043.2546036293443</c:v>
                </c:pt>
                <c:pt idx="13" formatCode="_(* #,##0_);_(* \(#,##0\);_(* &quot;-&quot;??_);_(@_)">
                  <c:v>7521.8769354211454</c:v>
                </c:pt>
                <c:pt idx="14" formatCode="_(* #,##0_);_(* \(#,##0\);_(* &quot;-&quot;??_);_(@_)">
                  <c:v>7896.2978099079146</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General</c:formatCode>
                <c:ptCount val="15"/>
                <c:pt idx="10" formatCode="_(* #,##0_);_(* \(#,##0\);_(* &quot;-&quot;??_);_(@_)">
                  <c:v>5083.5335513125474</c:v>
                </c:pt>
                <c:pt idx="11" formatCode="_(* #,##0_);_(* \(#,##0\);_(* &quot;-&quot;??_);_(@_)">
                  <c:v>5222.6944576729747</c:v>
                </c:pt>
                <c:pt idx="12" formatCode="_(* #,##0_);_(* \(#,##0\);_(* &quot;-&quot;??_);_(@_)">
                  <c:v>5459.7449416483169</c:v>
                </c:pt>
                <c:pt idx="13" formatCode="_(* #,##0_);_(* \(#,##0\);_(* &quot;-&quot;??_);_(@_)">
                  <c:v>5474.6934099444316</c:v>
                </c:pt>
                <c:pt idx="14" formatCode="_(* #,##0_);_(* \(#,##0\);_(* &quot;-&quot;??_);_(@_)">
                  <c:v>5494.4160371857624</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0.12220367278797997</c:v>
                </c:pt>
                <c:pt idx="1">
                  <c:v>0.10443328855264088</c:v>
                </c:pt>
                <c:pt idx="2">
                  <c:v>0.13569112879457706</c:v>
                </c:pt>
                <c:pt idx="3">
                  <c:v>0.19399703430996573</c:v>
                </c:pt>
                <c:pt idx="4">
                  <c:v>0.18904711841727995</c:v>
                </c:pt>
                <c:pt idx="5">
                  <c:v>0.2052542913081091</c:v>
                </c:pt>
                <c:pt idx="6">
                  <c:v>0.20752042688010672</c:v>
                </c:pt>
                <c:pt idx="7">
                  <c:v>0.22257369458579745</c:v>
                </c:pt>
                <c:pt idx="8">
                  <c:v>0.2506393861892583</c:v>
                </c:pt>
                <c:pt idx="9">
                  <c:v>0.23126177024482109</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0.23126177024482109</c:v>
                </c:pt>
                <c:pt idx="10" formatCode="0%">
                  <c:v>0.25</c:v>
                </c:pt>
                <c:pt idx="11" formatCode="0%">
                  <c:v>0.25</c:v>
                </c:pt>
                <c:pt idx="12" formatCode="0%">
                  <c:v>0.26</c:v>
                </c:pt>
                <c:pt idx="13" formatCode="0%">
                  <c:v>0.26</c:v>
                </c:pt>
                <c:pt idx="14" formatCode="0%">
                  <c:v>0.26</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0.23126177024482109</c:v>
                </c:pt>
                <c:pt idx="10" formatCode="0%">
                  <c:v>0.23</c:v>
                </c:pt>
                <c:pt idx="11" formatCode="0%">
                  <c:v>0.23</c:v>
                </c:pt>
                <c:pt idx="12" formatCode="0%">
                  <c:v>0.24</c:v>
                </c:pt>
                <c:pt idx="13" formatCode="0%">
                  <c:v>0.24</c:v>
                </c:pt>
                <c:pt idx="14" formatCode="0%">
                  <c:v>0.24</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2196</c:v>
                </c:pt>
                <c:pt idx="1">
                  <c:v>1477</c:v>
                </c:pt>
                <c:pt idx="2">
                  <c:v>2302</c:v>
                </c:pt>
                <c:pt idx="3">
                  <c:v>3794</c:v>
                </c:pt>
                <c:pt idx="4">
                  <c:v>3956</c:v>
                </c:pt>
                <c:pt idx="5">
                  <c:v>4508</c:v>
                </c:pt>
                <c:pt idx="6">
                  <c:v>4978</c:v>
                </c:pt>
                <c:pt idx="7">
                  <c:v>4855</c:v>
                </c:pt>
                <c:pt idx="8">
                  <c:v>4998</c:v>
                </c:pt>
                <c:pt idx="9">
                  <c:v>4912</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1294.73536182107</c:v>
                </c:pt>
                <c:pt idx="1">
                  <c:v>815.02517460284002</c:v>
                </c:pt>
                <c:pt idx="2">
                  <c:v>614.49019047616002</c:v>
                </c:pt>
                <c:pt idx="3">
                  <c:v>1265.29341269827</c:v>
                </c:pt>
                <c:pt idx="4">
                  <c:v>1839.0559244799999</c:v>
                </c:pt>
                <c:pt idx="5">
                  <c:v>1251.8242869047999</c:v>
                </c:pt>
                <c:pt idx="6">
                  <c:v>2042.2512862307999</c:v>
                </c:pt>
                <c:pt idx="7">
                  <c:v>2091.3805952380899</c:v>
                </c:pt>
                <c:pt idx="8">
                  <c:v>1180.4843373015874</c:v>
                </c:pt>
                <c:pt idx="9">
                  <c:v>918.35</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Segments!$A$76</c:f>
          <c:strCache>
            <c:ptCount val="1"/>
            <c:pt idx="0">
              <c:v>Automotive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Segments!$A$74</c:f>
              <c:strCache>
                <c:ptCount val="1"/>
                <c:pt idx="0">
                  <c:v>Revenue Ton-Mile (YoY Change)</c:v>
                </c:pt>
              </c:strCache>
            </c:strRef>
          </c:tx>
          <c:spPr>
            <a:solidFill>
              <a:srgbClr val="575A5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Segments!$B$76:$K$76</c15:sqref>
                  </c15:fullRef>
                </c:ext>
              </c:extLst>
              <c:f>Segments!$C$76:$K$76</c:f>
              <c:numCache>
                <c:formatCode>0.0%</c:formatCode>
                <c:ptCount val="9"/>
                <c:pt idx="0">
                  <c:v>-0.20020592609541243</c:v>
                </c:pt>
                <c:pt idx="1">
                  <c:v>-0.3033900729509369</c:v>
                </c:pt>
                <c:pt idx="2">
                  <c:v>0.28767967145790552</c:v>
                </c:pt>
                <c:pt idx="3">
                  <c:v>3.6836230266305225E-2</c:v>
                </c:pt>
                <c:pt idx="4">
                  <c:v>0.14903106736388794</c:v>
                </c:pt>
                <c:pt idx="5">
                  <c:v>8.2117521081515266E-2</c:v>
                </c:pt>
                <c:pt idx="6">
                  <c:v>3.8839755086894634E-2</c:v>
                </c:pt>
                <c:pt idx="7">
                  <c:v>8.3110079180806151E-2</c:v>
                </c:pt>
                <c:pt idx="8">
                  <c:v>-5.4966195789596384E-5</c:v>
                </c:pt>
              </c:numCache>
            </c:numRef>
          </c:val>
          <c:extLst>
            <c:ext xmlns:c16="http://schemas.microsoft.com/office/drawing/2014/chart" uri="{C3380CC4-5D6E-409C-BE32-E72D297353CC}">
              <c16:uniqueId val="{00000000-E43B-4683-9AC9-B3DB5FA81BEA}"/>
            </c:ext>
          </c:extLst>
        </c:ser>
        <c:ser>
          <c:idx val="1"/>
          <c:order val="1"/>
          <c:tx>
            <c:strRef>
              <c:f>Segments!$A$82</c:f>
              <c:strCache>
                <c:ptCount val="1"/>
                <c:pt idx="0">
                  <c:v>Revenues / Ton-Mile (YoY Change)</c:v>
                </c:pt>
              </c:strCache>
            </c:strRef>
          </c:tx>
          <c:spPr>
            <a:solidFill>
              <a:srgbClr val="0046A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Segments!$B$84:$K$84</c15:sqref>
                  </c15:fullRef>
                </c:ext>
              </c:extLst>
              <c:f>Segments!$C$84:$K$84</c:f>
              <c:numCache>
                <c:formatCode>0.0%</c:formatCode>
                <c:ptCount val="9"/>
                <c:pt idx="0">
                  <c:v>0.13897979232572832</c:v>
                </c:pt>
                <c:pt idx="1">
                  <c:v>-6.0630101019241822E-2</c:v>
                </c:pt>
                <c:pt idx="2">
                  <c:v>0.14517219249457791</c:v>
                </c:pt>
                <c:pt idx="3">
                  <c:v>0.13251958924820739</c:v>
                </c:pt>
                <c:pt idx="4">
                  <c:v>3.4511914778777575E-2</c:v>
                </c:pt>
                <c:pt idx="5">
                  <c:v>6.4298255362635226E-2</c:v>
                </c:pt>
                <c:pt idx="6">
                  <c:v>-2.6688924234204991E-2</c:v>
                </c:pt>
                <c:pt idx="7">
                  <c:v>-3.6547676084491831E-2</c:v>
                </c:pt>
                <c:pt idx="8">
                  <c:v>-6.0931925807872322E-2</c:v>
                </c:pt>
              </c:numCache>
            </c:numRef>
          </c:val>
          <c:extLst>
            <c:ext xmlns:c16="http://schemas.microsoft.com/office/drawing/2014/chart" uri="{C3380CC4-5D6E-409C-BE32-E72D297353CC}">
              <c16:uniqueId val="{00000001-E43B-4683-9AC9-B3DB5FA81BEA}"/>
            </c:ext>
          </c:extLst>
        </c:ser>
        <c:dLbls>
          <c:showLegendKey val="0"/>
          <c:showVal val="0"/>
          <c:showCatName val="0"/>
          <c:showSerName val="0"/>
          <c:showPercent val="0"/>
          <c:showBubbleSize val="0"/>
        </c:dLbls>
        <c:gapWidth val="219"/>
        <c:overlap val="-27"/>
        <c:axId val="537534936"/>
        <c:axId val="537533952"/>
      </c:barChart>
      <c:catAx>
        <c:axId val="5375349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3952"/>
        <c:crosses val="autoZero"/>
        <c:auto val="1"/>
        <c:lblAlgn val="ctr"/>
        <c:lblOffset val="100"/>
        <c:noMultiLvlLbl val="0"/>
      </c:catAx>
      <c:valAx>
        <c:axId val="53753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4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1294</c:v>
                </c:pt>
                <c:pt idx="1">
                  <c:v>727</c:v>
                </c:pt>
                <c:pt idx="2">
                  <c:v>679</c:v>
                </c:pt>
                <c:pt idx="3">
                  <c:v>1182</c:v>
                </c:pt>
                <c:pt idx="4">
                  <c:v>1807</c:v>
                </c:pt>
                <c:pt idx="5">
                  <c:v>1181</c:v>
                </c:pt>
                <c:pt idx="6">
                  <c:v>1799</c:v>
                </c:pt>
                <c:pt idx="7">
                  <c:v>2120</c:v>
                </c:pt>
                <c:pt idx="8">
                  <c:v>1159</c:v>
                </c:pt>
                <c:pt idx="9">
                  <c:v>920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122.73536182107</c:v>
                </c:pt>
                <c:pt idx="1">
                  <c:v>181.02517460284</c:v>
                </c:pt>
                <c:pt idx="2">
                  <c:v>122.49019047616001</c:v>
                </c:pt>
                <c:pt idx="3">
                  <c:v>150.29341269827</c:v>
                </c:pt>
                <c:pt idx="4">
                  <c:v>140.05592447999999</c:v>
                </c:pt>
                <c:pt idx="5">
                  <c:v>150.8242869048</c:v>
                </c:pt>
                <c:pt idx="6">
                  <c:v>341.25128623079996</c:v>
                </c:pt>
                <c:pt idx="7">
                  <c:v>109.38059523809001</c:v>
                </c:pt>
                <c:pt idx="8">
                  <c:v>150.48433730158735</c:v>
                </c:pt>
                <c:pt idx="9">
                  <c:v>166.35000000000002</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-122</c:v>
                </c:pt>
                <c:pt idx="1">
                  <c:v>-93</c:v>
                </c:pt>
                <c:pt idx="2">
                  <c:v>-187</c:v>
                </c:pt>
                <c:pt idx="3">
                  <c:v>-67</c:v>
                </c:pt>
                <c:pt idx="4">
                  <c:v>-108</c:v>
                </c:pt>
                <c:pt idx="5">
                  <c:v>-80</c:v>
                </c:pt>
                <c:pt idx="6">
                  <c:v>-98</c:v>
                </c:pt>
                <c:pt idx="7">
                  <c:v>-138</c:v>
                </c:pt>
                <c:pt idx="8">
                  <c:v>-129</c:v>
                </c:pt>
                <c:pt idx="9">
                  <c:v>-168</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901.26463817893</c:v>
                </c:pt>
                <c:pt idx="1">
                  <c:v>661.97482539715998</c:v>
                </c:pt>
                <c:pt idx="2">
                  <c:v>1687.50980952384</c:v>
                </c:pt>
                <c:pt idx="3">
                  <c:v>2528.70658730173</c:v>
                </c:pt>
                <c:pt idx="4">
                  <c:v>2116.9440755200003</c:v>
                </c:pt>
                <c:pt idx="5">
                  <c:v>3256.1757130952001</c:v>
                </c:pt>
                <c:pt idx="6">
                  <c:v>2935.7487137692001</c:v>
                </c:pt>
                <c:pt idx="7">
                  <c:v>2763.6194047619101</c:v>
                </c:pt>
                <c:pt idx="8">
                  <c:v>3817.5156626984126</c:v>
                </c:pt>
                <c:pt idx="9">
                  <c:v>3993.65</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4321.0035186156656</c:v>
                </c:pt>
                <c:pt idx="11" formatCode="_(* #,##0_);_(* \(#,##0\);_(* &quot;-&quot;??_);_(@_)">
                  <c:v>3917.0208432547311</c:v>
                </c:pt>
                <c:pt idx="12" formatCode="_(* #,##0_);_(* \(#,##0\);_(* &quot;-&quot;??_);_(@_)">
                  <c:v>4094.8087062362374</c:v>
                </c:pt>
                <c:pt idx="13" formatCode="_(* #,##0_);_(* \(#,##0\);_(* &quot;-&quot;??_);_(@_)">
                  <c:v>4106.0200574583232</c:v>
                </c:pt>
                <c:pt idx="14" formatCode="_(* #,##0_);_(* \(#,##0\);_(* &quot;-&quot;??_);_(@_)">
                  <c:v>3846.0912260300333</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4902.0941176817532</c:v>
                </c:pt>
                <c:pt idx="11" formatCode="_(* #,##0_);_(* \(#,##0\);_(* &quot;-&quot;??_);_(@_)">
                  <c:v>4815.1349376875605</c:v>
                </c:pt>
                <c:pt idx="12" formatCode="_(* #,##0_);_(* \(#,##0\);_(* &quot;-&quot;??_);_(@_)">
                  <c:v>5282.4409527220087</c:v>
                </c:pt>
                <c:pt idx="13" formatCode="_(* #,##0_);_(* \(#,##0\);_(* &quot;-&quot;??_);_(@_)">
                  <c:v>5641.4077015658586</c:v>
                </c:pt>
                <c:pt idx="14" formatCode="_(* #,##0_);_(* \(#,##0\);_(* &quot;-&quot;??_);_(@_)">
                  <c:v>5527.4084669355398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5.0153847422311076E-2</c:v>
                </c:pt>
                <c:pt idx="1">
                  <c:v>4.6805827999516367E-2</c:v>
                </c:pt>
                <c:pt idx="2">
                  <c:v>9.9470074242489825E-2</c:v>
                </c:pt>
                <c:pt idx="3">
                  <c:v>0.12929930906078285</c:v>
                </c:pt>
                <c:pt idx="4">
                  <c:v>0.10116334108381919</c:v>
                </c:pt>
                <c:pt idx="5">
                  <c:v>0.14825732883008697</c:v>
                </c:pt>
                <c:pt idx="6">
                  <c:v>0.12238405510126731</c:v>
                </c:pt>
                <c:pt idx="7">
                  <c:v>0.12669597968009491</c:v>
                </c:pt>
                <c:pt idx="8">
                  <c:v>0.19144053270640451</c:v>
                </c:pt>
                <c:pt idx="9">
                  <c:v>0.18802495291902072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0.18802495291902072</c:v>
                </c:pt>
                <c:pt idx="10" formatCode="0.0%">
                  <c:v>0.19550000000000001</c:v>
                </c:pt>
                <c:pt idx="11" formatCode="0.0%">
                  <c:v>0.17250000000000001</c:v>
                </c:pt>
                <c:pt idx="12" formatCode="0.0%">
                  <c:v>0.18</c:v>
                </c:pt>
                <c:pt idx="13" formatCode="0.0%">
                  <c:v>0.18</c:v>
                </c:pt>
                <c:pt idx="14" formatCode="0.0%">
                  <c:v>0.16799999999999998</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0.18802495291902072</c:v>
                </c:pt>
                <c:pt idx="10" formatCode="0.0%">
                  <c:v>0.21249999999999999</c:v>
                </c:pt>
                <c:pt idx="11" formatCode="0.0%">
                  <c:v>0.1875</c:v>
                </c:pt>
                <c:pt idx="12" formatCode="0.0%">
                  <c:v>0.19500000000000001</c:v>
                </c:pt>
                <c:pt idx="13" formatCode="0.0%">
                  <c:v>0.19500000000000001</c:v>
                </c:pt>
                <c:pt idx="14" formatCode="0.0%">
                  <c:v>0.182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UNP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2196</c:v>
                </c:pt>
                <c:pt idx="1">
                  <c:v>1477</c:v>
                </c:pt>
                <c:pt idx="2">
                  <c:v>2302</c:v>
                </c:pt>
                <c:pt idx="3">
                  <c:v>3794</c:v>
                </c:pt>
                <c:pt idx="4">
                  <c:v>3956</c:v>
                </c:pt>
                <c:pt idx="5">
                  <c:v>4508</c:v>
                </c:pt>
                <c:pt idx="6">
                  <c:v>4978</c:v>
                </c:pt>
                <c:pt idx="7">
                  <c:v>4855</c:v>
                </c:pt>
                <c:pt idx="8">
                  <c:v>4998</c:v>
                </c:pt>
                <c:pt idx="9">
                  <c:v>4912</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UNP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2196</c:v>
                </c:pt>
                <c:pt idx="1">
                  <c:v>2198.5054192812322</c:v>
                </c:pt>
                <c:pt idx="2">
                  <c:v>2298.6769118688103</c:v>
                </c:pt>
                <c:pt idx="3">
                  <c:v>2382.4575289177246</c:v>
                </c:pt>
                <c:pt idx="4">
                  <c:v>2465.0458078749689</c:v>
                </c:pt>
                <c:pt idx="5">
                  <c:v>2577.6085608835806</c:v>
                </c:pt>
                <c:pt idx="6">
                  <c:v>2671.9994776596409</c:v>
                </c:pt>
                <c:pt idx="7">
                  <c:v>2666.1585302991775</c:v>
                </c:pt>
                <c:pt idx="8">
                  <c:v>2666.1585302991775</c:v>
                </c:pt>
                <c:pt idx="9">
                  <c:v>2666.1585302991775</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UNP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-0.32855438036485984</c:v>
                </c:pt>
                <c:pt idx="2">
                  <c:v>0.51300120770799684</c:v>
                </c:pt>
                <c:pt idx="3">
                  <c:v>0.61168473731047057</c:v>
                </c:pt>
                <c:pt idx="4">
                  <c:v>8.0338352604272245E-3</c:v>
                </c:pt>
                <c:pt idx="5">
                  <c:v>9.387132945795762E-2</c:v>
                </c:pt>
                <c:pt idx="6">
                  <c:v>6.7639525078813767E-2</c:v>
                </c:pt>
                <c:pt idx="7">
                  <c:v>-2.2522734639870312E-2</c:v>
                </c:pt>
                <c:pt idx="8">
                  <c:v>2.9454170957775583E-2</c:v>
                </c:pt>
                <c:pt idx="9">
                  <c:v>-1.7206882753101227E-2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UNP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0.23958986973420315</c:v>
                </c:pt>
                <c:pt idx="4">
                  <c:v>0.2886037907557466</c:v>
                </c:pt>
                <c:pt idx="5">
                  <c:v>0.18042654247587286</c:v>
                </c:pt>
                <c:pt idx="6">
                  <c:v>5.7595021069857477E-2</c:v>
                </c:pt>
                <c:pt idx="7">
                  <c:v>4.081100489112699E-2</c:v>
                </c:pt>
                <c:pt idx="8">
                  <c:v>2.298123956249043E-2</c:v>
                </c:pt>
                <c:pt idx="9">
                  <c:v>-3.7204135394972582E-3</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Union Pacific (UNP)</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2.96</c:v>
                </c:pt>
                <c:pt idx="2">
                  <c:v>5.92</c:v>
                </c:pt>
                <c:pt idx="3">
                  <c:v>8.879999999999999</c:v>
                </c:pt>
                <c:pt idx="4">
                  <c:v>11.84</c:v>
                </c:pt>
                <c:pt idx="5">
                  <c:v>14.8</c:v>
                </c:pt>
                <c:pt idx="6">
                  <c:v>17.760000000000002</c:v>
                </c:pt>
                <c:pt idx="7">
                  <c:v>20.720000000000002</c:v>
                </c:pt>
                <c:pt idx="8">
                  <c:v>23.68</c:v>
                </c:pt>
                <c:pt idx="9">
                  <c:v>26.64</c:v>
                </c:pt>
                <c:pt idx="10">
                  <c:v>29.599999999999998</c:v>
                </c:pt>
                <c:pt idx="11">
                  <c:v>32.559999999999995</c:v>
                </c:pt>
                <c:pt idx="12">
                  <c:v>35.519999999999996</c:v>
                </c:pt>
                <c:pt idx="13">
                  <c:v>38.47999999999999</c:v>
                </c:pt>
                <c:pt idx="14">
                  <c:v>41.44</c:v>
                </c:pt>
                <c:pt idx="15">
                  <c:v>44.4</c:v>
                </c:pt>
                <c:pt idx="16">
                  <c:v>47.36</c:v>
                </c:pt>
                <c:pt idx="17">
                  <c:v>50.32</c:v>
                </c:pt>
                <c:pt idx="18">
                  <c:v>53.280000000000008</c:v>
                </c:pt>
                <c:pt idx="19">
                  <c:v>56.240000000000009</c:v>
                </c:pt>
                <c:pt idx="20">
                  <c:v>59.20000000000001</c:v>
                </c:pt>
                <c:pt idx="21">
                  <c:v>62.160000000000011</c:v>
                </c:pt>
                <c:pt idx="22">
                  <c:v>65.120000000000019</c:v>
                </c:pt>
                <c:pt idx="23">
                  <c:v>68.080000000000013</c:v>
                </c:pt>
                <c:pt idx="24">
                  <c:v>71.04000000000002</c:v>
                </c:pt>
                <c:pt idx="25">
                  <c:v>74.000000000000014</c:v>
                </c:pt>
                <c:pt idx="26">
                  <c:v>76.960000000000022</c:v>
                </c:pt>
                <c:pt idx="27">
                  <c:v>79.920000000000016</c:v>
                </c:pt>
                <c:pt idx="28">
                  <c:v>82.880000000000024</c:v>
                </c:pt>
                <c:pt idx="29">
                  <c:v>85.840000000000032</c:v>
                </c:pt>
                <c:pt idx="30">
                  <c:v>88.800000000000026</c:v>
                </c:pt>
                <c:pt idx="31">
                  <c:v>91.760000000000034</c:v>
                </c:pt>
                <c:pt idx="32">
                  <c:v>94.720000000000041</c:v>
                </c:pt>
                <c:pt idx="33">
                  <c:v>97.680000000000035</c:v>
                </c:pt>
                <c:pt idx="34">
                  <c:v>100.64000000000004</c:v>
                </c:pt>
                <c:pt idx="35">
                  <c:v>103.60000000000004</c:v>
                </c:pt>
                <c:pt idx="36">
                  <c:v>106.56000000000004</c:v>
                </c:pt>
                <c:pt idx="37">
                  <c:v>109.52000000000005</c:v>
                </c:pt>
                <c:pt idx="38">
                  <c:v>112.48000000000005</c:v>
                </c:pt>
                <c:pt idx="39">
                  <c:v>115.44000000000005</c:v>
                </c:pt>
                <c:pt idx="40">
                  <c:v>118.40000000000006</c:v>
                </c:pt>
                <c:pt idx="41">
                  <c:v>121.36000000000006</c:v>
                </c:pt>
                <c:pt idx="42">
                  <c:v>124.32000000000006</c:v>
                </c:pt>
                <c:pt idx="43">
                  <c:v>127.28000000000006</c:v>
                </c:pt>
                <c:pt idx="44">
                  <c:v>130.24000000000007</c:v>
                </c:pt>
                <c:pt idx="45">
                  <c:v>133.20000000000007</c:v>
                </c:pt>
                <c:pt idx="46">
                  <c:v>136.16000000000008</c:v>
                </c:pt>
                <c:pt idx="47">
                  <c:v>139.12000000000006</c:v>
                </c:pt>
                <c:pt idx="48">
                  <c:v>142.08000000000007</c:v>
                </c:pt>
                <c:pt idx="49">
                  <c:v>145.04000000000008</c:v>
                </c:pt>
                <c:pt idx="50">
                  <c:v>148.00000000000006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0.125</c:v>
                </c:pt>
                <c:pt idx="26">
                  <c:v>0</c:v>
                </c:pt>
                <c:pt idx="27">
                  <c:v>0.22500000000000001</c:v>
                </c:pt>
                <c:pt idx="28">
                  <c:v>0</c:v>
                </c:pt>
                <c:pt idx="29">
                  <c:v>0</c:v>
                </c:pt>
                <c:pt idx="30">
                  <c:v>0</c:v>
                </c:pt>
                <c:pt idx="31">
                  <c:v>0</c:v>
                </c:pt>
                <c:pt idx="32">
                  <c:v>0.125</c:v>
                </c:pt>
                <c:pt idx="33">
                  <c:v>0.125</c:v>
                </c:pt>
                <c:pt idx="34">
                  <c:v>0</c:v>
                </c:pt>
                <c:pt idx="35">
                  <c:v>0.125</c:v>
                </c:pt>
                <c:pt idx="36">
                  <c:v>0.22500000000000001</c:v>
                </c:pt>
                <c:pt idx="37">
                  <c:v>0</c:v>
                </c:pt>
                <c:pt idx="38">
                  <c:v>0</c:v>
                </c:pt>
                <c:pt idx="39">
                  <c:v>0</c:v>
                </c:pt>
                <c:pt idx="40">
                  <c:v>0</c:v>
                </c:pt>
                <c:pt idx="41">
                  <c:v>0</c:v>
                </c:pt>
                <c:pt idx="42">
                  <c:v>0</c:v>
                </c:pt>
                <c:pt idx="43">
                  <c:v>0.125</c:v>
                </c:pt>
                <c:pt idx="44">
                  <c:v>0</c:v>
                </c:pt>
                <c:pt idx="45">
                  <c:v>0</c:v>
                </c:pt>
                <c:pt idx="46">
                  <c:v>0</c:v>
                </c:pt>
                <c:pt idx="47">
                  <c:v>0.125</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2.96</c:v>
                </c:pt>
                <c:pt idx="2">
                  <c:v>5.92</c:v>
                </c:pt>
                <c:pt idx="3">
                  <c:v>8.879999999999999</c:v>
                </c:pt>
                <c:pt idx="4">
                  <c:v>11.84</c:v>
                </c:pt>
                <c:pt idx="5">
                  <c:v>14.8</c:v>
                </c:pt>
                <c:pt idx="6">
                  <c:v>17.760000000000002</c:v>
                </c:pt>
                <c:pt idx="7">
                  <c:v>20.720000000000002</c:v>
                </c:pt>
                <c:pt idx="8">
                  <c:v>23.68</c:v>
                </c:pt>
                <c:pt idx="9">
                  <c:v>26.64</c:v>
                </c:pt>
                <c:pt idx="10">
                  <c:v>29.599999999999998</c:v>
                </c:pt>
                <c:pt idx="11">
                  <c:v>32.559999999999995</c:v>
                </c:pt>
                <c:pt idx="12">
                  <c:v>35.519999999999996</c:v>
                </c:pt>
                <c:pt idx="13">
                  <c:v>38.47999999999999</c:v>
                </c:pt>
                <c:pt idx="14">
                  <c:v>41.44</c:v>
                </c:pt>
                <c:pt idx="15">
                  <c:v>44.4</c:v>
                </c:pt>
                <c:pt idx="16">
                  <c:v>47.36</c:v>
                </c:pt>
                <c:pt idx="17">
                  <c:v>50.32</c:v>
                </c:pt>
                <c:pt idx="18">
                  <c:v>53.280000000000008</c:v>
                </c:pt>
                <c:pt idx="19">
                  <c:v>56.240000000000009</c:v>
                </c:pt>
                <c:pt idx="20">
                  <c:v>59.20000000000001</c:v>
                </c:pt>
                <c:pt idx="21">
                  <c:v>62.160000000000011</c:v>
                </c:pt>
                <c:pt idx="22">
                  <c:v>65.120000000000019</c:v>
                </c:pt>
                <c:pt idx="23">
                  <c:v>68.080000000000013</c:v>
                </c:pt>
                <c:pt idx="24">
                  <c:v>71.04000000000002</c:v>
                </c:pt>
                <c:pt idx="25">
                  <c:v>74.000000000000014</c:v>
                </c:pt>
                <c:pt idx="26">
                  <c:v>76.960000000000022</c:v>
                </c:pt>
                <c:pt idx="27">
                  <c:v>79.920000000000016</c:v>
                </c:pt>
                <c:pt idx="28">
                  <c:v>82.880000000000024</c:v>
                </c:pt>
                <c:pt idx="29">
                  <c:v>85.840000000000032</c:v>
                </c:pt>
                <c:pt idx="30">
                  <c:v>88.800000000000026</c:v>
                </c:pt>
                <c:pt idx="31">
                  <c:v>91.760000000000034</c:v>
                </c:pt>
                <c:pt idx="32">
                  <c:v>94.720000000000041</c:v>
                </c:pt>
                <c:pt idx="33">
                  <c:v>97.680000000000035</c:v>
                </c:pt>
                <c:pt idx="34">
                  <c:v>100.64000000000004</c:v>
                </c:pt>
                <c:pt idx="35">
                  <c:v>103.60000000000004</c:v>
                </c:pt>
                <c:pt idx="36">
                  <c:v>106.56000000000004</c:v>
                </c:pt>
                <c:pt idx="37">
                  <c:v>109.52000000000005</c:v>
                </c:pt>
                <c:pt idx="38">
                  <c:v>112.48000000000005</c:v>
                </c:pt>
                <c:pt idx="39">
                  <c:v>115.44000000000005</c:v>
                </c:pt>
                <c:pt idx="40">
                  <c:v>118.40000000000006</c:v>
                </c:pt>
                <c:pt idx="41">
                  <c:v>121.36000000000006</c:v>
                </c:pt>
                <c:pt idx="42">
                  <c:v>124.32000000000006</c:v>
                </c:pt>
                <c:pt idx="43">
                  <c:v>127.28000000000006</c:v>
                </c:pt>
                <c:pt idx="44">
                  <c:v>130.24000000000007</c:v>
                </c:pt>
                <c:pt idx="45">
                  <c:v>133.20000000000007</c:v>
                </c:pt>
                <c:pt idx="46">
                  <c:v>136.16000000000008</c:v>
                </c:pt>
                <c:pt idx="47">
                  <c:v>139.12000000000006</c:v>
                </c:pt>
                <c:pt idx="48">
                  <c:v>142.08000000000007</c:v>
                </c:pt>
                <c:pt idx="49">
                  <c:v>145.04000000000008</c:v>
                </c:pt>
                <c:pt idx="50">
                  <c:v>148.00000000000006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5.4786834353574318E-305</c:v>
                </c:pt>
                <c:pt idx="1">
                  <c:v>1.2767468261625788E-49</c:v>
                </c:pt>
                <c:pt idx="2">
                  <c:v>1.3821225069664375E-33</c:v>
                </c:pt>
                <c:pt idx="3">
                  <c:v>1.0566480741974966E-25</c:v>
                </c:pt>
                <c:pt idx="4">
                  <c:v>8.8019848269735836E-21</c:v>
                </c:pt>
                <c:pt idx="5">
                  <c:v>2.3774702434927631E-17</c:v>
                </c:pt>
                <c:pt idx="6">
                  <c:v>8.507758936282737E-15</c:v>
                </c:pt>
                <c:pt idx="7">
                  <c:v>8.1918070875104344E-13</c:v>
                </c:pt>
                <c:pt idx="8">
                  <c:v>3.1735458590840513E-11</c:v>
                </c:pt>
                <c:pt idx="9">
                  <c:v>6.3408110757024642E-10</c:v>
                </c:pt>
                <c:pt idx="10">
                  <c:v>7.6898964976292257E-9</c:v>
                </c:pt>
                <c:pt idx="11">
                  <c:v>6.3315104943436283E-8</c:v>
                </c:pt>
                <c:pt idx="12">
                  <c:v>3.8336332594910137E-7</c:v>
                </c:pt>
                <c:pt idx="13">
                  <c:v>1.8103221151019372E-6</c:v>
                </c:pt>
                <c:pt idx="14">
                  <c:v>6.9693875337734174E-6</c:v>
                </c:pt>
                <c:pt idx="15">
                  <c:v>2.2633773510351347E-5</c:v>
                </c:pt>
                <c:pt idx="16">
                  <c:v>6.3690685860512476E-5</c:v>
                </c:pt>
                <c:pt idx="17">
                  <c:v>1.5864293067282219E-4</c:v>
                </c:pt>
                <c:pt idx="18">
                  <c:v>3.5585979501430247E-4</c:v>
                </c:pt>
                <c:pt idx="19">
                  <c:v>7.2907516511586221E-4</c:v>
                </c:pt>
                <c:pt idx="20">
                  <c:v>1.3802568615583451E-3</c:v>
                </c:pt>
                <c:pt idx="21">
                  <c:v>2.4381634250686172E-3</c:v>
                </c:pt>
                <c:pt idx="22">
                  <c:v>4.0516633688205909E-3</c:v>
                </c:pt>
                <c:pt idx="23">
                  <c:v>6.3780001909907909E-3</c:v>
                </c:pt>
                <c:pt idx="24">
                  <c:v>9.5673133988846467E-3</c:v>
                </c:pt>
                <c:pt idx="25">
                  <c:v>1.3745560009925729E-2</c:v>
                </c:pt>
                <c:pt idx="26">
                  <c:v>1.8998330570857577E-2</c:v>
                </c:pt>
                <c:pt idx="27">
                  <c:v>2.5357883372911214E-2</c:v>
                </c:pt>
                <c:pt idx="28">
                  <c:v>3.279512988460808E-2</c:v>
                </c:pt>
                <c:pt idx="29">
                  <c:v>4.1217472176032062E-2</c:v>
                </c:pt>
                <c:pt idx="30">
                  <c:v>5.0472514628861147E-2</c:v>
                </c:pt>
                <c:pt idx="31">
                  <c:v>6.0356910646246237E-2</c:v>
                </c:pt>
                <c:pt idx="32">
                  <c:v>7.0629064635761268E-2</c:v>
                </c:pt>
                <c:pt idx="33">
                  <c:v>8.1024130408973466E-2</c:v>
                </c:pt>
                <c:pt idx="34">
                  <c:v>9.1269715588093089E-2</c:v>
                </c:pt>
                <c:pt idx="35">
                  <c:v>0.10110086784814069</c:v>
                </c:pt>
                <c:pt idx="36">
                  <c:v>0.1102732160312741</c:v>
                </c:pt>
                <c:pt idx="37">
                  <c:v>0.11857349939767285</c:v>
                </c:pt>
                <c:pt idx="38">
                  <c:v>0.12582708329124578</c:v>
                </c:pt>
                <c:pt idx="39">
                  <c:v>0.13190238641033605</c:v>
                </c:pt>
                <c:pt idx="40">
                  <c:v>0.13671240746209923</c:v>
                </c:pt>
                <c:pt idx="41">
                  <c:v>0.1402137260556697</c:v>
                </c:pt>
                <c:pt idx="42">
                  <c:v>0.14240346485177827</c:v>
                </c:pt>
                <c:pt idx="43">
                  <c:v>0.14331474585166404</c:v>
                </c:pt>
                <c:pt idx="44">
                  <c:v>0.14301116636571173</c:v>
                </c:pt>
                <c:pt idx="45">
                  <c:v>0.14158077431286348</c:v>
                </c:pt>
                <c:pt idx="46">
                  <c:v>0.13912995219536142</c:v>
                </c:pt>
                <c:pt idx="47">
                  <c:v>0.13577753664924688</c:v>
                </c:pt>
                <c:pt idx="48">
                  <c:v>0.13164941566038071</c:v>
                </c:pt>
                <c:pt idx="49">
                  <c:v>0.12687376546293355</c:v>
                </c:pt>
                <c:pt idx="50">
                  <c:v>0.12157701841731292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10-Year Rolling Growth Rate per Freight Type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Segments!$O$10</c:f>
              <c:strCache>
                <c:ptCount val="1"/>
                <c:pt idx="0">
                  <c:v>Revenue Ton-Miles</c:v>
                </c:pt>
              </c:strCache>
            </c:strRef>
          </c:tx>
          <c:spPr>
            <a:solidFill>
              <a:srgbClr val="575A5D"/>
            </a:solidFill>
            <a:ln>
              <a:noFill/>
            </a:ln>
            <a:effectLst/>
          </c:spPr>
          <c:invertIfNegative val="0"/>
          <c:cat>
            <c:strRef>
              <c:f>Segments!$A$11:$A$16</c:f>
              <c:strCache>
                <c:ptCount val="6"/>
                <c:pt idx="0">
                  <c:v>Agricultural</c:v>
                </c:pt>
                <c:pt idx="1">
                  <c:v>Automotive</c:v>
                </c:pt>
                <c:pt idx="2">
                  <c:v>Chemicals</c:v>
                </c:pt>
                <c:pt idx="3">
                  <c:v>Coal</c:v>
                </c:pt>
                <c:pt idx="4">
                  <c:v>Industrial</c:v>
                </c:pt>
                <c:pt idx="5">
                  <c:v>Intermodal</c:v>
                </c:pt>
              </c:strCache>
            </c:strRef>
          </c:cat>
          <c:val>
            <c:numRef>
              <c:f>Segments!$O$11:$O$16</c:f>
              <c:numCache>
                <c:formatCode>0.0%</c:formatCode>
                <c:ptCount val="6"/>
                <c:pt idx="0">
                  <c:v>1.0832362681151508E-2</c:v>
                </c:pt>
                <c:pt idx="1">
                  <c:v>5.3362287560496657E-3</c:v>
                </c:pt>
                <c:pt idx="2">
                  <c:v>1.5773602412433307E-2</c:v>
                </c:pt>
                <c:pt idx="3">
                  <c:v>-5.9042024158331596E-2</c:v>
                </c:pt>
                <c:pt idx="4">
                  <c:v>1.2822818782441292E-2</c:v>
                </c:pt>
                <c:pt idx="5">
                  <c:v>-4.442800858361462E-3</c:v>
                </c:pt>
              </c:numCache>
            </c:numRef>
          </c:val>
          <c:extLst>
            <c:ext xmlns:c16="http://schemas.microsoft.com/office/drawing/2014/chart" uri="{C3380CC4-5D6E-409C-BE32-E72D297353CC}">
              <c16:uniqueId val="{00000000-7D3D-430A-A9D7-FA34CFA5E0AD}"/>
            </c:ext>
          </c:extLst>
        </c:ser>
        <c:ser>
          <c:idx val="1"/>
          <c:order val="1"/>
          <c:tx>
            <c:strRef>
              <c:f>Segments!$P$10</c:f>
              <c:strCache>
                <c:ptCount val="1"/>
                <c:pt idx="0">
                  <c:v>Revenue / Ton-Miles</c:v>
                </c:pt>
              </c:strCache>
            </c:strRef>
          </c:tx>
          <c:spPr>
            <a:solidFill>
              <a:srgbClr val="0046AD"/>
            </a:solidFill>
            <a:ln>
              <a:noFill/>
            </a:ln>
            <a:effectLst/>
          </c:spPr>
          <c:invertIfNegative val="0"/>
          <c:cat>
            <c:strRef>
              <c:f>Segments!$A$11:$A$16</c:f>
              <c:strCache>
                <c:ptCount val="6"/>
                <c:pt idx="0">
                  <c:v>Agricultural</c:v>
                </c:pt>
                <c:pt idx="1">
                  <c:v>Automotive</c:v>
                </c:pt>
                <c:pt idx="2">
                  <c:v>Chemicals</c:v>
                </c:pt>
                <c:pt idx="3">
                  <c:v>Coal</c:v>
                </c:pt>
                <c:pt idx="4">
                  <c:v>Industrial</c:v>
                </c:pt>
                <c:pt idx="5">
                  <c:v>Intermodal</c:v>
                </c:pt>
              </c:strCache>
            </c:strRef>
          </c:cat>
          <c:val>
            <c:numRef>
              <c:f>Segments!$P$11:$P$16</c:f>
              <c:numCache>
                <c:formatCode>0.0%</c:formatCode>
                <c:ptCount val="6"/>
                <c:pt idx="0">
                  <c:v>2.7091522984500349E-2</c:v>
                </c:pt>
                <c:pt idx="1">
                  <c:v>2.5058227936523458E-2</c:v>
                </c:pt>
                <c:pt idx="2">
                  <c:v>3.2838998782229067E-2</c:v>
                </c:pt>
                <c:pt idx="3">
                  <c:v>5.7759154754330355E-2</c:v>
                </c:pt>
                <c:pt idx="4">
                  <c:v>1.8559632042823626E-2</c:v>
                </c:pt>
                <c:pt idx="5">
                  <c:v>3.3255188954029125E-2</c:v>
                </c:pt>
              </c:numCache>
            </c:numRef>
          </c:val>
          <c:extLst>
            <c:ext xmlns:c16="http://schemas.microsoft.com/office/drawing/2014/chart" uri="{C3380CC4-5D6E-409C-BE32-E72D297353CC}">
              <c16:uniqueId val="{00000001-7D3D-430A-A9D7-FA34CFA5E0AD}"/>
            </c:ext>
          </c:extLst>
        </c:ser>
        <c:dLbls>
          <c:showLegendKey val="0"/>
          <c:showVal val="0"/>
          <c:showCatName val="0"/>
          <c:showSerName val="0"/>
          <c:showPercent val="0"/>
          <c:showBubbleSize val="0"/>
        </c:dLbls>
        <c:gapWidth val="219"/>
        <c:overlap val="-27"/>
        <c:axId val="414288048"/>
        <c:axId val="414289688"/>
      </c:barChart>
      <c:lineChart>
        <c:grouping val="standard"/>
        <c:varyColors val="0"/>
        <c:ser>
          <c:idx val="2"/>
          <c:order val="2"/>
          <c:tx>
            <c:strRef>
              <c:f>Segments!$Q$10</c:f>
              <c:strCache>
                <c:ptCount val="1"/>
                <c:pt idx="0">
                  <c:v>Revenues Adjusted for Fuel Surcharge</c:v>
                </c:pt>
              </c:strCache>
            </c:strRef>
          </c:tx>
          <c:spPr>
            <a:ln w="19050" cap="rnd">
              <a:solidFill>
                <a:schemeClr val="tx1"/>
              </a:solidFill>
              <a:round/>
            </a:ln>
            <a:effectLst/>
          </c:spPr>
          <c:marker>
            <c:symbol val="none"/>
          </c:marker>
          <c:cat>
            <c:strRef>
              <c:f>Segments!$A$11:$A$16</c:f>
              <c:strCache>
                <c:ptCount val="6"/>
                <c:pt idx="0">
                  <c:v>Agricultural</c:v>
                </c:pt>
                <c:pt idx="1">
                  <c:v>Automotive</c:v>
                </c:pt>
                <c:pt idx="2">
                  <c:v>Chemicals</c:v>
                </c:pt>
                <c:pt idx="3">
                  <c:v>Coal</c:v>
                </c:pt>
                <c:pt idx="4">
                  <c:v>Industrial</c:v>
                </c:pt>
                <c:pt idx="5">
                  <c:v>Intermodal</c:v>
                </c:pt>
              </c:strCache>
            </c:strRef>
          </c:cat>
          <c:val>
            <c:numRef>
              <c:f>Segments!$Q$11:$Q$16</c:f>
              <c:numCache>
                <c:formatCode>0.0%</c:formatCode>
                <c:ptCount val="6"/>
                <c:pt idx="0">
                  <c:v>3.7575120619194768E-2</c:v>
                </c:pt>
                <c:pt idx="1">
                  <c:v>3.4118132139782986E-2</c:v>
                </c:pt>
                <c:pt idx="2">
                  <c:v>4.8247583259995119E-2</c:v>
                </c:pt>
                <c:pt idx="3">
                  <c:v>-3.4594378158767647E-3</c:v>
                </c:pt>
                <c:pt idx="4">
                  <c:v>3.3346756780357811E-2</c:v>
                </c:pt>
                <c:pt idx="5">
                  <c:v>2.92703516910644E-2</c:v>
                </c:pt>
              </c:numCache>
            </c:numRef>
          </c:val>
          <c:smooth val="0"/>
          <c:extLst>
            <c:ext xmlns:c16="http://schemas.microsoft.com/office/drawing/2014/chart" uri="{C3380CC4-5D6E-409C-BE32-E72D297353CC}">
              <c16:uniqueId val="{00000002-7D3D-430A-A9D7-FA34CFA5E0AD}"/>
            </c:ext>
          </c:extLst>
        </c:ser>
        <c:dLbls>
          <c:showLegendKey val="0"/>
          <c:showVal val="0"/>
          <c:showCatName val="0"/>
          <c:showSerName val="0"/>
          <c:showPercent val="0"/>
          <c:showBubbleSize val="0"/>
        </c:dLbls>
        <c:marker val="1"/>
        <c:smooth val="0"/>
        <c:axId val="414288048"/>
        <c:axId val="414289688"/>
      </c:lineChart>
      <c:catAx>
        <c:axId val="4142880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14289688"/>
        <c:crosses val="autoZero"/>
        <c:auto val="1"/>
        <c:lblAlgn val="ctr"/>
        <c:lblOffset val="100"/>
        <c:noMultiLvlLbl val="0"/>
      </c:catAx>
      <c:valAx>
        <c:axId val="414289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14288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2017 Revenues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pieChart>
        <c:varyColors val="1"/>
        <c:ser>
          <c:idx val="0"/>
          <c:order val="0"/>
          <c:tx>
            <c:strRef>
              <c:f>Segments!$B$104</c:f>
              <c:strCache>
                <c:ptCount val="1"/>
                <c:pt idx="0">
                  <c:v>9m 2017 Revenues</c:v>
                </c:pt>
              </c:strCache>
            </c:strRef>
          </c:tx>
          <c:dPt>
            <c:idx val="0"/>
            <c:bubble3D val="0"/>
            <c:spPr>
              <a:solidFill>
                <a:srgbClr val="0046AD"/>
              </a:solidFill>
              <a:ln w="19050">
                <a:solidFill>
                  <a:schemeClr val="lt1"/>
                </a:solidFill>
              </a:ln>
              <a:effectLst/>
            </c:spPr>
            <c:extLst>
              <c:ext xmlns:c16="http://schemas.microsoft.com/office/drawing/2014/chart" uri="{C3380CC4-5D6E-409C-BE32-E72D297353CC}">
                <c16:uniqueId val="{00000001-1A9A-42C2-9B7D-59B44B58F448}"/>
              </c:ext>
            </c:extLst>
          </c:dPt>
          <c:dPt>
            <c:idx val="1"/>
            <c:bubble3D val="0"/>
            <c:spPr>
              <a:solidFill>
                <a:srgbClr val="575A5D"/>
              </a:solidFill>
              <a:ln w="19050">
                <a:solidFill>
                  <a:schemeClr val="lt1"/>
                </a:solidFill>
              </a:ln>
              <a:effectLst/>
            </c:spPr>
            <c:extLst>
              <c:ext xmlns:c16="http://schemas.microsoft.com/office/drawing/2014/chart" uri="{C3380CC4-5D6E-409C-BE32-E72D297353CC}">
                <c16:uniqueId val="{00000003-1A9A-42C2-9B7D-59B44B58F448}"/>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1A9A-42C2-9B7D-59B44B58F448}"/>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1A9A-42C2-9B7D-59B44B58F448}"/>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1A9A-42C2-9B7D-59B44B58F448}"/>
              </c:ext>
            </c:extLst>
          </c:dPt>
          <c:dPt>
            <c:idx val="5"/>
            <c:bubble3D val="0"/>
            <c:spPr>
              <a:solidFill>
                <a:srgbClr val="92D050"/>
              </a:solidFill>
              <a:ln w="19050">
                <a:solidFill>
                  <a:schemeClr val="lt1"/>
                </a:solidFill>
              </a:ln>
              <a:effectLst/>
            </c:spPr>
            <c:extLst>
              <c:ext xmlns:c16="http://schemas.microsoft.com/office/drawing/2014/chart" uri="{C3380CC4-5D6E-409C-BE32-E72D297353CC}">
                <c16:uniqueId val="{0000000B-1A9A-42C2-9B7D-59B44B58F448}"/>
              </c:ext>
            </c:extLst>
          </c:dPt>
          <c:dPt>
            <c:idx val="6"/>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D-1A9A-42C2-9B7D-59B44B58F448}"/>
              </c:ext>
            </c:extLst>
          </c:dPt>
          <c:dPt>
            <c:idx val="7"/>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F-1A9A-42C2-9B7D-59B44B58F448}"/>
              </c:ext>
            </c:extLst>
          </c:dPt>
          <c:dLbls>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1A9A-42C2-9B7D-59B44B58F448}"/>
                </c:ext>
              </c:extLst>
            </c:dLbl>
            <c:dLbl>
              <c:idx val="1"/>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1A9A-42C2-9B7D-59B44B58F448}"/>
                </c:ext>
              </c:extLst>
            </c:dLbl>
            <c:dLbl>
              <c:idx val="2"/>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1A9A-42C2-9B7D-59B44B58F448}"/>
                </c:ext>
              </c:extLst>
            </c:dLbl>
            <c:dLbl>
              <c:idx val="3"/>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7-1A9A-42C2-9B7D-59B44B58F448}"/>
                </c:ext>
              </c:extLst>
            </c:dLbl>
            <c:dLbl>
              <c:idx val="6"/>
              <c:layout>
                <c:manualLayout>
                  <c:x val="-0.13497276595698959"/>
                  <c:y val="6.77029953100666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9A-42C2-9B7D-59B44B58F448}"/>
                </c:ext>
              </c:extLst>
            </c:dLbl>
            <c:dLbl>
              <c:idx val="7"/>
              <c:layout>
                <c:manualLayout>
                  <c:x val="-0.14408149100408982"/>
                  <c:y val="7.2251987370094218E-3"/>
                </c:manualLayout>
              </c:layout>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A9A-42C2-9B7D-59B44B58F448}"/>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Segments!$A$105:$A$112</c:f>
              <c:strCache>
                <c:ptCount val="8"/>
                <c:pt idx="0">
                  <c:v>Industrial</c:v>
                </c:pt>
                <c:pt idx="1">
                  <c:v>Intermodal</c:v>
                </c:pt>
                <c:pt idx="2">
                  <c:v>Agricultural</c:v>
                </c:pt>
                <c:pt idx="3">
                  <c:v>Chemicals</c:v>
                </c:pt>
                <c:pt idx="4">
                  <c:v>Coal</c:v>
                </c:pt>
                <c:pt idx="5">
                  <c:v>Automotive</c:v>
                </c:pt>
                <c:pt idx="6">
                  <c:v>Other Revenues</c:v>
                </c:pt>
                <c:pt idx="7">
                  <c:v>Fuel Surcharge</c:v>
                </c:pt>
              </c:strCache>
            </c:strRef>
          </c:cat>
          <c:val>
            <c:numRef>
              <c:f>Segments!$B$105:$B$112</c:f>
              <c:numCache>
                <c:formatCode>_(* #,##0_);_(* \(#,##0\);_(* "-"??_);_(@_)</c:formatCode>
                <c:ptCount val="8"/>
                <c:pt idx="0">
                  <c:v>3903.8028715228156</c:v>
                </c:pt>
                <c:pt idx="1">
                  <c:v>3674.9641627439091</c:v>
                </c:pt>
                <c:pt idx="2">
                  <c:v>3498.9348732968947</c:v>
                </c:pt>
                <c:pt idx="3">
                  <c:v>3458.466582819286</c:v>
                </c:pt>
                <c:pt idx="4">
                  <c:v>2374.6832625915695</c:v>
                </c:pt>
                <c:pt idx="5">
                  <c:v>1960.1482470255248</c:v>
                </c:pt>
                <c:pt idx="6">
                  <c:v>1403</c:v>
                </c:pt>
                <c:pt idx="7">
                  <c:v>966</c:v>
                </c:pt>
              </c:numCache>
            </c:numRef>
          </c:val>
          <c:extLst>
            <c:ext xmlns:c16="http://schemas.microsoft.com/office/drawing/2014/chart" uri="{C3380CC4-5D6E-409C-BE32-E72D297353CC}">
              <c16:uniqueId val="{00000010-1A9A-42C2-9B7D-59B44B58F44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v>Revenue Ton-Miles of Coal</c:v>
          </c:tx>
          <c:spPr>
            <a:ln w="22225" cap="rnd">
              <a:solidFill>
                <a:srgbClr val="0046AD"/>
              </a:solidFill>
              <a:round/>
            </a:ln>
            <a:effectLst/>
          </c:spPr>
          <c:marker>
            <c:symbol val="none"/>
          </c:marker>
          <c:cat>
            <c:numRef>
              <c:f>Segments!$B$1:$K$1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Segments!$B$14:$K$14</c:f>
              <c:numCache>
                <c:formatCode>_(* #,##0_);_(* \(#,##0\);_(* "-"??_);_(@_)</c:formatCode>
                <c:ptCount val="10"/>
                <c:pt idx="0">
                  <c:v>251408</c:v>
                </c:pt>
                <c:pt idx="1">
                  <c:v>258362</c:v>
                </c:pt>
                <c:pt idx="2">
                  <c:v>218227</c:v>
                </c:pt>
                <c:pt idx="3">
                  <c:v>225583</c:v>
                </c:pt>
                <c:pt idx="4">
                  <c:v>238567</c:v>
                </c:pt>
                <c:pt idx="5">
                  <c:v>207466</c:v>
                </c:pt>
                <c:pt idx="6">
                  <c:v>186902</c:v>
                </c:pt>
                <c:pt idx="7">
                  <c:v>191359</c:v>
                </c:pt>
                <c:pt idx="8">
                  <c:v>151110</c:v>
                </c:pt>
                <c:pt idx="9">
                  <c:v>117101</c:v>
                </c:pt>
              </c:numCache>
            </c:numRef>
          </c:val>
          <c:smooth val="0"/>
          <c:extLst>
            <c:ext xmlns:c16="http://schemas.microsoft.com/office/drawing/2014/chart" uri="{C3380CC4-5D6E-409C-BE32-E72D297353CC}">
              <c16:uniqueId val="{00000000-8CC1-4FFC-B2ED-15D83E11DE21}"/>
            </c:ext>
          </c:extLst>
        </c:ser>
        <c:dLbls>
          <c:showLegendKey val="0"/>
          <c:showVal val="0"/>
          <c:showCatName val="0"/>
          <c:showSerName val="0"/>
          <c:showPercent val="0"/>
          <c:showBubbleSize val="0"/>
        </c:dLbls>
        <c:smooth val="0"/>
        <c:axId val="622316192"/>
        <c:axId val="622310944"/>
      </c:lineChart>
      <c:catAx>
        <c:axId val="62231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22310944"/>
        <c:crosses val="autoZero"/>
        <c:auto val="1"/>
        <c:lblAlgn val="ctr"/>
        <c:lblOffset val="100"/>
        <c:noMultiLvlLbl val="0"/>
      </c:catAx>
      <c:valAx>
        <c:axId val="6223109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22316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Pricing's Effect on Union Pacific's Top Line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1"/>
          <c:order val="1"/>
          <c:tx>
            <c:strRef>
              <c:f>Segments!$A$98</c:f>
              <c:strCache>
                <c:ptCount val="1"/>
                <c:pt idx="0">
                  <c:v>Intermodal Contribution</c:v>
                </c:pt>
              </c:strCache>
            </c:strRef>
          </c:tx>
          <c:spPr>
            <a:solidFill>
              <a:srgbClr val="0049AA"/>
            </a:solidFill>
            <a:ln>
              <a:noFill/>
            </a:ln>
            <a:effectLst/>
          </c:spPr>
          <c:invertIfNegative val="0"/>
          <c:cat>
            <c:numRef>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Segments!$C$98:$L$98</c:f>
              <c:numCache>
                <c:formatCode>0.0%</c:formatCode>
                <c:ptCount val="10"/>
                <c:pt idx="0">
                  <c:v>1.1428819240642683E-2</c:v>
                </c:pt>
                <c:pt idx="1">
                  <c:v>-6.9324914771775412E-3</c:v>
                </c:pt>
                <c:pt idx="2">
                  <c:v>2.210759946479892E-2</c:v>
                </c:pt>
                <c:pt idx="3">
                  <c:v>2.0227429521085489E-2</c:v>
                </c:pt>
                <c:pt idx="4">
                  <c:v>1.6939045202707701E-2</c:v>
                </c:pt>
                <c:pt idx="5">
                  <c:v>3.1940417187511414E-3</c:v>
                </c:pt>
                <c:pt idx="6">
                  <c:v>1.0214751060562426E-2</c:v>
                </c:pt>
                <c:pt idx="7">
                  <c:v>1.097210060536714E-3</c:v>
                </c:pt>
                <c:pt idx="8">
                  <c:v>-8.1614076273667444E-3</c:v>
                </c:pt>
                <c:pt idx="9">
                  <c:v>2.8028923616154281E-3</c:v>
                </c:pt>
              </c:numCache>
            </c:numRef>
          </c:val>
          <c:extLst>
            <c:ext xmlns:c16="http://schemas.microsoft.com/office/drawing/2014/chart" uri="{C3380CC4-5D6E-409C-BE32-E72D297353CC}">
              <c16:uniqueId val="{00000000-5402-4E4E-B481-2EFA9DCB4B92}"/>
            </c:ext>
          </c:extLst>
        </c:ser>
        <c:ser>
          <c:idx val="2"/>
          <c:order val="2"/>
          <c:tx>
            <c:strRef>
              <c:f>Segments!$A$99</c:f>
              <c:strCache>
                <c:ptCount val="1"/>
                <c:pt idx="0">
                  <c:v>Coal Contribution</c:v>
                </c:pt>
              </c:strCache>
            </c:strRef>
          </c:tx>
          <c:spPr>
            <a:solidFill>
              <a:srgbClr val="575A5D"/>
            </a:solidFill>
            <a:ln>
              <a:noFill/>
            </a:ln>
            <a:effectLst/>
          </c:spPr>
          <c:invertIfNegative val="0"/>
          <c:cat>
            <c:numRef>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Segments!$C$99:$L$99</c:f>
              <c:numCache>
                <c:formatCode>0.0%</c:formatCode>
                <c:ptCount val="10"/>
                <c:pt idx="0">
                  <c:v>1.4048562919831477E-2</c:v>
                </c:pt>
                <c:pt idx="1">
                  <c:v>4.2039707805286812E-2</c:v>
                </c:pt>
                <c:pt idx="2">
                  <c:v>1.0981642084722792E-3</c:v>
                </c:pt>
                <c:pt idx="3">
                  <c:v>-1.8039898908733527E-4</c:v>
                </c:pt>
                <c:pt idx="4">
                  <c:v>1.1542872588469979E-2</c:v>
                </c:pt>
                <c:pt idx="5">
                  <c:v>2.8673551884039649E-2</c:v>
                </c:pt>
                <c:pt idx="6">
                  <c:v>2.5244464518092294E-3</c:v>
                </c:pt>
                <c:pt idx="7">
                  <c:v>2.197155993429642E-2</c:v>
                </c:pt>
                <c:pt idx="8">
                  <c:v>6.5132009165709461E-3</c:v>
                </c:pt>
                <c:pt idx="9">
                  <c:v>-8.9718736743656571E-3</c:v>
                </c:pt>
              </c:numCache>
            </c:numRef>
          </c:val>
          <c:extLst>
            <c:ext xmlns:c16="http://schemas.microsoft.com/office/drawing/2014/chart" uri="{C3380CC4-5D6E-409C-BE32-E72D297353CC}">
              <c16:uniqueId val="{00000001-5402-4E4E-B481-2EFA9DCB4B92}"/>
            </c:ext>
          </c:extLst>
        </c:ser>
        <c:ser>
          <c:idx val="3"/>
          <c:order val="3"/>
          <c:tx>
            <c:strRef>
              <c:f>Segments!$A$100</c:f>
              <c:strCache>
                <c:ptCount val="1"/>
                <c:pt idx="0">
                  <c:v>Chemical Contribution</c:v>
                </c:pt>
              </c:strCache>
            </c:strRef>
          </c:tx>
          <c:spPr>
            <a:solidFill>
              <a:srgbClr val="00B050"/>
            </a:solidFill>
            <a:ln>
              <a:noFill/>
            </a:ln>
            <a:effectLst/>
          </c:spPr>
          <c:invertIfNegative val="0"/>
          <c:cat>
            <c:numRef>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Segments!$C$100:$L$100</c:f>
              <c:numCache>
                <c:formatCode>0.0%</c:formatCode>
                <c:ptCount val="10"/>
                <c:pt idx="0">
                  <c:v>1.4300127424787779E-2</c:v>
                </c:pt>
                <c:pt idx="1">
                  <c:v>4.0847743322335178E-3</c:v>
                </c:pt>
                <c:pt idx="2">
                  <c:v>-5.3270970217027247E-4</c:v>
                </c:pt>
                <c:pt idx="3">
                  <c:v>3.2869192174306305E-3</c:v>
                </c:pt>
                <c:pt idx="4">
                  <c:v>-2.462691745461969E-3</c:v>
                </c:pt>
                <c:pt idx="5">
                  <c:v>-1.1282242923280042E-3</c:v>
                </c:pt>
                <c:pt idx="6">
                  <c:v>4.6807996823236483E-3</c:v>
                </c:pt>
                <c:pt idx="7">
                  <c:v>1.2634669055890203E-2</c:v>
                </c:pt>
                <c:pt idx="8">
                  <c:v>1.4558104877412045E-2</c:v>
                </c:pt>
                <c:pt idx="9">
                  <c:v>5.3484917904796673E-3</c:v>
                </c:pt>
              </c:numCache>
            </c:numRef>
          </c:val>
          <c:extLst>
            <c:ext xmlns:c16="http://schemas.microsoft.com/office/drawing/2014/chart" uri="{C3380CC4-5D6E-409C-BE32-E72D297353CC}">
              <c16:uniqueId val="{00000002-5402-4E4E-B481-2EFA9DCB4B92}"/>
            </c:ext>
          </c:extLst>
        </c:ser>
        <c:dLbls>
          <c:showLegendKey val="0"/>
          <c:showVal val="0"/>
          <c:showCatName val="0"/>
          <c:showSerName val="0"/>
          <c:showPercent val="0"/>
          <c:showBubbleSize val="0"/>
        </c:dLbls>
        <c:gapWidth val="150"/>
        <c:axId val="529970696"/>
        <c:axId val="529971680"/>
      </c:barChart>
      <c:lineChart>
        <c:grouping val="standard"/>
        <c:varyColors val="0"/>
        <c:ser>
          <c:idx val="0"/>
          <c:order val="0"/>
          <c:tx>
            <c:strRef>
              <c:f>Segments!$A$97</c:f>
              <c:strCache>
                <c:ptCount val="1"/>
                <c:pt idx="0">
                  <c:v>Average Effect of Pricing on Revenue</c:v>
                </c:pt>
              </c:strCache>
            </c:strRef>
          </c:tx>
          <c:spPr>
            <a:ln w="19050" cap="rnd">
              <a:solidFill>
                <a:schemeClr val="tx1"/>
              </a:solidFill>
              <a:round/>
            </a:ln>
            <a:effectLst/>
          </c:spPr>
          <c:marker>
            <c:symbol val="none"/>
          </c:marker>
          <c:cat>
            <c:numRef>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Segments!$C$97:$L$97</c:f>
              <c:numCache>
                <c:formatCode>0.0%</c:formatCode>
                <c:ptCount val="10"/>
                <c:pt idx="0">
                  <c:v>8.5668871210817496E-2</c:v>
                </c:pt>
                <c:pt idx="1">
                  <c:v>2.3426607849947143E-2</c:v>
                </c:pt>
                <c:pt idx="2">
                  <c:v>3.8874315347924029E-2</c:v>
                </c:pt>
                <c:pt idx="3">
                  <c:v>5.359186975597055E-2</c:v>
                </c:pt>
                <c:pt idx="4">
                  <c:v>4.1643962609912294E-2</c:v>
                </c:pt>
                <c:pt idx="5">
                  <c:v>3.7157262065238915E-2</c:v>
                </c:pt>
                <c:pt idx="6">
                  <c:v>1.5739454344617779E-2</c:v>
                </c:pt>
                <c:pt idx="7">
                  <c:v>5.5845141732335554E-2</c:v>
                </c:pt>
                <c:pt idx="8">
                  <c:v>8.7243760675326694E-3</c:v>
                </c:pt>
                <c:pt idx="9">
                  <c:v>-2.1585671515217406E-3</c:v>
                </c:pt>
              </c:numCache>
            </c:numRef>
          </c:val>
          <c:smooth val="0"/>
          <c:extLst>
            <c:ext xmlns:c16="http://schemas.microsoft.com/office/drawing/2014/chart" uri="{C3380CC4-5D6E-409C-BE32-E72D297353CC}">
              <c16:uniqueId val="{00000003-5402-4E4E-B481-2EFA9DCB4B92}"/>
            </c:ext>
          </c:extLst>
        </c:ser>
        <c:ser>
          <c:idx val="4"/>
          <c:order val="4"/>
          <c:tx>
            <c:strRef>
              <c:f>Segments!$A$101</c:f>
              <c:strCache>
                <c:ptCount val="1"/>
                <c:pt idx="0">
                  <c:v>3Y RGR Revenue Ton Miles</c:v>
                </c:pt>
              </c:strCache>
            </c:strRef>
          </c:tx>
          <c:spPr>
            <a:ln w="19050" cap="rnd">
              <a:solidFill>
                <a:schemeClr val="tx1"/>
              </a:solidFill>
              <a:prstDash val="lgDash"/>
              <a:round/>
            </a:ln>
            <a:effectLst/>
          </c:spPr>
          <c:marker>
            <c:symbol val="none"/>
          </c:marker>
          <c:cat>
            <c:numRef>
              <c:f>Segments!$C$1:$L$1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Segments!$C$101:$L$101</c:f>
              <c:numCache>
                <c:formatCode>0.0%</c:formatCode>
                <c:ptCount val="10"/>
                <c:pt idx="2">
                  <c:v>-2.5843942371968187E-2</c:v>
                </c:pt>
                <c:pt idx="3">
                  <c:v>-1.1671859067134638E-2</c:v>
                </c:pt>
                <c:pt idx="4">
                  <c:v>2.7152465859448194E-2</c:v>
                </c:pt>
                <c:pt idx="5">
                  <c:v>-3.8640324659438008E-3</c:v>
                </c:pt>
                <c:pt idx="6">
                  <c:v>3.3118535492284717E-3</c:v>
                </c:pt>
                <c:pt idx="7">
                  <c:v>-2.2760710959917052E-2</c:v>
                </c:pt>
                <c:pt idx="8">
                  <c:v>-4.7860595918746807E-2</c:v>
                </c:pt>
                <c:pt idx="9">
                  <c:v>-5.6216321773145284E-2</c:v>
                </c:pt>
              </c:numCache>
            </c:numRef>
          </c:val>
          <c:smooth val="0"/>
          <c:extLst>
            <c:ext xmlns:c16="http://schemas.microsoft.com/office/drawing/2014/chart" uri="{C3380CC4-5D6E-409C-BE32-E72D297353CC}">
              <c16:uniqueId val="{00000004-5402-4E4E-B481-2EFA9DCB4B92}"/>
            </c:ext>
          </c:extLst>
        </c:ser>
        <c:dLbls>
          <c:showLegendKey val="0"/>
          <c:showVal val="0"/>
          <c:showCatName val="0"/>
          <c:showSerName val="0"/>
          <c:showPercent val="0"/>
          <c:showBubbleSize val="0"/>
        </c:dLbls>
        <c:marker val="1"/>
        <c:smooth val="0"/>
        <c:axId val="529970696"/>
        <c:axId val="529971680"/>
      </c:lineChart>
      <c:catAx>
        <c:axId val="52997069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29971680"/>
        <c:crosses val="autoZero"/>
        <c:auto val="1"/>
        <c:lblAlgn val="ctr"/>
        <c:lblOffset val="100"/>
        <c:noMultiLvlLbl val="0"/>
      </c:catAx>
      <c:valAx>
        <c:axId val="529971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299706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5-Year Rolling Growth Rates for Union Pacific Revenue Ton Miles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7.0206070122578651E-2"/>
          <c:y val="0.16694444444444445"/>
          <c:w val="0.87212622737948853"/>
          <c:h val="0.73018518518518516"/>
        </c:manualLayout>
      </c:layout>
      <c:lineChart>
        <c:grouping val="standard"/>
        <c:varyColors val="0"/>
        <c:ser>
          <c:idx val="0"/>
          <c:order val="0"/>
          <c:tx>
            <c:strRef>
              <c:f>Segments!$A$63</c:f>
              <c:strCache>
                <c:ptCount val="1"/>
                <c:pt idx="0">
                  <c:v>Agricultural</c:v>
                </c:pt>
              </c:strCache>
            </c:strRef>
          </c:tx>
          <c:spPr>
            <a:ln w="28575" cap="rnd">
              <a:solidFill>
                <a:schemeClr val="accent1">
                  <a:lumMod val="40000"/>
                  <a:lumOff val="60000"/>
                </a:schemeClr>
              </a:solidFill>
              <a:round/>
            </a:ln>
            <a:effectLst/>
          </c:spPr>
          <c:marker>
            <c:symbol val="none"/>
          </c:marker>
          <c:dLbls>
            <c:dLbl>
              <c:idx val="4"/>
              <c:layout>
                <c:manualLayout>
                  <c:x val="3.728671886709306E-3"/>
                  <c:y val="-5.576299993230869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40000"/>
                          <a:lumOff val="60000"/>
                        </a:schemeClr>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Segments!$G$63:$K$63</c:f>
              <c:numCache>
                <c:formatCode>0.0%</c:formatCode>
                <c:ptCount val="5"/>
                <c:pt idx="0">
                  <c:v>2.0508229073403772E-3</c:v>
                </c:pt>
                <c:pt idx="1">
                  <c:v>-1.7972881625511916E-2</c:v>
                </c:pt>
                <c:pt idx="2">
                  <c:v>3.1120712446617738E-2</c:v>
                </c:pt>
                <c:pt idx="3">
                  <c:v>1.8848965732303213E-3</c:v>
                </c:pt>
                <c:pt idx="4">
                  <c:v>9.5681424661828718E-3</c:v>
                </c:pt>
              </c:numCache>
            </c:numRef>
          </c:val>
          <c:smooth val="0"/>
          <c:extLst>
            <c:ext xmlns:c16="http://schemas.microsoft.com/office/drawing/2014/chart" uri="{C3380CC4-5D6E-409C-BE32-E72D297353CC}">
              <c16:uniqueId val="{00000001-CE38-4F2D-8299-A5933483E6CE}"/>
            </c:ext>
          </c:extLst>
        </c:ser>
        <c:ser>
          <c:idx val="1"/>
          <c:order val="1"/>
          <c:tx>
            <c:strRef>
              <c:f>Segments!$A$64</c:f>
              <c:strCache>
                <c:ptCount val="1"/>
                <c:pt idx="0">
                  <c:v>Automotive</c:v>
                </c:pt>
              </c:strCache>
            </c:strRef>
          </c:tx>
          <c:spPr>
            <a:ln w="28575" cap="rnd">
              <a:solidFill>
                <a:schemeClr val="accent1"/>
              </a:solidFill>
              <a:round/>
            </a:ln>
            <a:effectLst/>
          </c:spPr>
          <c:marker>
            <c:symbol val="none"/>
          </c:marker>
          <c:dLbls>
            <c:dLbl>
              <c:idx val="4"/>
              <c:layout>
                <c:manualLayout>
                  <c:x val="3.728671886709306E-3"/>
                  <c:y val="-2.323458330512866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Segments!$G$64:$K$64</c:f>
              <c:numCache>
                <c:formatCode>0.0%</c:formatCode>
                <c:ptCount val="5"/>
                <c:pt idx="0">
                  <c:v>-3.8052434456928852E-2</c:v>
                </c:pt>
                <c:pt idx="1">
                  <c:v>3.4060115246846268E-2</c:v>
                </c:pt>
                <c:pt idx="2">
                  <c:v>0.10628492251155919</c:v>
                </c:pt>
                <c:pt idx="3">
                  <c:v>7.693250197402457E-2</c:v>
                </c:pt>
                <c:pt idx="4">
                  <c:v>6.5583717843372691E-2</c:v>
                </c:pt>
              </c:numCache>
            </c:numRef>
          </c:val>
          <c:smooth val="0"/>
          <c:extLst>
            <c:ext xmlns:c16="http://schemas.microsoft.com/office/drawing/2014/chart" uri="{C3380CC4-5D6E-409C-BE32-E72D297353CC}">
              <c16:uniqueId val="{00000003-CE38-4F2D-8299-A5933483E6CE}"/>
            </c:ext>
          </c:extLst>
        </c:ser>
        <c:ser>
          <c:idx val="2"/>
          <c:order val="2"/>
          <c:tx>
            <c:strRef>
              <c:f>Segments!$A$65</c:f>
              <c:strCache>
                <c:ptCount val="1"/>
                <c:pt idx="0">
                  <c:v>Chemicals</c:v>
                </c:pt>
              </c:strCache>
            </c:strRef>
          </c:tx>
          <c:spPr>
            <a:ln w="28575" cap="rnd">
              <a:solidFill>
                <a:srgbClr val="00B050"/>
              </a:solidFill>
              <a:round/>
            </a:ln>
            <a:effectLst/>
          </c:spPr>
          <c:marker>
            <c:symbol val="none"/>
          </c:marker>
          <c:dLbls>
            <c:dLbl>
              <c:idx val="4"/>
              <c:layout>
                <c:manualLayout>
                  <c:x val="3.728671886709306E-3"/>
                  <c:y val="-6.970374991538587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Segments!$G$65:$K$65</c:f>
              <c:numCache>
                <c:formatCode>0.0%</c:formatCode>
                <c:ptCount val="5"/>
                <c:pt idx="0">
                  <c:v>4.2371081937925936E-2</c:v>
                </c:pt>
                <c:pt idx="1">
                  <c:v>6.7277299355183118E-2</c:v>
                </c:pt>
                <c:pt idx="2">
                  <c:v>9.0375401463697047E-2</c:v>
                </c:pt>
                <c:pt idx="3">
                  <c:v>5.2735459571694232E-2</c:v>
                </c:pt>
                <c:pt idx="4">
                  <c:v>2.1277083703622912E-2</c:v>
                </c:pt>
              </c:numCache>
            </c:numRef>
          </c:val>
          <c:smooth val="0"/>
          <c:extLst>
            <c:ext xmlns:c16="http://schemas.microsoft.com/office/drawing/2014/chart" uri="{C3380CC4-5D6E-409C-BE32-E72D297353CC}">
              <c16:uniqueId val="{00000005-CE38-4F2D-8299-A5933483E6CE}"/>
            </c:ext>
          </c:extLst>
        </c:ser>
        <c:ser>
          <c:idx val="3"/>
          <c:order val="3"/>
          <c:tx>
            <c:strRef>
              <c:f>Segments!$A$66</c:f>
              <c:strCache>
                <c:ptCount val="1"/>
                <c:pt idx="0">
                  <c:v>Coal</c:v>
                </c:pt>
              </c:strCache>
            </c:strRef>
          </c:tx>
          <c:spPr>
            <a:ln w="28575" cap="rnd">
              <a:solidFill>
                <a:srgbClr val="0046AD"/>
              </a:solidFill>
              <a:round/>
            </a:ln>
            <a:effectLst/>
          </c:spPr>
          <c:marker>
            <c:symbol val="none"/>
          </c:marker>
          <c:dLbls>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6AD"/>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Segments!$G$66:$K$66</c:f>
              <c:numCache>
                <c:formatCode>0.0%</c:formatCode>
                <c:ptCount val="5"/>
                <c:pt idx="0">
                  <c:v>-3.6859548361066197E-2</c:v>
                </c:pt>
                <c:pt idx="1">
                  <c:v>-6.2236273139378406E-2</c:v>
                </c:pt>
                <c:pt idx="2">
                  <c:v>-2.4952983296880893E-2</c:v>
                </c:pt>
                <c:pt idx="3">
                  <c:v>-7.0934976192449262E-2</c:v>
                </c:pt>
                <c:pt idx="4">
                  <c:v>-0.12452891314778292</c:v>
                </c:pt>
              </c:numCache>
            </c:numRef>
          </c:val>
          <c:smooth val="0"/>
          <c:extLst>
            <c:ext xmlns:c16="http://schemas.microsoft.com/office/drawing/2014/chart" uri="{C3380CC4-5D6E-409C-BE32-E72D297353CC}">
              <c16:uniqueId val="{00000007-CE38-4F2D-8299-A5933483E6CE}"/>
            </c:ext>
          </c:extLst>
        </c:ser>
        <c:ser>
          <c:idx val="4"/>
          <c:order val="4"/>
          <c:tx>
            <c:strRef>
              <c:f>Segments!$A$67</c:f>
              <c:strCache>
                <c:ptCount val="1"/>
                <c:pt idx="0">
                  <c:v>Industrial</c:v>
                </c:pt>
              </c:strCache>
            </c:strRef>
          </c:tx>
          <c:spPr>
            <a:ln w="28575" cap="rnd">
              <a:solidFill>
                <a:schemeClr val="accent1">
                  <a:lumMod val="60000"/>
                  <a:lumOff val="40000"/>
                </a:schemeClr>
              </a:solidFill>
              <a:round/>
            </a:ln>
            <a:effectLst/>
          </c:spPr>
          <c:marker>
            <c:symbol val="none"/>
          </c:marker>
          <c:dLbls>
            <c:dLbl>
              <c:idx val="4"/>
              <c:layout>
                <c:manualLayout>
                  <c:x val="3.728671886709306E-3"/>
                  <c:y val="-1.38887923322216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40000"/>
                          <a:lumOff val="60000"/>
                        </a:schemeClr>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Segments!$G$67:$K$67</c:f>
              <c:numCache>
                <c:formatCode>0.0%</c:formatCode>
                <c:ptCount val="5"/>
                <c:pt idx="0">
                  <c:v>-1.2882234521310321E-2</c:v>
                </c:pt>
                <c:pt idx="1">
                  <c:v>2.1971990856957557E-2</c:v>
                </c:pt>
                <c:pt idx="2">
                  <c:v>0.11039981447973468</c:v>
                </c:pt>
                <c:pt idx="3">
                  <c:v>4.2744319992965352E-2</c:v>
                </c:pt>
                <c:pt idx="4">
                  <c:v>4.6275921499592254E-3</c:v>
                </c:pt>
              </c:numCache>
            </c:numRef>
          </c:val>
          <c:smooth val="0"/>
          <c:extLst>
            <c:ext xmlns:c16="http://schemas.microsoft.com/office/drawing/2014/chart" uri="{C3380CC4-5D6E-409C-BE32-E72D297353CC}">
              <c16:uniqueId val="{00000009-CE38-4F2D-8299-A5933483E6CE}"/>
            </c:ext>
          </c:extLst>
        </c:ser>
        <c:ser>
          <c:idx val="5"/>
          <c:order val="5"/>
          <c:tx>
            <c:strRef>
              <c:f>Segments!$A$68</c:f>
              <c:strCache>
                <c:ptCount val="1"/>
                <c:pt idx="0">
                  <c:v>Intermodal</c:v>
                </c:pt>
              </c:strCache>
            </c:strRef>
          </c:tx>
          <c:spPr>
            <a:ln w="28575" cap="rnd">
              <a:solidFill>
                <a:srgbClr val="575A5D"/>
              </a:solidFill>
              <a:round/>
            </a:ln>
            <a:effectLst/>
          </c:spPr>
          <c:marker>
            <c:symbol val="none"/>
          </c:marker>
          <c:dLbls>
            <c:dLbl>
              <c:idx val="4"/>
              <c:layout>
                <c:manualLayout>
                  <c:x val="1.8643359433547213E-3"/>
                  <c:y val="1.858766664410289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75A5D"/>
                      </a:solidFill>
                      <a:latin typeface="Arial Narrow" panose="020B0606020202030204" pitchFamily="34" charset="0"/>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E38-4F2D-8299-A5933483E6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Segments!$G$1:$K$1</c:f>
              <c:numCache>
                <c:formatCode>General</c:formatCode>
                <c:ptCount val="5"/>
                <c:pt idx="0">
                  <c:v>2012</c:v>
                </c:pt>
                <c:pt idx="1">
                  <c:v>2013</c:v>
                </c:pt>
                <c:pt idx="2">
                  <c:v>2014</c:v>
                </c:pt>
                <c:pt idx="3">
                  <c:v>2015</c:v>
                </c:pt>
                <c:pt idx="4">
                  <c:v>2016</c:v>
                </c:pt>
              </c:numCache>
            </c:numRef>
          </c:cat>
          <c:val>
            <c:numRef>
              <c:f>Segments!$G$68:$K$68</c:f>
              <c:numCache>
                <c:formatCode>0.0%</c:formatCode>
                <c:ptCount val="5"/>
                <c:pt idx="0">
                  <c:v>-6.5370685041129528E-3</c:v>
                </c:pt>
                <c:pt idx="1">
                  <c:v>6.2662475220076619E-3</c:v>
                </c:pt>
                <c:pt idx="2">
                  <c:v>3.5193184358122576E-2</c:v>
                </c:pt>
                <c:pt idx="3">
                  <c:v>-9.7413275822677559E-4</c:v>
                </c:pt>
                <c:pt idx="4">
                  <c:v>-3.2871341869494808E-3</c:v>
                </c:pt>
              </c:numCache>
            </c:numRef>
          </c:val>
          <c:smooth val="0"/>
          <c:extLst>
            <c:ext xmlns:c16="http://schemas.microsoft.com/office/drawing/2014/chart" uri="{C3380CC4-5D6E-409C-BE32-E72D297353CC}">
              <c16:uniqueId val="{0000000B-CE38-4F2D-8299-A5933483E6CE}"/>
            </c:ext>
          </c:extLst>
        </c:ser>
        <c:dLbls>
          <c:showLegendKey val="0"/>
          <c:showVal val="0"/>
          <c:showCatName val="0"/>
          <c:showSerName val="0"/>
          <c:showPercent val="0"/>
          <c:showBubbleSize val="0"/>
        </c:dLbls>
        <c:smooth val="0"/>
        <c:axId val="999546304"/>
        <c:axId val="999544008"/>
      </c:lineChart>
      <c:catAx>
        <c:axId val="99954630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999544008"/>
        <c:crosses val="autoZero"/>
        <c:auto val="1"/>
        <c:lblAlgn val="ctr"/>
        <c:lblOffset val="100"/>
        <c:noMultiLvlLbl val="0"/>
      </c:catAx>
      <c:valAx>
        <c:axId val="9995440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999546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sz="1400"/>
              <a:t>Union Pacific Industrial Products Freight Revenues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Segments!$A$127</c:f>
              <c:strCache>
                <c:ptCount val="1"/>
                <c:pt idx="0">
                  <c:v>Industrial</c:v>
                </c:pt>
              </c:strCache>
            </c:strRef>
          </c:tx>
          <c:spPr>
            <a:ln w="28575" cap="rnd">
              <a:solidFill>
                <a:srgbClr val="0046AD"/>
              </a:solidFill>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7A-4DE6-B9C5-893B2D7F590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Segments!$B$126:$L$126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Segments!$B$127:$L$127</c:f>
              <c:numCache>
                <c:formatCode>_(* #,##0_);_(* \(#,##0\);_(* "-"??_);_(@_)</c:formatCode>
                <c:ptCount val="11"/>
                <c:pt idx="0">
                  <c:v>3077</c:v>
                </c:pt>
                <c:pt idx="1">
                  <c:v>3273</c:v>
                </c:pt>
                <c:pt idx="2">
                  <c:v>2147</c:v>
                </c:pt>
                <c:pt idx="3">
                  <c:v>2639</c:v>
                </c:pt>
                <c:pt idx="4">
                  <c:v>3166</c:v>
                </c:pt>
                <c:pt idx="5">
                  <c:v>3494</c:v>
                </c:pt>
                <c:pt idx="6">
                  <c:v>3822</c:v>
                </c:pt>
                <c:pt idx="7">
                  <c:v>4400</c:v>
                </c:pt>
                <c:pt idx="8">
                  <c:v>3808</c:v>
                </c:pt>
                <c:pt idx="9">
                  <c:v>3348</c:v>
                </c:pt>
                <c:pt idx="10">
                  <c:v>4078</c:v>
                </c:pt>
              </c:numCache>
            </c:numRef>
          </c:val>
          <c:smooth val="0"/>
          <c:extLst>
            <c:ext xmlns:c16="http://schemas.microsoft.com/office/drawing/2014/chart" uri="{C3380CC4-5D6E-409C-BE32-E72D297353CC}">
              <c16:uniqueId val="{00000001-A17A-4DE6-B9C5-893B2D7F5903}"/>
            </c:ext>
          </c:extLst>
        </c:ser>
        <c:dLbls>
          <c:showLegendKey val="0"/>
          <c:showVal val="0"/>
          <c:showCatName val="0"/>
          <c:showSerName val="0"/>
          <c:showPercent val="0"/>
          <c:showBubbleSize val="0"/>
        </c:dLbls>
        <c:smooth val="0"/>
        <c:axId val="306893088"/>
        <c:axId val="306894400"/>
      </c:lineChart>
      <c:catAx>
        <c:axId val="30689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306894400"/>
        <c:crosses val="autoZero"/>
        <c:auto val="1"/>
        <c:lblAlgn val="ctr"/>
        <c:lblOffset val="100"/>
        <c:noMultiLvlLbl val="0"/>
      </c:catAx>
      <c:valAx>
        <c:axId val="3068944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306893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Agricultural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Model'!$A$104</c:f>
              <c:strCache>
                <c:ptCount val="1"/>
                <c:pt idx="0">
                  <c:v>Agricultural Revenues</c:v>
                </c:pt>
              </c:strCache>
            </c:strRef>
          </c:tx>
          <c:spPr>
            <a:solidFill>
              <a:srgbClr val="0046AD"/>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Model'!$B$104:$Q$104</c:f>
              <c:numCache>
                <c:formatCode>_(* #,##0_);_(* \(#,##0\);_(* "-"??_);_(@_)</c:formatCode>
                <c:ptCount val="16"/>
                <c:pt idx="0">
                  <c:v>2393.1510096200909</c:v>
                </c:pt>
                <c:pt idx="1">
                  <c:v>2808.2364284939863</c:v>
                </c:pt>
                <c:pt idx="2">
                  <c:v>2563.4719003814785</c:v>
                </c:pt>
                <c:pt idx="3">
                  <c:v>2808.2590910837816</c:v>
                </c:pt>
                <c:pt idx="4">
                  <c:v>2967.9973034384834</c:v>
                </c:pt>
                <c:pt idx="5">
                  <c:v>2873.8327918620025</c:v>
                </c:pt>
                <c:pt idx="6">
                  <c:v>2866.974425984693</c:v>
                </c:pt>
                <c:pt idx="7">
                  <c:v>3296.740770592527</c:v>
                </c:pt>
                <c:pt idx="8">
                  <c:v>3342.3184615543209</c:v>
                </c:pt>
                <c:pt idx="9">
                  <c:v>3507.6356219285271</c:v>
                </c:pt>
                <c:pt idx="10">
                  <c:v>3498.9348732968947</c:v>
                </c:pt>
              </c:numCache>
            </c:numRef>
          </c:val>
          <c:extLst>
            <c:ext xmlns:c16="http://schemas.microsoft.com/office/drawing/2014/chart" uri="{C3380CC4-5D6E-409C-BE32-E72D297353CC}">
              <c16:uniqueId val="{00000000-C341-4762-9CE4-A31E10758E51}"/>
            </c:ext>
          </c:extLst>
        </c:ser>
        <c:ser>
          <c:idx val="1"/>
          <c:order val="1"/>
          <c:tx>
            <c:strRef>
              <c:f>'Revenue Model'!$A$105</c:f>
              <c:strCache>
                <c:ptCount val="1"/>
                <c:pt idx="0">
                  <c:v>Best Case</c:v>
                </c:pt>
              </c:strCache>
            </c:strRef>
          </c:tx>
          <c:spPr>
            <a:solidFill>
              <a:srgbClr val="0046AD">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Model'!$B$105:$Q$105</c:f>
              <c:numCache>
                <c:formatCode>_(* #,##0_);_(* \(#,##0\);_(* "-"??_);_(@_)</c:formatCode>
                <c:ptCount val="16"/>
                <c:pt idx="11">
                  <c:v>3725.2996137306595</c:v>
                </c:pt>
                <c:pt idx="12">
                  <c:v>3956.4705995406798</c:v>
                </c:pt>
                <c:pt idx="13">
                  <c:v>4201.9867468736566</c:v>
                </c:pt>
                <c:pt idx="14">
                  <c:v>4462.7382351714386</c:v>
                </c:pt>
                <c:pt idx="15">
                  <c:v>4739.6704833681179</c:v>
                </c:pt>
              </c:numCache>
            </c:numRef>
          </c:val>
          <c:extLst>
            <c:ext xmlns:c16="http://schemas.microsoft.com/office/drawing/2014/chart" uri="{C3380CC4-5D6E-409C-BE32-E72D297353CC}">
              <c16:uniqueId val="{00000001-C341-4762-9CE4-A31E10758E51}"/>
            </c:ext>
          </c:extLst>
        </c:ser>
        <c:ser>
          <c:idx val="2"/>
          <c:order val="2"/>
          <c:tx>
            <c:strRef>
              <c:f>'Revenue Model'!$A$106</c:f>
              <c:strCache>
                <c:ptCount val="1"/>
                <c:pt idx="0">
                  <c:v>Worst Case</c:v>
                </c:pt>
              </c:strCache>
            </c:strRef>
          </c:tx>
          <c:spPr>
            <a:solidFill>
              <a:srgbClr val="FFC000">
                <a:alpha val="50000"/>
              </a:srgbClr>
            </a:solidFill>
            <a:ln>
              <a:noFill/>
            </a:ln>
            <a:effectLst/>
          </c:spPr>
          <c:invertIfNegative val="0"/>
          <c:cat>
            <c:numRef>
              <c:f>'Revenue Model'!$B$1:$Q$1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'Revenue Model'!$B$106:$Q$106</c:f>
              <c:numCache>
                <c:formatCode>_(* #,##0_);_(* \(#,##0\);_(* "-"??_);_(@_)</c:formatCode>
                <c:ptCount val="16"/>
                <c:pt idx="11">
                  <c:v>3513.4851681523805</c:v>
                </c:pt>
                <c:pt idx="12">
                  <c:v>3519.3444694348295</c:v>
                </c:pt>
                <c:pt idx="13">
                  <c:v>3525.2135420440031</c:v>
                </c:pt>
                <c:pt idx="14">
                  <c:v>3531.0924022751592</c:v>
                </c:pt>
                <c:pt idx="15">
                  <c:v>3536.9810664507299</c:v>
                </c:pt>
              </c:numCache>
            </c:numRef>
          </c:val>
          <c:extLst>
            <c:ext xmlns:c16="http://schemas.microsoft.com/office/drawing/2014/chart" uri="{C3380CC4-5D6E-409C-BE32-E72D297353CC}">
              <c16:uniqueId val="{00000002-C341-4762-9CE4-A31E10758E51}"/>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Model'!$A$107</c:f>
              <c:strCache>
                <c:ptCount val="1"/>
                <c:pt idx="0">
                  <c:v>Change</c:v>
                </c:pt>
              </c:strCache>
            </c:strRef>
          </c:tx>
          <c:spPr>
            <a:ln w="19050" cap="rnd">
              <a:solidFill>
                <a:schemeClr val="tx1"/>
              </a:solidFill>
              <a:round/>
            </a:ln>
            <a:effectLst/>
          </c:spPr>
          <c:marker>
            <c:symbol val="none"/>
          </c:marker>
          <c:val>
            <c:numRef>
              <c:f>'Revenue Model'!$B$107:$Q$107</c:f>
              <c:numCache>
                <c:formatCode>0%</c:formatCode>
                <c:ptCount val="16"/>
                <c:pt idx="1">
                  <c:v>0.17344723220779512</c:v>
                </c:pt>
                <c:pt idx="2">
                  <c:v>-8.7159516068157861E-2</c:v>
                </c:pt>
                <c:pt idx="3">
                  <c:v>9.5490491105393316E-2</c:v>
                </c:pt>
                <c:pt idx="4">
                  <c:v>5.6881579360633205E-2</c:v>
                </c:pt>
                <c:pt idx="5">
                  <c:v>-3.17266162834412E-2</c:v>
                </c:pt>
                <c:pt idx="6">
                  <c:v>-2.3864874451745566E-3</c:v>
                </c:pt>
                <c:pt idx="7">
                  <c:v>0.14990239909804082</c:v>
                </c:pt>
                <c:pt idx="8">
                  <c:v>1.382507577433878E-2</c:v>
                </c:pt>
                <c:pt idx="9">
                  <c:v>4.9461821868801437E-2</c:v>
                </c:pt>
                <c:pt idx="10">
                  <c:v>-2.4805166697584591E-3</c:v>
                </c:pt>
              </c:numCache>
            </c:numRef>
          </c:val>
          <c:smooth val="0"/>
          <c:extLst>
            <c:ext xmlns:c16="http://schemas.microsoft.com/office/drawing/2014/chart" uri="{C3380CC4-5D6E-409C-BE32-E72D297353CC}">
              <c16:uniqueId val="{00000003-C341-4762-9CE4-A31E10758E51}"/>
            </c:ext>
          </c:extLst>
        </c:ser>
        <c:ser>
          <c:idx val="4"/>
          <c:order val="4"/>
          <c:tx>
            <c:strRef>
              <c:f>'Revenue Model'!$A$108</c:f>
              <c:strCache>
                <c:ptCount val="1"/>
                <c:pt idx="0">
                  <c:v>Best Case Change</c:v>
                </c:pt>
              </c:strCache>
            </c:strRef>
          </c:tx>
          <c:spPr>
            <a:ln w="19050" cap="rnd">
              <a:solidFill>
                <a:schemeClr val="tx1"/>
              </a:solidFill>
              <a:prstDash val="sysDot"/>
              <a:round/>
            </a:ln>
            <a:effectLst/>
          </c:spPr>
          <c:marker>
            <c:symbol val="none"/>
          </c:marker>
          <c:val>
            <c:numRef>
              <c:f>'Revenue Model'!$B$108:$Q$108</c:f>
              <c:numCache>
                <c:formatCode>_(* #,##0_);_(* \(#,##0\);_(* "-"??_);_(@_)</c:formatCode>
                <c:ptCount val="16"/>
                <c:pt idx="9" formatCode="0%">
                  <c:v>4.9461821868801437E-2</c:v>
                </c:pt>
                <c:pt idx="10" formatCode="0%">
                  <c:v>-2.4805166697584591E-3</c:v>
                </c:pt>
                <c:pt idx="11" formatCode="0%">
                  <c:v>6.2054333820016128E-2</c:v>
                </c:pt>
                <c:pt idx="12" formatCode="0%">
                  <c:v>6.205433382001635E-2</c:v>
                </c:pt>
                <c:pt idx="13" formatCode="0%">
                  <c:v>6.2054333820016128E-2</c:v>
                </c:pt>
                <c:pt idx="14" formatCode="0%">
                  <c:v>6.205433382001635E-2</c:v>
                </c:pt>
                <c:pt idx="15" formatCode="0%">
                  <c:v>6.205433382001635E-2</c:v>
                </c:pt>
              </c:numCache>
            </c:numRef>
          </c:val>
          <c:smooth val="0"/>
          <c:extLst>
            <c:ext xmlns:c16="http://schemas.microsoft.com/office/drawing/2014/chart" uri="{C3380CC4-5D6E-409C-BE32-E72D297353CC}">
              <c16:uniqueId val="{00000004-C341-4762-9CE4-A31E10758E51}"/>
            </c:ext>
          </c:extLst>
        </c:ser>
        <c:ser>
          <c:idx val="5"/>
          <c:order val="5"/>
          <c:tx>
            <c:strRef>
              <c:f>'Revenue Model'!$A$109</c:f>
              <c:strCache>
                <c:ptCount val="1"/>
                <c:pt idx="0">
                  <c:v>Worst Case Change</c:v>
                </c:pt>
              </c:strCache>
            </c:strRef>
          </c:tx>
          <c:spPr>
            <a:ln w="19050" cap="rnd">
              <a:solidFill>
                <a:schemeClr val="tx1"/>
              </a:solidFill>
              <a:prstDash val="dash"/>
              <a:round/>
            </a:ln>
            <a:effectLst/>
          </c:spPr>
          <c:marker>
            <c:symbol val="none"/>
          </c:marker>
          <c:val>
            <c:numRef>
              <c:f>'Revenue Model'!$B$109:$Q$109</c:f>
              <c:numCache>
                <c:formatCode>_(* #,##0_);_(* \(#,##0\);_(* "-"??_);_(@_)</c:formatCode>
                <c:ptCount val="16"/>
                <c:pt idx="9" formatCode="0%">
                  <c:v>4.9461821868801437E-2</c:v>
                </c:pt>
                <c:pt idx="10" formatCode="0%">
                  <c:v>-2.4805166697584591E-3</c:v>
                </c:pt>
                <c:pt idx="11" formatCode="0%">
                  <c:v>1.6676607419778833E-3</c:v>
                </c:pt>
                <c:pt idx="12" formatCode="0%">
                  <c:v>1.6676607419778833E-3</c:v>
                </c:pt>
                <c:pt idx="13" formatCode="0%">
                  <c:v>1.6676607419778833E-3</c:v>
                </c:pt>
                <c:pt idx="14" formatCode="0%">
                  <c:v>1.6676607419781053E-3</c:v>
                </c:pt>
                <c:pt idx="15" formatCode="0%">
                  <c:v>1.6676607419778833E-3</c:v>
                </c:pt>
              </c:numCache>
            </c:numRef>
          </c:val>
          <c:smooth val="0"/>
          <c:extLst>
            <c:ext xmlns:c16="http://schemas.microsoft.com/office/drawing/2014/chart" uri="{C3380CC4-5D6E-409C-BE32-E72D297353CC}">
              <c16:uniqueId val="{00000005-C341-4762-9CE4-A31E10758E51}"/>
            </c:ext>
          </c:extLst>
        </c:ser>
        <c:dLbls>
          <c:showLegendKey val="0"/>
          <c:showVal val="0"/>
          <c:showCatName val="0"/>
          <c:showSerName val="0"/>
          <c:showPercent val="0"/>
          <c:showBubbleSize val="0"/>
        </c:dLbls>
        <c:marker val="1"/>
        <c:smooth val="0"/>
        <c:axId val="311366400"/>
        <c:axId val="311363072"/>
      </c:lineChart>
      <c:catAx>
        <c:axId val="311344128"/>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Algn val="ctr"/>
        <c:lblOffset val="100"/>
        <c:tickLblSkip val="2"/>
        <c:noMultiLvlLbl val="0"/>
      </c:cat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yyyy\ &quot;A&quot;" sourceLinked="1"/>
        <c:majorTickMark val="out"/>
        <c:minorTickMark val="none"/>
        <c:tickLblPos val="nextTo"/>
        <c:crossAx val="31136307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6"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14</xdr:col>
      <xdr:colOff>549735</xdr:colOff>
      <xdr:row>68</xdr:row>
      <xdr:rowOff>16329</xdr:rowOff>
    </xdr:from>
    <xdr:to>
      <xdr:col>25</xdr:col>
      <xdr:colOff>223163</xdr:colOff>
      <xdr:row>83</xdr:row>
      <xdr:rowOff>168729</xdr:rowOff>
    </xdr:to>
    <xdr:graphicFrame macro="">
      <xdr:nvGraphicFramePr>
        <xdr:cNvPr id="2" name="Chart 1">
          <a:extLst>
            <a:ext uri="{FF2B5EF4-FFF2-40B4-BE49-F238E27FC236}">
              <a16:creationId xmlns:a16="http://schemas.microsoft.com/office/drawing/2014/main" id="{FD17B5F3-0209-4B3F-B35B-52E4D6147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86</xdr:row>
      <xdr:rowOff>0</xdr:rowOff>
    </xdr:from>
    <xdr:to>
      <xdr:col>23</xdr:col>
      <xdr:colOff>326571</xdr:colOff>
      <xdr:row>100</xdr:row>
      <xdr:rowOff>152400</xdr:rowOff>
    </xdr:to>
    <xdr:graphicFrame macro="">
      <xdr:nvGraphicFramePr>
        <xdr:cNvPr id="3" name="Chart 2">
          <a:extLst>
            <a:ext uri="{FF2B5EF4-FFF2-40B4-BE49-F238E27FC236}">
              <a16:creationId xmlns:a16="http://schemas.microsoft.com/office/drawing/2014/main" id="{0D49B0D7-F7C3-4326-86C6-CBFCD23B4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125186</xdr:colOff>
      <xdr:row>23</xdr:row>
      <xdr:rowOff>5442</xdr:rowOff>
    </xdr:from>
    <xdr:to>
      <xdr:col>23</xdr:col>
      <xdr:colOff>451757</xdr:colOff>
      <xdr:row>37</xdr:row>
      <xdr:rowOff>157842</xdr:rowOff>
    </xdr:to>
    <xdr:graphicFrame macro="">
      <xdr:nvGraphicFramePr>
        <xdr:cNvPr id="4" name="Chart 3">
          <a:extLst>
            <a:ext uri="{FF2B5EF4-FFF2-40B4-BE49-F238E27FC236}">
              <a16:creationId xmlns:a16="http://schemas.microsoft.com/office/drawing/2014/main" id="{E07B57D1-DB01-44BA-B667-2D944CEFC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249017</xdr:colOff>
      <xdr:row>103</xdr:row>
      <xdr:rowOff>161925</xdr:rowOff>
    </xdr:from>
    <xdr:to>
      <xdr:col>9</xdr:col>
      <xdr:colOff>542931</xdr:colOff>
      <xdr:row>123</xdr:row>
      <xdr:rowOff>118382</xdr:rowOff>
    </xdr:to>
    <xdr:graphicFrame macro="">
      <xdr:nvGraphicFramePr>
        <xdr:cNvPr id="5" name="Chart 4">
          <a:extLst>
            <a:ext uri="{FF2B5EF4-FFF2-40B4-BE49-F238E27FC236}">
              <a16:creationId xmlns:a16="http://schemas.microsoft.com/office/drawing/2014/main" id="{A853ECB7-0D0E-4934-AD2C-D5AC7FB6F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285756</xdr:colOff>
      <xdr:row>4</xdr:row>
      <xdr:rowOff>80962</xdr:rowOff>
    </xdr:from>
    <xdr:to>
      <xdr:col>28</xdr:col>
      <xdr:colOff>438156</xdr:colOff>
      <xdr:row>17</xdr:row>
      <xdr:rowOff>80962</xdr:rowOff>
    </xdr:to>
    <xdr:graphicFrame macro="">
      <xdr:nvGraphicFramePr>
        <xdr:cNvPr id="6" name="Chart 5">
          <a:extLst>
            <a:ext uri="{FF2B5EF4-FFF2-40B4-BE49-F238E27FC236}">
              <a16:creationId xmlns:a16="http://schemas.microsoft.com/office/drawing/2014/main" id="{5304B6A8-A2B5-48CB-944B-9D6CB74B9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295274</xdr:colOff>
      <xdr:row>103</xdr:row>
      <xdr:rowOff>95250</xdr:rowOff>
    </xdr:from>
    <xdr:to>
      <xdr:col>23</xdr:col>
      <xdr:colOff>619124</xdr:colOff>
      <xdr:row>121</xdr:row>
      <xdr:rowOff>71438</xdr:rowOff>
    </xdr:to>
    <xdr:graphicFrame macro="">
      <xdr:nvGraphicFramePr>
        <xdr:cNvPr id="7" name="Chart 6">
          <a:extLst>
            <a:ext uri="{FF2B5EF4-FFF2-40B4-BE49-F238E27FC236}">
              <a16:creationId xmlns:a16="http://schemas.microsoft.com/office/drawing/2014/main" id="{9E7CB1AE-61C7-4614-962B-D6316B9D3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221454</xdr:colOff>
      <xdr:row>51</xdr:row>
      <xdr:rowOff>176212</xdr:rowOff>
    </xdr:from>
    <xdr:to>
      <xdr:col>26</xdr:col>
      <xdr:colOff>571499</xdr:colOff>
      <xdr:row>67</xdr:row>
      <xdr:rowOff>23812</xdr:rowOff>
    </xdr:to>
    <xdr:graphicFrame macro="">
      <xdr:nvGraphicFramePr>
        <xdr:cNvPr id="8" name="Chart 7">
          <a:extLst>
            <a:ext uri="{FF2B5EF4-FFF2-40B4-BE49-F238E27FC236}">
              <a16:creationId xmlns:a16="http://schemas.microsoft.com/office/drawing/2014/main" id="{D2B0047C-C882-4961-930B-23492D96C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190500</xdr:colOff>
      <xdr:row>123</xdr:row>
      <xdr:rowOff>119062</xdr:rowOff>
    </xdr:from>
    <xdr:to>
      <xdr:col>24</xdr:col>
      <xdr:colOff>342900</xdr:colOff>
      <xdr:row>147</xdr:row>
      <xdr:rowOff>119062</xdr:rowOff>
    </xdr:to>
    <xdr:graphicFrame macro="">
      <xdr:nvGraphicFramePr>
        <xdr:cNvPr id="9" name="Chart 8">
          <a:extLst>
            <a:ext uri="{FF2B5EF4-FFF2-40B4-BE49-F238E27FC236}">
              <a16:creationId xmlns:a16="http://schemas.microsoft.com/office/drawing/2014/main" id="{AE7D9191-43C5-4568-85D2-0E132FB53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55655" cy="628196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15721693" y="19179268"/>
    <xdr:ext cx="4572000" cy="2743200"/>
    <xdr:graphicFrame macro="">
      <xdr:nvGraphicFramePr>
        <xdr:cNvPr id="2" name="Chart 1">
          <a:extLst>
            <a:ext uri="{FF2B5EF4-FFF2-40B4-BE49-F238E27FC236}">
              <a16:creationId xmlns:a16="http://schemas.microsoft.com/office/drawing/2014/main" id="{8C8509E3-9FC9-43F7-85BD-75F52238D6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5727136" y="21966011"/>
    <xdr:ext cx="4572000" cy="2743200"/>
    <xdr:graphicFrame macro="">
      <xdr:nvGraphicFramePr>
        <xdr:cNvPr id="3" name="Chart 2">
          <a:extLst>
            <a:ext uri="{FF2B5EF4-FFF2-40B4-BE49-F238E27FC236}">
              <a16:creationId xmlns:a16="http://schemas.microsoft.com/office/drawing/2014/main" id="{B7BA466B-00F8-422E-BF16-E402F4BF38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0889685" y="19137086"/>
    <xdr:ext cx="4572000" cy="2743200"/>
    <xdr:graphicFrame macro="">
      <xdr:nvGraphicFramePr>
        <xdr:cNvPr id="4" name="Chart 3">
          <a:extLst>
            <a:ext uri="{FF2B5EF4-FFF2-40B4-BE49-F238E27FC236}">
              <a16:creationId xmlns:a16="http://schemas.microsoft.com/office/drawing/2014/main" id="{05107205-D78F-48ED-BC92-BDD5A702A6B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20895128" y="21912943"/>
    <xdr:ext cx="4572000" cy="2743200"/>
    <xdr:graphicFrame macro="">
      <xdr:nvGraphicFramePr>
        <xdr:cNvPr id="5" name="Chart 4">
          <a:extLst>
            <a:ext uri="{FF2B5EF4-FFF2-40B4-BE49-F238E27FC236}">
              <a16:creationId xmlns:a16="http://schemas.microsoft.com/office/drawing/2014/main" id="{0C54353A-4E72-4F3A-87CF-06737C00EB1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15679510" y="24811264"/>
    <xdr:ext cx="4572000" cy="2743200"/>
    <xdr:graphicFrame macro="">
      <xdr:nvGraphicFramePr>
        <xdr:cNvPr id="6" name="Chart 5">
          <a:extLst>
            <a:ext uri="{FF2B5EF4-FFF2-40B4-BE49-F238E27FC236}">
              <a16:creationId xmlns:a16="http://schemas.microsoft.com/office/drawing/2014/main" id="{77029596-AFED-411E-8D41-543931BE591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20906014" y="24683357"/>
    <xdr:ext cx="4572000" cy="2743200"/>
    <xdr:graphicFrame macro="">
      <xdr:nvGraphicFramePr>
        <xdr:cNvPr id="7" name="Chart 6">
          <a:extLst>
            <a:ext uri="{FF2B5EF4-FFF2-40B4-BE49-F238E27FC236}">
              <a16:creationId xmlns:a16="http://schemas.microsoft.com/office/drawing/2014/main" id="{08618237-04D3-4474-B70D-C719D5E669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15679511" y="27603449"/>
    <xdr:ext cx="4572000" cy="2743200"/>
    <xdr:graphicFrame macro="">
      <xdr:nvGraphicFramePr>
        <xdr:cNvPr id="8" name="Chart 7">
          <a:extLst>
            <a:ext uri="{FF2B5EF4-FFF2-40B4-BE49-F238E27FC236}">
              <a16:creationId xmlns:a16="http://schemas.microsoft.com/office/drawing/2014/main" id="{970B6063-31B4-4DFC-B783-32A2C6EBCA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absoluteAnchor>
    <xdr:pos x="20911457" y="27480985"/>
    <xdr:ext cx="4572000" cy="2743200"/>
    <xdr:graphicFrame macro="">
      <xdr:nvGraphicFramePr>
        <xdr:cNvPr id="9" name="Chart 8">
          <a:extLst>
            <a:ext uri="{FF2B5EF4-FFF2-40B4-BE49-F238E27FC236}">
              <a16:creationId xmlns:a16="http://schemas.microsoft.com/office/drawing/2014/main" id="{39F9F195-4E09-4079-870E-B8B558867F8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OI%20Valuation%20Model%20-%20Union%20Pacific%20(UNP)%202018.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Revenue Model"/>
      <sheetName val="Freight Revenue Comparisons"/>
      <sheetName val="Update Comparisons"/>
      <sheetName val="LT OCP Chart"/>
      <sheetName val="LT OCP Chart Details"/>
      <sheetName val="Profit Study"/>
      <sheetName val="LT CAGR Chart"/>
      <sheetName val="Profit Study (2)"/>
      <sheetName val="Invest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sheetData sheetId="1"/>
      <sheetData sheetId="2"/>
      <sheetData sheetId="3">
        <row r="1">
          <cell r="B1">
            <v>2007</v>
          </cell>
          <cell r="C1">
            <v>2008</v>
          </cell>
          <cell r="D1">
            <v>2009</v>
          </cell>
          <cell r="E1">
            <v>2010</v>
          </cell>
          <cell r="F1">
            <v>2011</v>
          </cell>
          <cell r="G1">
            <v>2012</v>
          </cell>
          <cell r="H1">
            <v>2013</v>
          </cell>
          <cell r="I1">
            <v>2014</v>
          </cell>
          <cell r="J1">
            <v>2015</v>
          </cell>
          <cell r="K1">
            <v>2016</v>
          </cell>
          <cell r="L1">
            <v>2017</v>
          </cell>
        </row>
        <row r="10">
          <cell r="O10" t="str">
            <v>Revenue Ton-Miles</v>
          </cell>
          <cell r="P10" t="str">
            <v>Revenue / Ton-Miles</v>
          </cell>
          <cell r="Q10" t="str">
            <v>Revenues Adjusted for Fuel Surcharge</v>
          </cell>
        </row>
        <row r="11">
          <cell r="A11" t="str">
            <v>Agricultural</v>
          </cell>
          <cell r="O11">
            <v>1.0832362681151508E-2</v>
          </cell>
          <cell r="P11">
            <v>2.7091522984500349E-2</v>
          </cell>
          <cell r="Q11">
            <v>3.7575120619194768E-2</v>
          </cell>
        </row>
        <row r="12">
          <cell r="A12" t="str">
            <v>Automotive</v>
          </cell>
          <cell r="O12">
            <v>5.3362287560496657E-3</v>
          </cell>
          <cell r="P12">
            <v>2.5058227936523458E-2</v>
          </cell>
          <cell r="Q12">
            <v>3.4118132139782986E-2</v>
          </cell>
        </row>
        <row r="13">
          <cell r="A13" t="str">
            <v>Chemicals</v>
          </cell>
          <cell r="O13">
            <v>1.5773602412433307E-2</v>
          </cell>
          <cell r="P13">
            <v>3.2838998782229067E-2</v>
          </cell>
          <cell r="Q13">
            <v>4.8247583259995119E-2</v>
          </cell>
        </row>
        <row r="14">
          <cell r="A14" t="str">
            <v>Coal</v>
          </cell>
          <cell r="B14">
            <v>251408</v>
          </cell>
          <cell r="C14">
            <v>258362</v>
          </cell>
          <cell r="D14">
            <v>218227</v>
          </cell>
          <cell r="E14">
            <v>225583</v>
          </cell>
          <cell r="F14">
            <v>238567</v>
          </cell>
          <cell r="G14">
            <v>207466</v>
          </cell>
          <cell r="H14">
            <v>186902</v>
          </cell>
          <cell r="I14">
            <v>191359</v>
          </cell>
          <cell r="J14">
            <v>151110</v>
          </cell>
          <cell r="K14">
            <v>117101</v>
          </cell>
          <cell r="O14">
            <v>-5.9042024158331596E-2</v>
          </cell>
          <cell r="P14">
            <v>5.7759154754330355E-2</v>
          </cell>
          <cell r="Q14">
            <v>-3.4594378158767647E-3</v>
          </cell>
        </row>
        <row r="15">
          <cell r="A15" t="str">
            <v>Industrial</v>
          </cell>
          <cell r="O15">
            <v>1.2822818782441292E-2</v>
          </cell>
          <cell r="P15">
            <v>1.8559632042823626E-2</v>
          </cell>
          <cell r="Q15">
            <v>3.3346756780357811E-2</v>
          </cell>
        </row>
        <row r="16">
          <cell r="A16" t="str">
            <v>Intermodal</v>
          </cell>
          <cell r="O16">
            <v>-4.442800858361462E-3</v>
          </cell>
          <cell r="P16">
            <v>3.3255188954029125E-2</v>
          </cell>
          <cell r="Q16">
            <v>2.92703516910644E-2</v>
          </cell>
        </row>
        <row r="63">
          <cell r="A63" t="str">
            <v>Agricultural</v>
          </cell>
          <cell r="G63">
            <v>2.0508229073403772E-3</v>
          </cell>
          <cell r="H63">
            <v>-1.7972881625511916E-2</v>
          </cell>
          <cell r="I63">
            <v>3.1120712446617738E-2</v>
          </cell>
          <cell r="J63">
            <v>1.8848965732303213E-3</v>
          </cell>
          <cell r="K63">
            <v>9.5681424661828718E-3</v>
          </cell>
        </row>
        <row r="64">
          <cell r="A64" t="str">
            <v>Automotive</v>
          </cell>
          <cell r="G64">
            <v>-3.8052434456928852E-2</v>
          </cell>
          <cell r="H64">
            <v>3.4060115246846268E-2</v>
          </cell>
          <cell r="I64">
            <v>0.10628492251155919</v>
          </cell>
          <cell r="J64">
            <v>7.693250197402457E-2</v>
          </cell>
          <cell r="K64">
            <v>6.5583717843372691E-2</v>
          </cell>
        </row>
        <row r="65">
          <cell r="A65" t="str">
            <v>Chemicals</v>
          </cell>
          <cell r="G65">
            <v>4.2371081937925936E-2</v>
          </cell>
          <cell r="H65">
            <v>6.7277299355183118E-2</v>
          </cell>
          <cell r="I65">
            <v>9.0375401463697047E-2</v>
          </cell>
          <cell r="J65">
            <v>5.2735459571694232E-2</v>
          </cell>
          <cell r="K65">
            <v>2.1277083703622912E-2</v>
          </cell>
        </row>
        <row r="66">
          <cell r="A66" t="str">
            <v>Coal</v>
          </cell>
          <cell r="G66">
            <v>-3.6859548361066197E-2</v>
          </cell>
          <cell r="H66">
            <v>-6.2236273139378406E-2</v>
          </cell>
          <cell r="I66">
            <v>-2.4952983296880893E-2</v>
          </cell>
          <cell r="J66">
            <v>-7.0934976192449262E-2</v>
          </cell>
          <cell r="K66">
            <v>-0.12452891314778292</v>
          </cell>
        </row>
        <row r="67">
          <cell r="A67" t="str">
            <v>Industrial</v>
          </cell>
          <cell r="G67">
            <v>-1.2882234521310321E-2</v>
          </cell>
          <cell r="H67">
            <v>2.1971990856957557E-2</v>
          </cell>
          <cell r="I67">
            <v>0.11039981447973468</v>
          </cell>
          <cell r="J67">
            <v>4.2744319992965352E-2</v>
          </cell>
          <cell r="K67">
            <v>4.6275921499592254E-3</v>
          </cell>
        </row>
        <row r="68">
          <cell r="A68" t="str">
            <v>Intermodal</v>
          </cell>
          <cell r="G68">
            <v>-6.5370685041129528E-3</v>
          </cell>
          <cell r="H68">
            <v>6.2662475220076619E-3</v>
          </cell>
          <cell r="I68">
            <v>3.5193184358122576E-2</v>
          </cell>
          <cell r="J68">
            <v>-9.7413275822677559E-4</v>
          </cell>
          <cell r="K68">
            <v>-3.2871341869494808E-3</v>
          </cell>
        </row>
        <row r="74">
          <cell r="A74" t="str">
            <v>Revenue Ton-Mile (YoY Change)</v>
          </cell>
        </row>
        <row r="75">
          <cell r="A75" t="str">
            <v>Agricultural</v>
          </cell>
          <cell r="C75">
            <v>0.10003476878756268</v>
          </cell>
          <cell r="D75">
            <v>-8.3318282385876241E-2</v>
          </cell>
          <cell r="E75">
            <v>8.6568891844299056E-2</v>
          </cell>
          <cell r="F75">
            <v>-1.6206353343835023E-3</v>
          </cell>
          <cell r="G75">
            <v>-7.5907553295343599E-2</v>
          </cell>
          <cell r="H75">
            <v>-6.1788298303585565E-3</v>
          </cell>
          <cell r="I75">
            <v>0.16524522891327997</v>
          </cell>
          <cell r="J75">
            <v>-5.5371103072990091E-2</v>
          </cell>
          <cell r="K75">
            <v>3.5832594073192281E-2</v>
          </cell>
          <cell r="L75">
            <v>-2.5443389271931016E-2</v>
          </cell>
        </row>
        <row r="76">
          <cell r="A76" t="str">
            <v>Automotive</v>
          </cell>
          <cell r="C76">
            <v>-0.20020592609541243</v>
          </cell>
          <cell r="D76">
            <v>-0.3033900729509369</v>
          </cell>
          <cell r="E76">
            <v>0.28767967145790552</v>
          </cell>
          <cell r="F76">
            <v>3.6836230266305225E-2</v>
          </cell>
          <cell r="G76">
            <v>0.14903106736388794</v>
          </cell>
          <cell r="H76">
            <v>8.2117521081515266E-2</v>
          </cell>
          <cell r="I76">
            <v>3.8839755086894634E-2</v>
          </cell>
          <cell r="J76">
            <v>8.3110079180806151E-2</v>
          </cell>
          <cell r="K76">
            <v>-5.4966195789596384E-5</v>
          </cell>
        </row>
        <row r="82">
          <cell r="A82" t="str">
            <v>Revenues / Ton-Mile (YoY Change)</v>
          </cell>
        </row>
        <row r="83">
          <cell r="C83">
            <v>6.6736493702963973E-2</v>
          </cell>
          <cell r="D83">
            <v>-4.1903679417534256E-3</v>
          </cell>
          <cell r="E83">
            <v>8.210799451428219E-3</v>
          </cell>
          <cell r="F83">
            <v>5.8597179354373585E-2</v>
          </cell>
          <cell r="G83">
            <v>4.7810083471034659E-2</v>
          </cell>
          <cell r="H83">
            <v>3.815920307409959E-3</v>
          </cell>
          <cell r="I83">
            <v>-1.3167039378953804E-2</v>
          </cell>
          <cell r="J83">
            <v>7.325223595470387E-2</v>
          </cell>
          <cell r="K83">
            <v>1.3157751429712095E-2</v>
          </cell>
          <cell r="L83">
            <v>2.3562379393248012E-2</v>
          </cell>
        </row>
        <row r="84">
          <cell r="C84">
            <v>0.13897979232572832</v>
          </cell>
          <cell r="D84">
            <v>-6.0630101019241822E-2</v>
          </cell>
          <cell r="E84">
            <v>0.14517219249457791</v>
          </cell>
          <cell r="F84">
            <v>0.13251958924820739</v>
          </cell>
          <cell r="G84">
            <v>3.4511914778777575E-2</v>
          </cell>
          <cell r="H84">
            <v>6.4298255362635226E-2</v>
          </cell>
          <cell r="I84">
            <v>-2.6688924234204991E-2</v>
          </cell>
          <cell r="J84">
            <v>-3.6547676084491831E-2</v>
          </cell>
          <cell r="K84">
            <v>-6.0931925807872322E-2</v>
          </cell>
        </row>
        <row r="97">
          <cell r="A97" t="str">
            <v>Average Effect of Pricing on Revenue</v>
          </cell>
          <cell r="C97">
            <v>8.5668871210817496E-2</v>
          </cell>
          <cell r="D97">
            <v>2.3426607849947143E-2</v>
          </cell>
          <cell r="E97">
            <v>3.8874315347924029E-2</v>
          </cell>
          <cell r="F97">
            <v>5.359186975597055E-2</v>
          </cell>
          <cell r="G97">
            <v>4.1643962609912294E-2</v>
          </cell>
          <cell r="H97">
            <v>3.7157262065238915E-2</v>
          </cell>
          <cell r="I97">
            <v>1.5739454344617779E-2</v>
          </cell>
          <cell r="J97">
            <v>5.5845141732335554E-2</v>
          </cell>
          <cell r="K97">
            <v>8.7243760675326694E-3</v>
          </cell>
          <cell r="L97">
            <v>-2.1585671515217406E-3</v>
          </cell>
        </row>
        <row r="98">
          <cell r="A98" t="str">
            <v>Intermodal Contribution</v>
          </cell>
          <cell r="C98">
            <v>1.1428819240642683E-2</v>
          </cell>
          <cell r="D98">
            <v>-6.9324914771775412E-3</v>
          </cell>
          <cell r="E98">
            <v>2.210759946479892E-2</v>
          </cell>
          <cell r="F98">
            <v>2.0227429521085489E-2</v>
          </cell>
          <cell r="G98">
            <v>1.6939045202707701E-2</v>
          </cell>
          <cell r="H98">
            <v>3.1940417187511414E-3</v>
          </cell>
          <cell r="I98">
            <v>1.0214751060562426E-2</v>
          </cell>
          <cell r="J98">
            <v>1.097210060536714E-3</v>
          </cell>
          <cell r="K98">
            <v>-8.1614076273667444E-3</v>
          </cell>
          <cell r="L98">
            <v>2.8028923616154281E-3</v>
          </cell>
        </row>
        <row r="99">
          <cell r="A99" t="str">
            <v>Coal Contribution</v>
          </cell>
          <cell r="C99">
            <v>1.4048562919831477E-2</v>
          </cell>
          <cell r="D99">
            <v>4.2039707805286812E-2</v>
          </cell>
          <cell r="E99">
            <v>1.0981642084722792E-3</v>
          </cell>
          <cell r="F99">
            <v>-1.8039898908733527E-4</v>
          </cell>
          <cell r="G99">
            <v>1.1542872588469979E-2</v>
          </cell>
          <cell r="H99">
            <v>2.8673551884039649E-2</v>
          </cell>
          <cell r="I99">
            <v>2.5244464518092294E-3</v>
          </cell>
          <cell r="J99">
            <v>2.197155993429642E-2</v>
          </cell>
          <cell r="K99">
            <v>6.5132009165709461E-3</v>
          </cell>
          <cell r="L99">
            <v>-8.9718736743656571E-3</v>
          </cell>
        </row>
        <row r="100">
          <cell r="A100" t="str">
            <v>Chemical Contribution</v>
          </cell>
          <cell r="C100">
            <v>1.4300127424787779E-2</v>
          </cell>
          <cell r="D100">
            <v>4.0847743322335178E-3</v>
          </cell>
          <cell r="E100">
            <v>-5.3270970217027247E-4</v>
          </cell>
          <cell r="F100">
            <v>3.2869192174306305E-3</v>
          </cell>
          <cell r="G100">
            <v>-2.462691745461969E-3</v>
          </cell>
          <cell r="H100">
            <v>-1.1282242923280042E-3</v>
          </cell>
          <cell r="I100">
            <v>4.6807996823236483E-3</v>
          </cell>
          <cell r="J100">
            <v>1.2634669055890203E-2</v>
          </cell>
          <cell r="K100">
            <v>1.4558104877412045E-2</v>
          </cell>
          <cell r="L100">
            <v>5.3484917904796673E-3</v>
          </cell>
        </row>
        <row r="101">
          <cell r="A101" t="str">
            <v>3Y RGR Revenue Ton Miles</v>
          </cell>
          <cell r="E101">
            <v>-2.5843942371968187E-2</v>
          </cell>
          <cell r="F101">
            <v>-1.1671859067134638E-2</v>
          </cell>
          <cell r="G101">
            <v>2.7152465859448194E-2</v>
          </cell>
          <cell r="H101">
            <v>-3.8640324659438008E-3</v>
          </cell>
          <cell r="I101">
            <v>3.3118535492284717E-3</v>
          </cell>
          <cell r="J101">
            <v>-2.2760710959917052E-2</v>
          </cell>
          <cell r="K101">
            <v>-4.7860595918746807E-2</v>
          </cell>
          <cell r="L101">
            <v>-5.6216321773145284E-2</v>
          </cell>
        </row>
        <row r="104">
          <cell r="B104" t="str">
            <v>9m 2017 Revenues</v>
          </cell>
        </row>
        <row r="105">
          <cell r="A105" t="str">
            <v>Industrial</v>
          </cell>
          <cell r="B105">
            <v>3903.8028715228156</v>
          </cell>
        </row>
        <row r="106">
          <cell r="A106" t="str">
            <v>Intermodal</v>
          </cell>
          <cell r="B106">
            <v>3674.9641627439091</v>
          </cell>
        </row>
        <row r="107">
          <cell r="A107" t="str">
            <v>Agricultural</v>
          </cell>
          <cell r="B107">
            <v>3498.9348732968947</v>
          </cell>
        </row>
        <row r="108">
          <cell r="A108" t="str">
            <v>Chemicals</v>
          </cell>
          <cell r="B108">
            <v>3458.466582819286</v>
          </cell>
        </row>
        <row r="109">
          <cell r="A109" t="str">
            <v>Coal</v>
          </cell>
          <cell r="B109">
            <v>2374.6832625915695</v>
          </cell>
        </row>
        <row r="110">
          <cell r="A110" t="str">
            <v>Automotive</v>
          </cell>
          <cell r="B110">
            <v>1960.1482470255248</v>
          </cell>
        </row>
        <row r="111">
          <cell r="A111" t="str">
            <v>Other Revenues</v>
          </cell>
          <cell r="B111">
            <v>1403</v>
          </cell>
        </row>
        <row r="112">
          <cell r="A112" t="str">
            <v>Fuel Surcharge</v>
          </cell>
          <cell r="B112">
            <v>966</v>
          </cell>
        </row>
        <row r="126">
          <cell r="B126">
            <v>2007</v>
          </cell>
          <cell r="C126">
            <v>2008</v>
          </cell>
          <cell r="D126">
            <v>2009</v>
          </cell>
          <cell r="E126">
            <v>2010</v>
          </cell>
          <cell r="F126">
            <v>2011</v>
          </cell>
          <cell r="G126">
            <v>2012</v>
          </cell>
          <cell r="H126">
            <v>2013</v>
          </cell>
          <cell r="I126">
            <v>2014</v>
          </cell>
          <cell r="J126">
            <v>2015</v>
          </cell>
          <cell r="K126">
            <v>2016</v>
          </cell>
          <cell r="L126">
            <v>2017</v>
          </cell>
        </row>
        <row r="127">
          <cell r="A127" t="str">
            <v>Industrial</v>
          </cell>
          <cell r="B127">
            <v>3077</v>
          </cell>
          <cell r="C127">
            <v>3273</v>
          </cell>
          <cell r="D127">
            <v>2147</v>
          </cell>
          <cell r="E127">
            <v>2639</v>
          </cell>
          <cell r="F127">
            <v>3166</v>
          </cell>
          <cell r="G127">
            <v>3494</v>
          </cell>
          <cell r="H127">
            <v>3822</v>
          </cell>
          <cell r="I127">
            <v>4400</v>
          </cell>
          <cell r="J127">
            <v>3808</v>
          </cell>
          <cell r="K127">
            <v>3348</v>
          </cell>
          <cell r="L127">
            <v>4078</v>
          </cell>
        </row>
        <row r="128">
          <cell r="A128" t="str">
            <v>Industrial Run Rate</v>
          </cell>
        </row>
      </sheetData>
      <sheetData sheetId="4">
        <row r="1">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cell r="P1">
            <v>2021</v>
          </cell>
          <cell r="Q1">
            <v>2022</v>
          </cell>
        </row>
        <row r="104">
          <cell r="A104" t="str">
            <v>Agricultural Revenues</v>
          </cell>
          <cell r="B104">
            <v>2393.1510096200909</v>
          </cell>
          <cell r="C104">
            <v>2808.2364284939863</v>
          </cell>
          <cell r="D104">
            <v>2563.4719003814785</v>
          </cell>
          <cell r="E104">
            <v>2808.2590910837816</v>
          </cell>
          <cell r="F104">
            <v>2967.9973034384834</v>
          </cell>
          <cell r="G104">
            <v>2873.8327918620025</v>
          </cell>
          <cell r="H104">
            <v>2866.974425984693</v>
          </cell>
          <cell r="I104">
            <v>3296.740770592527</v>
          </cell>
          <cell r="J104">
            <v>3342.3184615543209</v>
          </cell>
          <cell r="K104">
            <v>3507.6356219285271</v>
          </cell>
          <cell r="L104">
            <v>3498.9348732968947</v>
          </cell>
        </row>
        <row r="105">
          <cell r="A105" t="str">
            <v>Best Case</v>
          </cell>
          <cell r="M105">
            <v>3725.2996137306595</v>
          </cell>
          <cell r="N105">
            <v>3956.4705995406798</v>
          </cell>
          <cell r="O105">
            <v>4201.9867468736566</v>
          </cell>
          <cell r="P105">
            <v>4462.7382351714386</v>
          </cell>
          <cell r="Q105">
            <v>4739.6704833681179</v>
          </cell>
        </row>
        <row r="106">
          <cell r="A106" t="str">
            <v>Worst Case</v>
          </cell>
          <cell r="M106">
            <v>3513.4851681523805</v>
          </cell>
          <cell r="N106">
            <v>3519.3444694348295</v>
          </cell>
          <cell r="O106">
            <v>3525.2135420440031</v>
          </cell>
          <cell r="P106">
            <v>3531.0924022751592</v>
          </cell>
          <cell r="Q106">
            <v>3536.9810664507299</v>
          </cell>
        </row>
        <row r="107">
          <cell r="A107" t="str">
            <v>Change</v>
          </cell>
          <cell r="C107">
            <v>0.17344723220779512</v>
          </cell>
          <cell r="D107">
            <v>-8.7159516068157861E-2</v>
          </cell>
          <cell r="E107">
            <v>9.5490491105393316E-2</v>
          </cell>
          <cell r="F107">
            <v>5.6881579360633205E-2</v>
          </cell>
          <cell r="G107">
            <v>-3.17266162834412E-2</v>
          </cell>
          <cell r="H107">
            <v>-2.3864874451745566E-3</v>
          </cell>
          <cell r="I107">
            <v>0.14990239909804082</v>
          </cell>
          <cell r="J107">
            <v>1.382507577433878E-2</v>
          </cell>
          <cell r="K107">
            <v>4.9461821868801437E-2</v>
          </cell>
          <cell r="L107">
            <v>-2.4805166697584591E-3</v>
          </cell>
        </row>
        <row r="108">
          <cell r="A108" t="str">
            <v>Best Case Change</v>
          </cell>
          <cell r="K108">
            <v>4.9461821868801437E-2</v>
          </cell>
          <cell r="L108">
            <v>-2.4805166697584591E-3</v>
          </cell>
          <cell r="M108">
            <v>6.2054333820016128E-2</v>
          </cell>
          <cell r="N108">
            <v>6.205433382001635E-2</v>
          </cell>
          <cell r="O108">
            <v>6.2054333820016128E-2</v>
          </cell>
          <cell r="P108">
            <v>6.205433382001635E-2</v>
          </cell>
          <cell r="Q108">
            <v>6.205433382001635E-2</v>
          </cell>
        </row>
        <row r="109">
          <cell r="A109" t="str">
            <v>Worst Case Change</v>
          </cell>
          <cell r="K109">
            <v>4.9461821868801437E-2</v>
          </cell>
          <cell r="L109">
            <v>-2.4805166697584591E-3</v>
          </cell>
          <cell r="M109">
            <v>1.6676607419778833E-3</v>
          </cell>
          <cell r="N109">
            <v>1.6676607419778833E-3</v>
          </cell>
          <cell r="O109">
            <v>1.6676607419778833E-3</v>
          </cell>
          <cell r="P109">
            <v>1.6676607419781053E-3</v>
          </cell>
          <cell r="Q109">
            <v>1.6676607419778833E-3</v>
          </cell>
        </row>
        <row r="111">
          <cell r="A111" t="str">
            <v>Automotive Revenues</v>
          </cell>
          <cell r="B111">
            <v>1412.0115227509366</v>
          </cell>
          <cell r="C111">
            <v>1286.2708915790279</v>
          </cell>
          <cell r="D111">
            <v>841.702738799803</v>
          </cell>
          <cell r="E111">
            <v>1241.1874442736357</v>
          </cell>
          <cell r="F111">
            <v>1457.4486450145757</v>
          </cell>
          <cell r="G111">
            <v>1732.4492804795907</v>
          </cell>
          <cell r="H111">
            <v>1995.2545423433514</v>
          </cell>
          <cell r="I111">
            <v>2017.4302793338779</v>
          </cell>
          <cell r="J111">
            <v>2105.2387765831331</v>
          </cell>
          <cell r="K111">
            <v>1976.8538575313707</v>
          </cell>
          <cell r="L111">
            <v>1960.1482470255248</v>
          </cell>
        </row>
        <row r="112">
          <cell r="A112" t="str">
            <v>Best Case</v>
          </cell>
          <cell r="M112">
            <v>2060.1049120410971</v>
          </cell>
          <cell r="N112">
            <v>2168.5473839636675</v>
          </cell>
          <cell r="O112">
            <v>2328.3521550721348</v>
          </cell>
          <cell r="P112">
            <v>2499.9332724379533</v>
          </cell>
          <cell r="Q112">
            <v>2684.1585595322945</v>
          </cell>
        </row>
        <row r="113">
          <cell r="A113" t="str">
            <v>Worst Case</v>
          </cell>
          <cell r="M113">
            <v>1937.3167803807432</v>
          </cell>
          <cell r="N113">
            <v>1917.9436125769357</v>
          </cell>
          <cell r="O113">
            <v>1956.3024848284742</v>
          </cell>
          <cell r="P113">
            <v>1995.4285345250439</v>
          </cell>
          <cell r="Q113">
            <v>2035.3371052155446</v>
          </cell>
        </row>
        <row r="114">
          <cell r="A114" t="str">
            <v>Change</v>
          </cell>
          <cell r="C114">
            <v>-8.9050711800804483E-2</v>
          </cell>
          <cell r="D114">
            <v>-0.34562560319892832</v>
          </cell>
          <cell r="E114">
            <v>0.47461495259414765</v>
          </cell>
          <cell r="F114">
            <v>0.17423734161885585</v>
          </cell>
          <cell r="G114">
            <v>0.18868632963891829</v>
          </cell>
          <cell r="H114">
            <v>0.15169578978439646</v>
          </cell>
          <cell r="I114">
            <v>1.1114239571900386E-2</v>
          </cell>
          <cell r="J114">
            <v>4.3524922843057645E-2</v>
          </cell>
          <cell r="K114">
            <v>-6.098354280749807E-2</v>
          </cell>
        </row>
        <row r="115">
          <cell r="A115" t="str">
            <v>Best Case Change</v>
          </cell>
          <cell r="K115">
            <v>-6.098354280749807E-2</v>
          </cell>
          <cell r="L115">
            <v>0</v>
          </cell>
          <cell r="M115">
            <v>4.211290287977465E-2</v>
          </cell>
          <cell r="N115">
            <v>5.2639295838156297E-2</v>
          </cell>
          <cell r="O115">
            <v>7.369208175491937E-2</v>
          </cell>
          <cell r="P115">
            <v>7.369208175491937E-2</v>
          </cell>
          <cell r="Q115">
            <v>7.3692081754919592E-2</v>
          </cell>
        </row>
        <row r="116">
          <cell r="A116" t="str">
            <v>Worst Case Change</v>
          </cell>
          <cell r="K116">
            <v>-6.098354280749807E-2</v>
          </cell>
          <cell r="L116">
            <v>0</v>
          </cell>
          <cell r="M116">
            <v>-2.0000000000000018E-2</v>
          </cell>
          <cell r="N116">
            <v>-1.0000000000000009E-2</v>
          </cell>
          <cell r="O116">
            <v>1.9999999999999796E-2</v>
          </cell>
          <cell r="P116">
            <v>2.0000000000000018E-2</v>
          </cell>
          <cell r="Q116">
            <v>2.0000000000000018E-2</v>
          </cell>
        </row>
        <row r="118">
          <cell r="A118" t="str">
            <v>Chemicals Revenues</v>
          </cell>
          <cell r="B118">
            <v>2138.3147967855903</v>
          </cell>
          <cell r="C118">
            <v>2267.7119693013715</v>
          </cell>
          <cell r="D118">
            <v>2041.3280403515948</v>
          </cell>
          <cell r="E118">
            <v>2296.0872002305919</v>
          </cell>
          <cell r="F118">
            <v>2574.3807460364405</v>
          </cell>
          <cell r="G118">
            <v>2898.2508870470974</v>
          </cell>
          <cell r="H118">
            <v>3127.0659728703877</v>
          </cell>
          <cell r="I118">
            <v>3279.2801253208982</v>
          </cell>
          <cell r="J118">
            <v>3350.8095395177666</v>
          </cell>
          <cell r="K118">
            <v>3388.8000063616269</v>
          </cell>
          <cell r="L118">
            <v>3458.466582819286</v>
          </cell>
        </row>
        <row r="119">
          <cell r="A119" t="str">
            <v>Best Case</v>
          </cell>
          <cell r="K119">
            <v>-6.098354280749807E-2</v>
          </cell>
          <cell r="L119">
            <v>-3.0491771403749035E-2</v>
          </cell>
          <cell r="M119">
            <v>3656.4469865159845</v>
          </cell>
          <cell r="N119">
            <v>3945.2326900683806</v>
          </cell>
          <cell r="O119">
            <v>4256.8266506210275</v>
          </cell>
          <cell r="P119">
            <v>4593.0302613211297</v>
          </cell>
          <cell r="Q119">
            <v>4955.7871891104523</v>
          </cell>
        </row>
        <row r="120">
          <cell r="A120" t="str">
            <v>Worst Case</v>
          </cell>
          <cell r="M120">
            <v>3387.5022891890344</v>
          </cell>
          <cell r="N120">
            <v>3386.2050689681228</v>
          </cell>
          <cell r="O120">
            <v>3384.9083455085884</v>
          </cell>
          <cell r="P120">
            <v>3383.6121186201999</v>
          </cell>
          <cell r="Q120">
            <v>3382.316388112798</v>
          </cell>
        </row>
        <row r="121">
          <cell r="A121" t="str">
            <v>Change</v>
          </cell>
          <cell r="C121">
            <v>6.0513621619369129E-2</v>
          </cell>
          <cell r="D121">
            <v>-9.9829225234243535E-2</v>
          </cell>
          <cell r="E121">
            <v>0.12480069584265241</v>
          </cell>
          <cell r="F121">
            <v>0.12120338712654299</v>
          </cell>
          <cell r="G121">
            <v>0.12580506652300461</v>
          </cell>
          <cell r="H121">
            <v>7.8949371445347971E-2</v>
          </cell>
          <cell r="I121">
            <v>4.8676348299358185E-2</v>
          </cell>
          <cell r="J121">
            <v>2.1812535514900144E-2</v>
          </cell>
          <cell r="K121">
            <v>1.1337698068427882E-2</v>
          </cell>
          <cell r="L121">
            <v>2.0557889614871705E-2</v>
          </cell>
        </row>
        <row r="122">
          <cell r="A122" t="str">
            <v>Best Case Change</v>
          </cell>
          <cell r="K122">
            <v>1.1337698068427882E-2</v>
          </cell>
          <cell r="L122">
            <v>2.0557889614871705E-2</v>
          </cell>
          <cell r="M122">
            <v>7.897986887745434E-2</v>
          </cell>
          <cell r="N122">
            <v>7.8979868877454562E-2</v>
          </cell>
          <cell r="O122">
            <v>7.897986887745434E-2</v>
          </cell>
          <cell r="P122">
            <v>7.897986887745434E-2</v>
          </cell>
          <cell r="Q122">
            <v>7.897986887745434E-2</v>
          </cell>
        </row>
        <row r="123">
          <cell r="A123" t="str">
            <v>Worst Case Change</v>
          </cell>
          <cell r="K123">
            <v>1.1337698068427882E-2</v>
          </cell>
          <cell r="L123">
            <v>2.0557889614871705E-2</v>
          </cell>
          <cell r="M123">
            <v>-3.8294297986196657E-4</v>
          </cell>
          <cell r="N123">
            <v>-3.8294297986207759E-4</v>
          </cell>
          <cell r="O123">
            <v>-3.8294297986196657E-4</v>
          </cell>
          <cell r="P123">
            <v>-3.8294297986185555E-4</v>
          </cell>
          <cell r="Q123">
            <v>-3.8294297986207759E-4</v>
          </cell>
        </row>
        <row r="125">
          <cell r="A125" t="str">
            <v>Coal Revenues</v>
          </cell>
          <cell r="B125">
            <v>2472.6413975384671</v>
          </cell>
          <cell r="C125">
            <v>2743.2707831598327</v>
          </cell>
          <cell r="D125">
            <v>2842.4769589388716</v>
          </cell>
          <cell r="E125">
            <v>2952.7852209838584</v>
          </cell>
          <cell r="F125">
            <v>3119.9105579200473</v>
          </cell>
          <cell r="G125">
            <v>2876.881570337222</v>
          </cell>
          <cell r="H125">
            <v>3033.0813577250947</v>
          </cell>
          <cell r="I125">
            <v>3152.151147410344</v>
          </cell>
          <cell r="J125">
            <v>2831.9921139711569</v>
          </cell>
          <cell r="K125">
            <v>2291.0094311115354</v>
          </cell>
          <cell r="L125">
            <v>2374.6832625915695</v>
          </cell>
        </row>
        <row r="126">
          <cell r="A126" t="str">
            <v>Best Case</v>
          </cell>
          <cell r="M126">
            <v>2260.8499413461045</v>
          </cell>
          <cell r="N126">
            <v>2231.0874795503355</v>
          </cell>
          <cell r="O126">
            <v>2201.716819136846</v>
          </cell>
          <cell r="P126">
            <v>2172.7328023225118</v>
          </cell>
          <cell r="Q126">
            <v>2144.1303392227119</v>
          </cell>
        </row>
        <row r="127">
          <cell r="A127" t="str">
            <v>Worst Case</v>
          </cell>
          <cell r="M127">
            <v>2105.49873075813</v>
          </cell>
          <cell r="N127">
            <v>1935.0094526120149</v>
          </cell>
          <cell r="O127">
            <v>1778.3252618488391</v>
          </cell>
          <cell r="P127">
            <v>1634.328314345365</v>
          </cell>
          <cell r="Q127">
            <v>1501.991281557808</v>
          </cell>
        </row>
        <row r="128">
          <cell r="A128" t="str">
            <v>Change</v>
          </cell>
          <cell r="C128">
            <v>0.10944950848545165</v>
          </cell>
          <cell r="D128">
            <v>3.6163464572304571E-2</v>
          </cell>
          <cell r="E128">
            <v>3.8807091011976436E-2</v>
          </cell>
          <cell r="F128">
            <v>5.6599218848874866E-2</v>
          </cell>
          <cell r="G128">
            <v>-7.7896139351137483E-2</v>
          </cell>
          <cell r="H128">
            <v>5.4294827078878782E-2</v>
          </cell>
          <cell r="I128">
            <v>3.925703785755208E-2</v>
          </cell>
          <cell r="J128">
            <v>-0.10156842691449441</v>
          </cell>
          <cell r="K128">
            <v>-0.19102549056926199</v>
          </cell>
          <cell r="L128">
            <v>3.6522691850918276E-2</v>
          </cell>
        </row>
        <row r="129">
          <cell r="A129" t="str">
            <v>Best Case Change</v>
          </cell>
          <cell r="K129">
            <v>-0.19102549056926199</v>
          </cell>
          <cell r="L129">
            <v>3.6522691850918276E-2</v>
          </cell>
          <cell r="M129">
            <v>-1.3164280057458511E-2</v>
          </cell>
          <cell r="N129">
            <v>-1.3164280057458622E-2</v>
          </cell>
          <cell r="O129">
            <v>-1.31642800574584E-2</v>
          </cell>
          <cell r="P129">
            <v>-1.3164280057458511E-2</v>
          </cell>
          <cell r="Q129">
            <v>-1.31642800574584E-2</v>
          </cell>
        </row>
        <row r="130">
          <cell r="A130" t="str">
            <v>Worst Case Change</v>
          </cell>
          <cell r="K130">
            <v>-0.19102549056926199</v>
          </cell>
          <cell r="L130">
            <v>3.6522691850918276E-2</v>
          </cell>
          <cell r="M130">
            <v>-8.0973346435942228E-2</v>
          </cell>
          <cell r="N130">
            <v>-8.097334643594245E-2</v>
          </cell>
          <cell r="O130">
            <v>-8.0973346435942339E-2</v>
          </cell>
          <cell r="P130">
            <v>-8.097334643594245E-2</v>
          </cell>
          <cell r="Q130">
            <v>-8.097334643594245E-2</v>
          </cell>
        </row>
        <row r="132">
          <cell r="A132" t="str">
            <v>Industrial Revenues</v>
          </cell>
          <cell r="B132">
            <v>2879.4168551824791</v>
          </cell>
          <cell r="C132">
            <v>2981.0348896523656</v>
          </cell>
          <cell r="D132">
            <v>2081.5076149653164</v>
          </cell>
          <cell r="E132">
            <v>2495.5541141429671</v>
          </cell>
          <cell r="F132">
            <v>2895.9569982935245</v>
          </cell>
          <cell r="G132">
            <v>3140.1360439522482</v>
          </cell>
          <cell r="H132">
            <v>3428.8695165204404</v>
          </cell>
          <cell r="I132">
            <v>3951.4225049988263</v>
          </cell>
          <cell r="J132">
            <v>3604.5660210087931</v>
          </cell>
          <cell r="K132">
            <v>3260.7452009478825</v>
          </cell>
          <cell r="L132">
            <v>3903.8028715228156</v>
          </cell>
        </row>
        <row r="133">
          <cell r="A133" t="str">
            <v>Best Case</v>
          </cell>
          <cell r="M133">
            <v>3859.5987109386278</v>
          </cell>
          <cell r="N133">
            <v>4268.7299346097689</v>
          </cell>
          <cell r="O133">
            <v>4754.4616210932536</v>
          </cell>
          <cell r="P133">
            <v>5588.6128910387406</v>
          </cell>
          <cell r="Q133">
            <v>5985.4044063024912</v>
          </cell>
        </row>
        <row r="134">
          <cell r="A134" t="str">
            <v>Worst Case</v>
          </cell>
          <cell r="M134">
            <v>3817.188512978189</v>
          </cell>
          <cell r="N134">
            <v>3967.7983106962502</v>
          </cell>
          <cell r="O134">
            <v>4124.3505215520308</v>
          </cell>
          <cell r="P134">
            <v>4287.0796075422568</v>
          </cell>
          <cell r="Q134">
            <v>4456.2292815229648</v>
          </cell>
        </row>
        <row r="135">
          <cell r="A135" t="str">
            <v>Change</v>
          </cell>
          <cell r="C135">
            <v>3.5291185535359482E-2</v>
          </cell>
          <cell r="D135">
            <v>-0.30174999890455756</v>
          </cell>
          <cell r="E135">
            <v>0.19891663917095492</v>
          </cell>
          <cell r="F135">
            <v>0.16044648436247799</v>
          </cell>
          <cell r="G135">
            <v>8.4317220802176518E-2</v>
          </cell>
          <cell r="H135">
            <v>9.1949351406057422E-2</v>
          </cell>
          <cell r="I135">
            <v>0.15239803846740241</v>
          </cell>
          <cell r="J135">
            <v>-8.7780156020075162E-2</v>
          </cell>
          <cell r="K135">
            <v>-9.5384803068383595E-2</v>
          </cell>
          <cell r="L135">
            <v>0.19721187365023174</v>
          </cell>
        </row>
        <row r="136">
          <cell r="A136" t="str">
            <v>Best Case Change</v>
          </cell>
          <cell r="K136">
            <v>-9.5384803068383595E-2</v>
          </cell>
          <cell r="L136">
            <v>0.19721187365023174</v>
          </cell>
          <cell r="M136">
            <v>0.18365541404972752</v>
          </cell>
          <cell r="N136">
            <v>0.10600356521822007</v>
          </cell>
          <cell r="O136">
            <v>0.11378833843417846</v>
          </cell>
          <cell r="P136">
            <v>0.17544599923675053</v>
          </cell>
          <cell r="Q136">
            <v>7.0999999999999952E-2</v>
          </cell>
        </row>
        <row r="137">
          <cell r="A137" t="str">
            <v>Worst Case Change</v>
          </cell>
          <cell r="K137">
            <v>-9.5384803068383595E-2</v>
          </cell>
          <cell r="L137">
            <v>0.19721187365023174</v>
          </cell>
          <cell r="M137">
            <v>0.17064912396974496</v>
          </cell>
          <cell r="N137">
            <v>3.945568766279095E-2</v>
          </cell>
          <cell r="O137">
            <v>3.945568766279095E-2</v>
          </cell>
          <cell r="P137">
            <v>3.945568766279095E-2</v>
          </cell>
          <cell r="Q137">
            <v>3.945568766279095E-2</v>
          </cell>
        </row>
        <row r="139">
          <cell r="A139" t="str">
            <v>Intermodal Revenues</v>
          </cell>
          <cell r="B139">
            <v>2712.4644181224357</v>
          </cell>
          <cell r="C139">
            <v>2708.4750378134158</v>
          </cell>
          <cell r="D139">
            <v>2397.5127465629357</v>
          </cell>
          <cell r="E139">
            <v>3038.1269292851653</v>
          </cell>
          <cell r="F139">
            <v>3292.3057492969283</v>
          </cell>
          <cell r="G139">
            <v>3564.4494263218394</v>
          </cell>
          <cell r="H139">
            <v>3632.7541845560327</v>
          </cell>
          <cell r="I139">
            <v>4062.9751723435261</v>
          </cell>
          <cell r="J139">
            <v>3862.0750873648294</v>
          </cell>
          <cell r="K139">
            <v>3611.9558821190576</v>
          </cell>
          <cell r="L139">
            <v>3674.9641627439091</v>
          </cell>
        </row>
        <row r="140">
          <cell r="A140" t="str">
            <v>Best Case</v>
          </cell>
          <cell r="M140">
            <v>3684.1949997614388</v>
          </cell>
          <cell r="N140">
            <v>3757.8788997566676</v>
          </cell>
          <cell r="O140">
            <v>3833.0364777518007</v>
          </cell>
          <cell r="P140">
            <v>3909.6972073068368</v>
          </cell>
          <cell r="Q140">
            <v>3987.8911514529736</v>
          </cell>
        </row>
        <row r="141">
          <cell r="A141" t="str">
            <v>Worst Case</v>
          </cell>
          <cell r="M141">
            <v>3618.6279921594405</v>
          </cell>
          <cell r="N141">
            <v>3625.3124271156985</v>
          </cell>
          <cell r="O141">
            <v>3632.0092097547758</v>
          </cell>
          <cell r="P141">
            <v>3638.7183628856696</v>
          </cell>
          <cell r="Q141">
            <v>3645.4399093595134</v>
          </cell>
        </row>
        <row r="142">
          <cell r="A142" t="str">
            <v>Change</v>
          </cell>
          <cell r="C142">
            <v>-1.4707585774641485E-3</v>
          </cell>
          <cell r="D142">
            <v>-0.11481083890716737</v>
          </cell>
          <cell r="E142">
            <v>0.26719948982152908</v>
          </cell>
          <cell r="F142">
            <v>8.3663002214185989E-2</v>
          </cell>
          <cell r="G142">
            <v>8.2660511431244643E-2</v>
          </cell>
          <cell r="H142">
            <v>1.9162779454743761E-2</v>
          </cell>
          <cell r="I142">
            <v>0.11842832350630728</v>
          </cell>
          <cell r="J142">
            <v>-4.9446545070276016E-2</v>
          </cell>
          <cell r="K142">
            <v>-6.4762905844079066E-2</v>
          </cell>
          <cell r="L142">
            <v>1.7444366066809769E-2</v>
          </cell>
        </row>
        <row r="143">
          <cell r="A143" t="str">
            <v>Best Case Change</v>
          </cell>
          <cell r="K143">
            <v>-6.4762905844079066E-2</v>
          </cell>
          <cell r="L143">
            <v>1.7444366066809769E-2</v>
          </cell>
          <cell r="M143">
            <v>2.0000000000000018E-2</v>
          </cell>
          <cell r="N143">
            <v>2.0000000000000018E-2</v>
          </cell>
          <cell r="O143">
            <v>2.0000000000000018E-2</v>
          </cell>
          <cell r="P143">
            <v>2.0000000000000018E-2</v>
          </cell>
          <cell r="Q143">
            <v>2.0000000000000018E-2</v>
          </cell>
        </row>
        <row r="144">
          <cell r="A144" t="str">
            <v>Worst Case Change</v>
          </cell>
          <cell r="K144">
            <v>-6.4762905844079066E-2</v>
          </cell>
          <cell r="L144">
            <v>1.7444366066809769E-2</v>
          </cell>
          <cell r="M144">
            <v>1.8472291074798086E-3</v>
          </cell>
          <cell r="N144">
            <v>1.8472291074798086E-3</v>
          </cell>
          <cell r="O144">
            <v>1.8472291074800307E-3</v>
          </cell>
          <cell r="P144">
            <v>1.8472291074798086E-3</v>
          </cell>
          <cell r="Q144">
            <v>1.8472291074798086E-3</v>
          </cell>
        </row>
        <row r="146">
          <cell r="A146" t="str">
            <v>Fuel Surcharge</v>
          </cell>
          <cell r="B146">
            <v>1478</v>
          </cell>
          <cell r="C146">
            <v>2323</v>
          </cell>
          <cell r="D146">
            <v>605</v>
          </cell>
          <cell r="E146">
            <v>1237</v>
          </cell>
          <cell r="F146">
            <v>2200</v>
          </cell>
          <cell r="G146">
            <v>2600</v>
          </cell>
          <cell r="H146">
            <v>2600</v>
          </cell>
          <cell r="I146">
            <v>2800</v>
          </cell>
          <cell r="J146">
            <v>1300</v>
          </cell>
          <cell r="K146">
            <v>560</v>
          </cell>
          <cell r="L146">
            <v>966</v>
          </cell>
        </row>
        <row r="147">
          <cell r="A147" t="str">
            <v>Best Case</v>
          </cell>
          <cell r="M147">
            <v>1000</v>
          </cell>
          <cell r="N147">
            <v>2300</v>
          </cell>
          <cell r="O147">
            <v>2300</v>
          </cell>
          <cell r="P147">
            <v>2300</v>
          </cell>
          <cell r="Q147">
            <v>2300</v>
          </cell>
        </row>
        <row r="148">
          <cell r="A148" t="str">
            <v>Worst Case</v>
          </cell>
          <cell r="M148">
            <v>1000</v>
          </cell>
          <cell r="N148">
            <v>1568.6</v>
          </cell>
          <cell r="O148">
            <v>1568.6</v>
          </cell>
          <cell r="P148">
            <v>1568.6</v>
          </cell>
          <cell r="Q148">
            <v>1568.6</v>
          </cell>
        </row>
        <row r="150">
          <cell r="A150" t="str">
            <v>Other Revenues</v>
          </cell>
          <cell r="B150">
            <v>797</v>
          </cell>
          <cell r="C150">
            <v>852</v>
          </cell>
          <cell r="D150">
            <v>770</v>
          </cell>
          <cell r="E150">
            <v>896</v>
          </cell>
          <cell r="F150">
            <v>1049</v>
          </cell>
          <cell r="G150">
            <v>1240</v>
          </cell>
          <cell r="H150">
            <v>1279</v>
          </cell>
          <cell r="I150">
            <v>1428</v>
          </cell>
          <cell r="J150">
            <v>1416</v>
          </cell>
          <cell r="K150">
            <v>1340</v>
          </cell>
          <cell r="L150">
            <v>1403</v>
          </cell>
        </row>
        <row r="151">
          <cell r="A151" t="str">
            <v>Best Case</v>
          </cell>
          <cell r="M151">
            <v>1407</v>
          </cell>
          <cell r="N151">
            <v>1477.3500000000001</v>
          </cell>
          <cell r="O151">
            <v>1551.2175000000002</v>
          </cell>
          <cell r="P151">
            <v>1628.7783750000003</v>
          </cell>
          <cell r="Q151">
            <v>1710.2172937500004</v>
          </cell>
        </row>
        <row r="152">
          <cell r="A152" t="str">
            <v>Worst Case</v>
          </cell>
          <cell r="M152">
            <v>1366.8</v>
          </cell>
          <cell r="N152">
            <v>1394.136</v>
          </cell>
          <cell r="O152">
            <v>1422.01872</v>
          </cell>
          <cell r="P152">
            <v>1450.4590944000001</v>
          </cell>
          <cell r="Q152">
            <v>1479.4682762880002</v>
          </cell>
        </row>
        <row r="153">
          <cell r="A153" t="str">
            <v>Change</v>
          </cell>
          <cell r="C153">
            <v>6.9008782936009982E-2</v>
          </cell>
          <cell r="D153">
            <v>-9.6244131455399007E-2</v>
          </cell>
          <cell r="E153">
            <v>0.16363636363636358</v>
          </cell>
          <cell r="F153">
            <v>0.1707589285714286</v>
          </cell>
          <cell r="G153">
            <v>0.18207816968541457</v>
          </cell>
          <cell r="H153">
            <v>3.1451612903225845E-2</v>
          </cell>
          <cell r="I153">
            <v>0.11649726348709932</v>
          </cell>
          <cell r="J153">
            <v>-8.4033613445377853E-3</v>
          </cell>
          <cell r="K153">
            <v>-5.3672316384180796E-2</v>
          </cell>
          <cell r="L153">
            <v>4.7014925373134231E-2</v>
          </cell>
        </row>
        <row r="154">
          <cell r="A154" t="str">
            <v>Best Case Change</v>
          </cell>
          <cell r="K154">
            <v>-5.3672316384180796E-2</v>
          </cell>
          <cell r="L154">
            <v>4.7014925373134231E-2</v>
          </cell>
          <cell r="M154">
            <v>5.0000000000000044E-2</v>
          </cell>
          <cell r="N154">
            <v>5.0000000000000044E-2</v>
          </cell>
          <cell r="O154">
            <v>5.0000000000000044E-2</v>
          </cell>
          <cell r="P154">
            <v>5.0000000000000044E-2</v>
          </cell>
          <cell r="Q154">
            <v>5.0000000000000044E-2</v>
          </cell>
        </row>
        <row r="155">
          <cell r="A155" t="str">
            <v>Worst Case Change</v>
          </cell>
          <cell r="K155">
            <v>-5.3672316384180796E-2</v>
          </cell>
          <cell r="L155">
            <v>4.7014925373134231E-2</v>
          </cell>
          <cell r="M155">
            <v>2.0000000000000018E-2</v>
          </cell>
          <cell r="N155">
            <v>2.0000000000000018E-2</v>
          </cell>
          <cell r="O155">
            <v>2.0000000000000018E-2</v>
          </cell>
          <cell r="P155">
            <v>2.0000000000000018E-2</v>
          </cell>
          <cell r="Q155">
            <v>2.0000000000000018E-2</v>
          </cell>
        </row>
      </sheetData>
      <sheetData sheetId="6"/>
      <sheetData sheetId="9"/>
      <sheetData sheetId="11"/>
      <sheetData sheetId="12"/>
      <sheetData sheetId="13"/>
      <sheetData sheetId="19"/>
      <sheetData sheetId="20"/>
      <sheetData sheetId="24"/>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Q16" sqref="Q16"/>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40" t="s">
        <v>61</v>
      </c>
      <c r="B1" s="140"/>
      <c r="C1" s="140"/>
      <c r="D1" s="140"/>
      <c r="E1" s="140"/>
      <c r="F1" s="140"/>
      <c r="G1" s="140"/>
      <c r="I1" s="149" t="s">
        <v>51</v>
      </c>
      <c r="J1" s="150"/>
      <c r="K1" s="91" t="s">
        <v>58</v>
      </c>
      <c r="L1" s="63" t="s">
        <v>108</v>
      </c>
    </row>
    <row r="2" spans="1:13">
      <c r="A2" s="51" t="s">
        <v>191</v>
      </c>
      <c r="B2" s="44" t="s">
        <v>192</v>
      </c>
      <c r="C2" s="98" t="str">
        <f>A2&amp;" ("&amp;ticker&amp;")"</f>
        <v>Union Pacific (UNP)</v>
      </c>
      <c r="E2" s="3" t="s">
        <v>57</v>
      </c>
      <c r="F2" s="3"/>
      <c r="G2" s="50">
        <v>128</v>
      </c>
      <c r="I2" s="145" t="str">
        <f>(ROUND(AVERAGE(C9:G9)*100,0)&amp;"% | "&amp;ROUND(AVERAGE(C11:G11)*100,0)&amp;"% | "&amp;ROUND(C18*100,0)&amp;"%")</f>
        <v>2% | 24% | 2%</v>
      </c>
      <c r="J2" s="146"/>
      <c r="K2" s="92">
        <f ca="1">TRUNC(Scenario1)+B13/G4</f>
        <v>74</v>
      </c>
      <c r="L2" s="94" t="s">
        <v>53</v>
      </c>
      <c r="M2" s="45"/>
    </row>
    <row r="3" spans="1:13">
      <c r="A3" t="s">
        <v>0</v>
      </c>
      <c r="B3" s="13">
        <v>43100</v>
      </c>
      <c r="E3" t="s">
        <v>60</v>
      </c>
      <c r="G3" s="31">
        <f>'Company Analysis'!K3</f>
        <v>21240</v>
      </c>
      <c r="I3" s="145" t="str">
        <f>(ROUND(AVERAGE(C9:G9)*100,0)&amp;"% | "&amp;ROUND(AVERAGE(C11:G11)*100,0)&amp;"% | "&amp;ROUND(C17*100,0)&amp;"%")</f>
        <v>2% | 24% | 10%</v>
      </c>
      <c r="J3" s="146"/>
      <c r="K3" s="92">
        <f ca="1">TRUNC(Scenario2)+B13/G4</f>
        <v>98</v>
      </c>
      <c r="L3" s="94" t="s">
        <v>53</v>
      </c>
      <c r="M3" s="46"/>
    </row>
    <row r="4" spans="1:13" ht="14.65" thickBot="1">
      <c r="A4" s="68" t="s">
        <v>1</v>
      </c>
      <c r="B4" s="52">
        <v>0.1</v>
      </c>
      <c r="C4" s="12"/>
      <c r="D4" s="12"/>
      <c r="E4" s="12" t="s">
        <v>6</v>
      </c>
      <c r="F4" s="12"/>
      <c r="G4" s="53">
        <v>779.30527600000005</v>
      </c>
      <c r="I4" s="145" t="str">
        <f>(ROUND(AVERAGE(C9:G9)*100,0)&amp;"% | "&amp;ROUND(AVERAGE(C10:G10)*100,0)&amp;"% | "&amp;ROUND(C18*100,0)&amp;"%")</f>
        <v>2% | 26% | 2%</v>
      </c>
      <c r="J4" s="146"/>
      <c r="K4" s="92">
        <f ca="1">TRUNC(Scenario3)+B13/G4</f>
        <v>80</v>
      </c>
      <c r="L4" s="95" t="s">
        <v>244</v>
      </c>
      <c r="M4" s="47"/>
    </row>
    <row r="5" spans="1:13">
      <c r="B5" s="2"/>
      <c r="I5" s="145" t="str">
        <f>(ROUND(AVERAGE(C9:G9)*100,0)&amp;"% | "&amp;ROUND(AVERAGE(C10:G10)*100,0)&amp;"% | "&amp;ROUND(C17*100,0)&amp;"%")</f>
        <v>2% | 26% | 10%</v>
      </c>
      <c r="J5" s="146"/>
      <c r="K5" s="92">
        <f ca="1">TRUNC(Scenario4)+B13/G4</f>
        <v>106</v>
      </c>
      <c r="L5" s="95" t="s">
        <v>53</v>
      </c>
      <c r="M5" s="47"/>
    </row>
    <row r="6" spans="1:13" s="9" customFormat="1" ht="14.65" thickBot="1">
      <c r="A6" s="140" t="s">
        <v>96</v>
      </c>
      <c r="B6" s="140"/>
      <c r="C6" s="140"/>
      <c r="D6" s="140"/>
      <c r="E6" s="140"/>
      <c r="F6" s="140"/>
      <c r="G6" s="140"/>
      <c r="H6" s="8"/>
      <c r="I6" s="145" t="str">
        <f>(ROUND(AVERAGE(C8:G8)*100,0)&amp;"% | "&amp;ROUND(AVERAGE(C11:G11)*100,0)&amp;"% | "&amp;ROUND(C18*100,0)&amp;"%")</f>
        <v>7% | 24% | 2%</v>
      </c>
      <c r="J6" s="146"/>
      <c r="K6" s="92">
        <f ca="1">TRUNC(Scenario5)+B13/G4</f>
        <v>95</v>
      </c>
      <c r="L6" s="94" t="s">
        <v>53</v>
      </c>
      <c r="M6" s="48"/>
    </row>
    <row r="7" spans="1:13">
      <c r="A7" s="7"/>
      <c r="B7" s="7" t="s">
        <v>2</v>
      </c>
      <c r="C7" s="40">
        <v>1</v>
      </c>
      <c r="D7" s="40">
        <v>2</v>
      </c>
      <c r="E7" s="40">
        <v>3</v>
      </c>
      <c r="F7" s="40">
        <v>4</v>
      </c>
      <c r="G7" s="40">
        <v>5</v>
      </c>
      <c r="I7" s="145" t="str">
        <f>(ROUND(AVERAGE(C8:G8)*100,0)&amp;"% | "&amp;ROUND(AVERAGE(C11:G11)*100,0)&amp;"% | "&amp;ROUND(C17*100,0)&amp;"%")</f>
        <v>7% | 24% | 10%</v>
      </c>
      <c r="J7" s="146"/>
      <c r="K7" s="92">
        <f ca="1">TRUNC(Scenario6)+B13/G4</f>
        <v>127</v>
      </c>
      <c r="L7" s="96" t="s">
        <v>53</v>
      </c>
    </row>
    <row r="8" spans="1:13">
      <c r="A8" s="143" t="s">
        <v>5</v>
      </c>
      <c r="B8" s="22" t="s">
        <v>3</v>
      </c>
      <c r="C8" s="23">
        <f>'Revenue Model'!M84</f>
        <v>8.6095960492246215E-2</v>
      </c>
      <c r="D8" s="23">
        <f>'Revenue Model'!N84</f>
        <v>0.11322891775892208</v>
      </c>
      <c r="E8" s="23">
        <f>'Revenue Model'!O84</f>
        <v>5.4855203972201227E-2</v>
      </c>
      <c r="F8" s="23">
        <f>'Revenue Model'!P84</f>
        <v>6.7954711099776244E-2</v>
      </c>
      <c r="G8" s="23">
        <f>'Revenue Model'!Q84</f>
        <v>4.9777585794257062E-2</v>
      </c>
      <c r="I8" s="145" t="str">
        <f>(ROUND(AVERAGE(C8:G8)*100,0)&amp;"% | "&amp;ROUND(AVERAGE(C10:G10)*100,0)&amp;"% | "&amp;ROUND(C18*100,0)&amp;"%")</f>
        <v>7% | 26% | 2%</v>
      </c>
      <c r="J8" s="146"/>
      <c r="K8" s="92">
        <f ca="1">TRUNC(Scenario7)+B13/G4</f>
        <v>103</v>
      </c>
      <c r="L8" s="96" t="s">
        <v>244</v>
      </c>
    </row>
    <row r="9" spans="1:13">
      <c r="A9" s="144"/>
      <c r="B9" s="14" t="s">
        <v>4</v>
      </c>
      <c r="C9" s="24">
        <f>'Revenue Model'!M101</f>
        <v>4.05988600901801E-2</v>
      </c>
      <c r="D9" s="24">
        <f>'Revenue Model'!N101</f>
        <v>2.7374837788666895E-2</v>
      </c>
      <c r="E9" s="24">
        <f>'Revenue Model'!O101</f>
        <v>1.8306855750704898E-3</v>
      </c>
      <c r="F9" s="24">
        <f>'Revenue Model'!P101</f>
        <v>2.7379426064548795E-3</v>
      </c>
      <c r="G9" s="24">
        <f>'Revenue Model'!Q101</f>
        <v>3.6025080793575803E-3</v>
      </c>
      <c r="I9" s="147" t="str">
        <f>(ROUND(AVERAGE(C8:G8)*100,0)&amp;"% | "&amp;ROUND(AVERAGE(C10:G10)*100,0)&amp;"% | "&amp;ROUND(C17*100,0)&amp;"%")</f>
        <v>7% | 26% | 10%</v>
      </c>
      <c r="J9" s="148"/>
      <c r="K9" s="93">
        <f ca="1">TRUNC(Scenario8)+B13/G4</f>
        <v>138</v>
      </c>
      <c r="L9" s="97" t="s">
        <v>53</v>
      </c>
    </row>
    <row r="10" spans="1:13">
      <c r="A10" s="141" t="s">
        <v>124</v>
      </c>
      <c r="B10" s="22" t="s">
        <v>3</v>
      </c>
      <c r="C10" s="138">
        <v>0.25</v>
      </c>
      <c r="D10" s="138">
        <v>0.25</v>
      </c>
      <c r="E10" s="138">
        <v>0.26</v>
      </c>
      <c r="F10" s="138">
        <v>0.26</v>
      </c>
      <c r="G10" s="138">
        <v>0.26</v>
      </c>
    </row>
    <row r="11" spans="1:13">
      <c r="A11" s="142"/>
      <c r="B11" s="14" t="s">
        <v>4</v>
      </c>
      <c r="C11" s="139">
        <v>0.23</v>
      </c>
      <c r="D11" s="139">
        <v>0.23</v>
      </c>
      <c r="E11" s="139">
        <v>0.24</v>
      </c>
      <c r="F11" s="139">
        <v>0.24</v>
      </c>
      <c r="G11" s="139">
        <v>0.24</v>
      </c>
      <c r="I11" s="151" t="str">
        <f>A2&amp;" ("&amp;B2&amp;")"</f>
        <v>Union Pacific (UNP)</v>
      </c>
      <c r="J11" s="152"/>
      <c r="K11" s="152"/>
      <c r="L11" s="153"/>
    </row>
    <row r="12" spans="1:13">
      <c r="A12" s="1" t="s">
        <v>62</v>
      </c>
      <c r="B12" s="14"/>
      <c r="C12" s="25">
        <v>0.15</v>
      </c>
      <c r="D12" s="25">
        <v>0.25</v>
      </c>
      <c r="E12" s="25">
        <v>0.25</v>
      </c>
      <c r="F12" s="25">
        <v>0.25</v>
      </c>
      <c r="G12" s="25">
        <v>0.3</v>
      </c>
      <c r="I12" s="154" t="str">
        <f ca="1">"$"&amp;ROUND(F21/G4,0)&amp;" Scenario"</f>
        <v>$81 Scenario</v>
      </c>
      <c r="J12" s="155"/>
      <c r="K12" s="155"/>
      <c r="L12" s="156"/>
    </row>
    <row r="13" spans="1:13">
      <c r="A13" s="67" t="s">
        <v>10</v>
      </c>
      <c r="B13" s="26">
        <v>0</v>
      </c>
      <c r="I13" s="73" t="s">
        <v>16</v>
      </c>
      <c r="K13" s="74"/>
      <c r="L13" s="65" t="s">
        <v>4</v>
      </c>
    </row>
    <row r="14" spans="1:13">
      <c r="B14" s="2"/>
      <c r="I14" s="71" t="s">
        <v>17</v>
      </c>
      <c r="K14" s="72"/>
      <c r="L14" s="65" t="s">
        <v>3</v>
      </c>
    </row>
    <row r="15" spans="1:13" ht="14.65" thickBot="1">
      <c r="A15" s="140" t="s">
        <v>97</v>
      </c>
      <c r="B15" s="140"/>
      <c r="C15" s="140"/>
      <c r="D15" s="3"/>
      <c r="E15" s="140" t="s">
        <v>98</v>
      </c>
      <c r="F15" s="140"/>
      <c r="G15" s="140"/>
      <c r="I15" s="75" t="s">
        <v>118</v>
      </c>
      <c r="J15" s="76"/>
      <c r="K15" s="76"/>
      <c r="L15" s="66" t="s">
        <v>4</v>
      </c>
    </row>
    <row r="16" spans="1:13">
      <c r="A16" s="67" t="s">
        <v>11</v>
      </c>
      <c r="B16" s="27">
        <v>5</v>
      </c>
      <c r="C16" t="s">
        <v>12</v>
      </c>
      <c r="E16" s="28" t="s">
        <v>14</v>
      </c>
      <c r="G16" s="32">
        <v>2.5000000000000001E-2</v>
      </c>
      <c r="I16" s="49" t="s">
        <v>117</v>
      </c>
      <c r="K16" s="3"/>
      <c r="L16" s="57">
        <f>(F26/G3)^0.2-1</f>
        <v>1.5105445166472053E-2</v>
      </c>
    </row>
    <row r="17" spans="1:12">
      <c r="A17" s="161" t="s">
        <v>59</v>
      </c>
      <c r="B17" s="21" t="s">
        <v>3</v>
      </c>
      <c r="C17" s="23">
        <v>0.1</v>
      </c>
      <c r="D17" s="37">
        <f>IF(C17=B$4,C17-0.0001,C17)</f>
        <v>9.9900000000000003E-2</v>
      </c>
      <c r="E17" s="28" t="s">
        <v>15</v>
      </c>
      <c r="G17" s="32">
        <v>2.5000000000000001E-2</v>
      </c>
      <c r="I17" s="71" t="s">
        <v>116</v>
      </c>
      <c r="K17" s="72"/>
      <c r="L17" s="54">
        <f>SUM(B29:F29)/SUM(B26:F26)</f>
        <v>0.19428371416184179</v>
      </c>
    </row>
    <row r="18" spans="1:12">
      <c r="A18" s="162"/>
      <c r="B18" s="15" t="s">
        <v>4</v>
      </c>
      <c r="C18" s="24">
        <v>0.02</v>
      </c>
      <c r="D18" s="37">
        <f>IF(C18=B$4,C18-0.0001,C18)</f>
        <v>0.02</v>
      </c>
      <c r="G18" s="11"/>
      <c r="I18" s="75" t="s">
        <v>119</v>
      </c>
      <c r="K18" s="28"/>
      <c r="L18" s="56">
        <f ca="1">(F21/G4)/G2-1</f>
        <v>-0.36844957628704178</v>
      </c>
    </row>
    <row r="19" spans="1:12">
      <c r="C19" s="3"/>
      <c r="D19" s="3"/>
      <c r="E19" s="3"/>
      <c r="F19" s="3"/>
      <c r="J19" s="55"/>
      <c r="K19" s="55"/>
      <c r="L19" s="55"/>
    </row>
    <row r="20" spans="1:12" ht="14.65" thickBot="1">
      <c r="A20" s="59" t="s">
        <v>7</v>
      </c>
      <c r="B20" s="64" t="s">
        <v>92</v>
      </c>
      <c r="C20" s="64" t="s">
        <v>93</v>
      </c>
      <c r="D20" s="64" t="s">
        <v>94</v>
      </c>
      <c r="E20" s="64" t="s">
        <v>95</v>
      </c>
      <c r="F20" s="64" t="s">
        <v>8</v>
      </c>
      <c r="I20" s="157" t="s">
        <v>123</v>
      </c>
      <c r="J20" s="158"/>
      <c r="K20" s="158"/>
      <c r="L20" s="159"/>
    </row>
    <row r="21" spans="1:12">
      <c r="A21" s="16" t="s">
        <v>13</v>
      </c>
      <c r="B21" s="17">
        <f ca="1">SUM(B43:F43)</f>
        <v>16731.892016897593</v>
      </c>
      <c r="C21" s="17">
        <f ca="1">B54*F43</f>
        <v>10255.608045804793</v>
      </c>
      <c r="D21" s="17">
        <f ca="1">B51*B50</f>
        <v>36010.333826519229</v>
      </c>
      <c r="E21" s="17">
        <f>B13</f>
        <v>0</v>
      </c>
      <c r="F21" s="17">
        <f ca="1">B21+C21+D21+E21</f>
        <v>62997.833889221612</v>
      </c>
      <c r="I21" s="101"/>
      <c r="J21" s="102"/>
      <c r="K21" s="69" t="s">
        <v>120</v>
      </c>
      <c r="L21" s="70" t="s">
        <v>121</v>
      </c>
    </row>
    <row r="22" spans="1:12">
      <c r="A22" s="16" t="s">
        <v>9</v>
      </c>
      <c r="B22" s="60">
        <f ca="1">IFERROR(B21/$F21,"")</f>
        <v>0.26559471943622298</v>
      </c>
      <c r="C22" s="60">
        <f ca="1">IFERROR(C21/$F21,"")</f>
        <v>0.16279302656403619</v>
      </c>
      <c r="D22" s="60">
        <f ca="1">IFERROR(D21/$F21,"")</f>
        <v>0.57161225399974092</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43465</v>
      </c>
      <c r="C25" s="33">
        <f t="shared" ref="C25:F25" si="0">DATE(YEAR($B$3)+C24,MONTH($B$3),DAY($B$3))</f>
        <v>43830</v>
      </c>
      <c r="D25" s="33">
        <f t="shared" si="0"/>
        <v>44196</v>
      </c>
      <c r="E25" s="33">
        <f t="shared" si="0"/>
        <v>44561</v>
      </c>
      <c r="F25" s="33">
        <f t="shared" si="0"/>
        <v>44926</v>
      </c>
      <c r="I25" s="9" t="s">
        <v>57</v>
      </c>
      <c r="L25" s="9">
        <v>26.29</v>
      </c>
    </row>
    <row r="26" spans="1:12" hidden="1">
      <c r="A26" t="s">
        <v>37</v>
      </c>
      <c r="B26" s="30">
        <f>(CHOOSE($B36,C8,C9)+1)*G3</f>
        <v>22102.319788315424</v>
      </c>
      <c r="C26" s="30">
        <f>(CHOOSE($B36,D8,D9)+1)*B26</f>
        <v>22707.367207273801</v>
      </c>
      <c r="D26" s="30">
        <f>(CHOOSE($B36,E8,E9)+1)*C26</f>
        <v>22748.937256867986</v>
      </c>
      <c r="E26" s="30">
        <f>(CHOOSE($B36,F8,F9)+1)*D26</f>
        <v>22811.222541435134</v>
      </c>
      <c r="F26" s="30">
        <f>(CHOOSE($B36,G8,G9)+1)*E26</f>
        <v>22893.400154940678</v>
      </c>
    </row>
    <row r="27" spans="1:12" hidden="1">
      <c r="A27" t="s">
        <v>71</v>
      </c>
      <c r="B27" s="58">
        <f>CHOOSE($B37,C10,C11)*B26</f>
        <v>5525.5799470788561</v>
      </c>
      <c r="C27" s="5">
        <f>CHOOSE($B37,D10,D11)*C26</f>
        <v>5676.8418018184502</v>
      </c>
      <c r="D27" s="5">
        <f>CHOOSE($B37,E10,E11)*D26</f>
        <v>5914.7236867856764</v>
      </c>
      <c r="E27" s="5">
        <f>CHOOSE($B37,F10,F11)*E26</f>
        <v>5930.9178607731355</v>
      </c>
      <c r="F27" s="5">
        <f>CHOOSE($B37,G10,G11)*F26</f>
        <v>5952.2840402845768</v>
      </c>
    </row>
    <row r="28" spans="1:12" hidden="1">
      <c r="A28" t="s">
        <v>72</v>
      </c>
      <c r="B28" s="58">
        <f>-C12*B27</f>
        <v>-828.83699206182837</v>
      </c>
      <c r="C28" s="58">
        <f t="shared" ref="C28:E28" si="1">-D12*C27</f>
        <v>-1419.2104504546126</v>
      </c>
      <c r="D28" s="58">
        <f t="shared" si="1"/>
        <v>-1478.6809216964191</v>
      </c>
      <c r="E28" s="58">
        <f t="shared" si="1"/>
        <v>-1482.7294651932839</v>
      </c>
      <c r="F28" s="58">
        <f>-G12*F27</f>
        <v>-1785.685212085373</v>
      </c>
    </row>
    <row r="29" spans="1:12" ht="14.65" hidden="1" thickBot="1">
      <c r="A29" t="s">
        <v>73</v>
      </c>
      <c r="B29" s="4">
        <f>B27+B28</f>
        <v>4696.7429550170273</v>
      </c>
      <c r="C29" s="4">
        <f>C27+C28</f>
        <v>4257.6313513638379</v>
      </c>
      <c r="D29" s="4">
        <f>D27+D28</f>
        <v>4436.042765089257</v>
      </c>
      <c r="E29" s="4">
        <f>E27+E28</f>
        <v>4448.1883955798512</v>
      </c>
      <c r="F29" s="4">
        <f>F27+F28</f>
        <v>4166.598828199204</v>
      </c>
    </row>
    <row r="30" spans="1:12" ht="14.6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0" t="s">
        <v>35</v>
      </c>
      <c r="B41" s="160"/>
      <c r="C41" s="160"/>
      <c r="D41" s="160"/>
      <c r="E41" s="160"/>
      <c r="F41" s="160"/>
    </row>
    <row r="42" spans="1:16" hidden="1">
      <c r="A42" t="s">
        <v>21</v>
      </c>
      <c r="B42" s="19">
        <f ca="1">B25-TODAY()</f>
        <v>321</v>
      </c>
      <c r="C42" s="19">
        <f ca="1">C25-TODAY()</f>
        <v>686</v>
      </c>
      <c r="D42" s="19">
        <f ca="1">D25-TODAY()</f>
        <v>1052</v>
      </c>
      <c r="E42" s="19">
        <f ca="1">E25-TODAY()</f>
        <v>1417</v>
      </c>
      <c r="F42" s="19">
        <f ca="1">F25-TODAY()</f>
        <v>1782</v>
      </c>
      <c r="P42" s="38"/>
    </row>
    <row r="43" spans="1:16" hidden="1">
      <c r="A43" t="s">
        <v>22</v>
      </c>
      <c r="B43" s="17">
        <f ca="1">B29*EXP(-$B$4*B42/365.25)</f>
        <v>4301.5880562547345</v>
      </c>
      <c r="C43" s="17">
        <f ca="1">C29*EXP(-$B$4*C42/365.25)</f>
        <v>3528.5831655436377</v>
      </c>
      <c r="D43" s="17">
        <f ca="1">D29*EXP(-$B$4*D42/365.25)</f>
        <v>3325.9016394166511</v>
      </c>
      <c r="E43" s="17">
        <f ca="1">E29*EXP(-$B$4*E42/365.25)</f>
        <v>3017.8463704788364</v>
      </c>
      <c r="F43" s="17">
        <f ca="1">F29*EXP(-$B$4*F42/365.25)</f>
        <v>2557.9727852037336</v>
      </c>
      <c r="O43" s="39"/>
    </row>
    <row r="44" spans="1:16" hidden="1"/>
    <row r="45" spans="1:16" hidden="1">
      <c r="A45" s="6" t="s">
        <v>26</v>
      </c>
      <c r="B45">
        <f>MONTH(B3)</f>
        <v>12</v>
      </c>
    </row>
    <row r="46" spans="1:16" hidden="1">
      <c r="A46" s="6" t="s">
        <v>27</v>
      </c>
      <c r="B46">
        <f>DAY(B3)</f>
        <v>31</v>
      </c>
    </row>
    <row r="47" spans="1:16" hidden="1">
      <c r="A47" s="6" t="s">
        <v>23</v>
      </c>
      <c r="B47">
        <f>YEAR(F25)+B16</f>
        <v>2027</v>
      </c>
    </row>
    <row r="48" spans="1:16" hidden="1">
      <c r="A48" s="6" t="s">
        <v>28</v>
      </c>
      <c r="B48">
        <f ca="1">DATE(B47,B45,B46)-TODAY()</f>
        <v>3608</v>
      </c>
      <c r="C48" s="34"/>
    </row>
    <row r="49" spans="1:7" hidden="1">
      <c r="A49" s="6" t="s">
        <v>24</v>
      </c>
      <c r="B49" s="17">
        <f>F29*EXP(CHOOSE(B38,C17,C18)*B16)</f>
        <v>4604.8038522138322</v>
      </c>
    </row>
    <row r="50" spans="1:7" hidden="1">
      <c r="A50" s="6" t="s">
        <v>29</v>
      </c>
      <c r="B50" s="17">
        <f ca="1">B49*EXP(-B4*B48/365.25)</f>
        <v>1714.7778012628203</v>
      </c>
    </row>
    <row r="51" spans="1:7" hidden="1">
      <c r="A51" s="6" t="s">
        <v>31</v>
      </c>
      <c r="B51" s="17">
        <f>(1+SUM(G16,G17))/(B4-SUM(G16,G17))</f>
        <v>21</v>
      </c>
    </row>
    <row r="52" spans="1:7" hidden="1">
      <c r="A52" s="6" t="s">
        <v>32</v>
      </c>
      <c r="B52" s="18">
        <f>(1+CHOOSE(B38,D17,D18))/(B4-(CHOOSE(B38,D17,D18)))</f>
        <v>12.75</v>
      </c>
      <c r="F52" s="38"/>
    </row>
    <row r="53" spans="1:7" hidden="1">
      <c r="A53" s="6" t="s">
        <v>33</v>
      </c>
      <c r="B53" s="38">
        <f>1-(((1+CHOOSE(B38,D17,D18))/(1+B4))^B16)</f>
        <v>0.31445268691284145</v>
      </c>
      <c r="F53" s="39"/>
    </row>
    <row r="54" spans="1:7" hidden="1">
      <c r="A54" s="6" t="s">
        <v>30</v>
      </c>
      <c r="B54" s="36">
        <f>B52*B53</f>
        <v>4.0092717581387287</v>
      </c>
    </row>
    <row r="55" spans="1:7" hidden="1"/>
    <row r="56" spans="1:7" hidden="1"/>
    <row r="57" spans="1:7" hidden="1">
      <c r="A57" s="41" t="s">
        <v>36</v>
      </c>
    </row>
    <row r="58" spans="1:7" hidden="1">
      <c r="A58" t="s">
        <v>37</v>
      </c>
      <c r="B58" s="18">
        <f>$G$3*(1+C$9)</f>
        <v>22102.319788315424</v>
      </c>
      <c r="C58" s="18">
        <f>B58*(1+D$9)</f>
        <v>22707.367207273801</v>
      </c>
      <c r="D58" s="18">
        <f>C58*(1+E$9)</f>
        <v>22748.937256867986</v>
      </c>
      <c r="E58" s="18">
        <f>D58*(1+F$9)</f>
        <v>22811.222541435134</v>
      </c>
      <c r="F58" s="18">
        <f>E58*(1+G$9)</f>
        <v>22893.400154940678</v>
      </c>
    </row>
    <row r="59" spans="1:7" hidden="1">
      <c r="A59" t="s">
        <v>38</v>
      </c>
      <c r="B59" s="18">
        <f>B58*C$11</f>
        <v>5083.5335513125474</v>
      </c>
      <c r="C59" s="18">
        <f>C58*D$11</f>
        <v>5222.6944576729747</v>
      </c>
      <c r="D59" s="18">
        <f>D58*E$11</f>
        <v>5459.7449416483169</v>
      </c>
      <c r="E59" s="18">
        <f>E58*F$11</f>
        <v>5474.6934099444316</v>
      </c>
      <c r="F59" s="18">
        <f>F58*G$11</f>
        <v>5494.4160371857624</v>
      </c>
    </row>
    <row r="60" spans="1:7" hidden="1">
      <c r="B60" s="20">
        <f>B59/B58</f>
        <v>0.22999999999999998</v>
      </c>
      <c r="C60" s="20">
        <f>C59/C58</f>
        <v>0.23000000000000004</v>
      </c>
      <c r="D60" s="20">
        <f>D59/D58</f>
        <v>0.24</v>
      </c>
      <c r="E60" s="20">
        <f>E59/E58</f>
        <v>0.23999999999999996</v>
      </c>
      <c r="F60" s="20">
        <f>F59/F58</f>
        <v>0.24</v>
      </c>
    </row>
    <row r="61" spans="1:7" hidden="1">
      <c r="A61" t="s">
        <v>39</v>
      </c>
      <c r="B61" s="38">
        <f t="shared" ref="B61:E61" si="2">B59-(C$12*B59)</f>
        <v>4321.0035186156656</v>
      </c>
      <c r="C61" s="38">
        <f t="shared" si="2"/>
        <v>3917.0208432547311</v>
      </c>
      <c r="D61" s="38">
        <f t="shared" si="2"/>
        <v>4094.8087062362374</v>
      </c>
      <c r="E61" s="38">
        <f t="shared" si="2"/>
        <v>4106.0200574583232</v>
      </c>
      <c r="F61" s="38">
        <f>F59-(G$12*F59)</f>
        <v>3846.0912260300338</v>
      </c>
    </row>
    <row r="62" spans="1:7" hidden="1">
      <c r="A62" t="s">
        <v>42</v>
      </c>
      <c r="B62" s="18">
        <f ca="1">B61*EXP(-$B$4*B$42/365.25)</f>
        <v>3957.4610117543562</v>
      </c>
      <c r="C62" s="18">
        <f ca="1">C61*EXP(-$B$4*C$42/365.25)</f>
        <v>3246.2965123001468</v>
      </c>
      <c r="D62" s="18">
        <f ca="1">D61*EXP(-$B$4*D$42/365.25)</f>
        <v>3070.0630517692166</v>
      </c>
      <c r="E62" s="18">
        <f ca="1">E61*EXP(-$B$4*E$42/365.25)</f>
        <v>2785.7043419804636</v>
      </c>
      <c r="F62" s="18">
        <f ca="1">F61*EXP(-$B$4*F$42/365.25)</f>
        <v>2361.2056478803693</v>
      </c>
      <c r="G62" s="18">
        <f ca="1">SUM(B62:F62)</f>
        <v>15420.730565684553</v>
      </c>
    </row>
    <row r="63" spans="1:7" hidden="1">
      <c r="A63" t="s">
        <v>41</v>
      </c>
      <c r="F63" s="38">
        <f>((1+$D$18)/($B$4-$D$18)*(1-(((1+$D$18)/(1+$B$4))^$B$16)))</f>
        <v>4.0092717581387287</v>
      </c>
      <c r="G63" s="18">
        <f ca="1">F63*F62</f>
        <v>9466.7151192044239</v>
      </c>
    </row>
    <row r="64" spans="1:7" hidden="1">
      <c r="A64" t="s">
        <v>40</v>
      </c>
      <c r="B64" s="38"/>
      <c r="F64" s="18">
        <f>F61*EXP($C$18*$B$16)</f>
        <v>4250.5881712743058</v>
      </c>
    </row>
    <row r="65" spans="1:7" hidden="1">
      <c r="A65" t="s">
        <v>43</v>
      </c>
      <c r="F65" s="18">
        <f ca="1">F64*EXP(-$B$4*B$48/365.25)</f>
        <v>1582.8718165502953</v>
      </c>
      <c r="G65" s="42">
        <f ca="1">F65*B$51</f>
        <v>33240.308147556199</v>
      </c>
    </row>
    <row r="66" spans="1:7" hidden="1">
      <c r="A66" t="s">
        <v>44</v>
      </c>
      <c r="G66" s="18">
        <f ca="1">SUM(G62:G63,G65)</f>
        <v>58127.753832445174</v>
      </c>
    </row>
    <row r="67" spans="1:7" hidden="1">
      <c r="A67" t="s">
        <v>25</v>
      </c>
      <c r="G67" s="43">
        <f ca="1">G66/$G$4</f>
        <v>74.589195816563631</v>
      </c>
    </row>
    <row r="68" spans="1:7" hidden="1">
      <c r="G68" s="38"/>
    </row>
    <row r="69" spans="1:7" hidden="1">
      <c r="A69" s="41" t="s">
        <v>45</v>
      </c>
    </row>
    <row r="70" spans="1:7" hidden="1">
      <c r="A70" t="s">
        <v>37</v>
      </c>
      <c r="B70" s="18">
        <f>$G$3*(1+C$9)</f>
        <v>22102.319788315424</v>
      </c>
      <c r="C70" s="18">
        <f>B70*(1+D$9)</f>
        <v>22707.367207273801</v>
      </c>
      <c r="D70" s="18">
        <f>C70*(1+E$9)</f>
        <v>22748.937256867986</v>
      </c>
      <c r="E70" s="18">
        <f>D70*(1+F$9)</f>
        <v>22811.222541435134</v>
      </c>
      <c r="F70" s="18">
        <f>E70*(1+G$9)</f>
        <v>22893.400154940678</v>
      </c>
    </row>
    <row r="71" spans="1:7" hidden="1">
      <c r="A71" t="s">
        <v>38</v>
      </c>
      <c r="B71" s="18">
        <f>B70*C$11</f>
        <v>5083.5335513125474</v>
      </c>
      <c r="C71" s="18">
        <f>C70*D$11</f>
        <v>5222.6944576729747</v>
      </c>
      <c r="D71" s="18">
        <f>D70*E$11</f>
        <v>5459.7449416483169</v>
      </c>
      <c r="E71" s="18">
        <f>E70*F$11</f>
        <v>5474.6934099444316</v>
      </c>
      <c r="F71" s="18">
        <f>F70*G$11</f>
        <v>5494.4160371857624</v>
      </c>
    </row>
    <row r="72" spans="1:7" hidden="1">
      <c r="A72" t="s">
        <v>39</v>
      </c>
      <c r="B72" s="38">
        <f t="shared" ref="B72:E72" si="3">B71-(C$12*B71)</f>
        <v>4321.0035186156656</v>
      </c>
      <c r="C72" s="38">
        <f t="shared" si="3"/>
        <v>3917.0208432547311</v>
      </c>
      <c r="D72" s="38">
        <f t="shared" si="3"/>
        <v>4094.8087062362374</v>
      </c>
      <c r="E72" s="38">
        <f t="shared" si="3"/>
        <v>4106.0200574583232</v>
      </c>
      <c r="F72" s="38">
        <f>F71-(G$12*F71)</f>
        <v>3846.0912260300338</v>
      </c>
    </row>
    <row r="73" spans="1:7" hidden="1">
      <c r="A73" t="s">
        <v>42</v>
      </c>
      <c r="B73" s="18">
        <f ca="1">B72*EXP(-$B$4*B$42/365.25)</f>
        <v>3957.4610117543562</v>
      </c>
      <c r="C73" s="18">
        <f ca="1">C72*EXP(-$B$4*C$42/365.25)</f>
        <v>3246.2965123001468</v>
      </c>
      <c r="D73" s="18">
        <f ca="1">D72*EXP(-$B$4*D$42/365.25)</f>
        <v>3070.0630517692166</v>
      </c>
      <c r="E73" s="18">
        <f ca="1">E72*EXP(-$B$4*E$42/365.25)</f>
        <v>2785.7043419804636</v>
      </c>
      <c r="F73" s="18">
        <f ca="1">F72*EXP(-$B$4*F$42/365.25)</f>
        <v>2361.2056478803693</v>
      </c>
      <c r="G73" s="18">
        <f ca="1">SUM(B73:F73)</f>
        <v>15420.730565684553</v>
      </c>
    </row>
    <row r="74" spans="1:7" hidden="1">
      <c r="A74" t="s">
        <v>41</v>
      </c>
      <c r="F74" s="38">
        <f>((1+$D$17)/($B$4-$D$17)*(1-(((1+$D$17)/(1+$B$4))^$B$16)))</f>
        <v>4.9986365289112209</v>
      </c>
      <c r="G74" s="18">
        <f ca="1">F74*F73</f>
        <v>11802.8088037663</v>
      </c>
    </row>
    <row r="75" spans="1:7" hidden="1">
      <c r="A75" t="s">
        <v>40</v>
      </c>
      <c r="B75" s="38"/>
      <c r="F75" s="18">
        <f>F72*EXP($C$17*$B$16)</f>
        <v>6341.1324134088509</v>
      </c>
    </row>
    <row r="76" spans="1:7" hidden="1">
      <c r="A76" t="s">
        <v>43</v>
      </c>
      <c r="F76" s="18">
        <f ca="1">F75*EXP(-$B$4*B$48/365.25)</f>
        <v>2361.3672691300326</v>
      </c>
      <c r="G76" s="42">
        <f ca="1">F76*B$51</f>
        <v>49588.712651730682</v>
      </c>
    </row>
    <row r="77" spans="1:7" hidden="1">
      <c r="A77" t="s">
        <v>44</v>
      </c>
      <c r="G77" s="18">
        <f ca="1">SUM(G73:G74,G76)</f>
        <v>76812.252021181543</v>
      </c>
    </row>
    <row r="78" spans="1:7" hidden="1">
      <c r="A78" t="s">
        <v>25</v>
      </c>
      <c r="G78" s="43">
        <f ca="1">G77/$G$4</f>
        <v>98.565035277884533</v>
      </c>
    </row>
    <row r="79" spans="1:7" hidden="1"/>
    <row r="80" spans="1:7" hidden="1">
      <c r="A80" s="41" t="s">
        <v>46</v>
      </c>
    </row>
    <row r="81" spans="1:7" hidden="1">
      <c r="A81" t="s">
        <v>37</v>
      </c>
      <c r="B81" s="18">
        <f>$G$3*(1+C$9)</f>
        <v>22102.319788315424</v>
      </c>
      <c r="C81" s="18">
        <f>B81*(1+D$9)</f>
        <v>22707.367207273801</v>
      </c>
      <c r="D81" s="18">
        <f>C81*(1+E$9)</f>
        <v>22748.937256867986</v>
      </c>
      <c r="E81" s="18">
        <f>D81*(1+F$9)</f>
        <v>22811.222541435134</v>
      </c>
      <c r="F81" s="18">
        <f>E81*(1+G$9)</f>
        <v>22893.400154940678</v>
      </c>
    </row>
    <row r="82" spans="1:7" hidden="1">
      <c r="A82" t="s">
        <v>38</v>
      </c>
      <c r="B82" s="18">
        <f>B81*C$10</f>
        <v>5525.5799470788561</v>
      </c>
      <c r="C82" s="18">
        <f>C81*D$10</f>
        <v>5676.8418018184502</v>
      </c>
      <c r="D82" s="18">
        <f>D81*E$10</f>
        <v>5914.7236867856764</v>
      </c>
      <c r="E82" s="18">
        <f>E81*F$10</f>
        <v>5930.9178607731355</v>
      </c>
      <c r="F82" s="18">
        <f>F81*G$10</f>
        <v>5952.2840402845768</v>
      </c>
    </row>
    <row r="83" spans="1:7" hidden="1">
      <c r="A83" t="s">
        <v>39</v>
      </c>
      <c r="B83" s="38">
        <f>B82-(C$12*B82)</f>
        <v>4696.7429550170273</v>
      </c>
      <c r="C83" s="38">
        <f t="shared" ref="C83:F83" si="4">C82-(D$12*C82)</f>
        <v>4257.6313513638379</v>
      </c>
      <c r="D83" s="38">
        <f t="shared" si="4"/>
        <v>4436.042765089257</v>
      </c>
      <c r="E83" s="38">
        <f t="shared" si="4"/>
        <v>4448.1883955798512</v>
      </c>
      <c r="F83" s="38">
        <f t="shared" si="4"/>
        <v>4166.598828199204</v>
      </c>
    </row>
    <row r="84" spans="1:7" hidden="1">
      <c r="A84" t="s">
        <v>42</v>
      </c>
      <c r="B84" s="18">
        <f ca="1">B83*EXP(-$B$4*B$42/365.25)</f>
        <v>4301.5880562547345</v>
      </c>
      <c r="C84" s="18">
        <f ca="1">C83*EXP(-$B$4*C$42/365.25)</f>
        <v>3528.5831655436377</v>
      </c>
      <c r="D84" s="18">
        <f ca="1">D83*EXP(-$B$4*D$42/365.25)</f>
        <v>3325.9016394166511</v>
      </c>
      <c r="E84" s="18">
        <f ca="1">E83*EXP(-$B$4*E$42/365.25)</f>
        <v>3017.8463704788364</v>
      </c>
      <c r="F84" s="18">
        <f ca="1">F83*EXP(-$B$4*F$42/365.25)</f>
        <v>2557.9727852037336</v>
      </c>
      <c r="G84" s="18">
        <f ca="1">SUM(B84:F84)</f>
        <v>16731.892016897593</v>
      </c>
    </row>
    <row r="85" spans="1:7" hidden="1">
      <c r="A85" t="s">
        <v>41</v>
      </c>
      <c r="F85" s="38">
        <f>((1+$D$18)/($B$4-$D$18)*(1-(((1+$D$18)/(1+$B$4))^$B$16)))</f>
        <v>4.0092717581387287</v>
      </c>
      <c r="G85" s="18">
        <f ca="1">F85*F84</f>
        <v>10255.608045804793</v>
      </c>
    </row>
    <row r="86" spans="1:7" hidden="1">
      <c r="A86" t="s">
        <v>40</v>
      </c>
      <c r="B86" s="38"/>
      <c r="F86" s="18">
        <f>F83*EXP($C$18*$B$16)</f>
        <v>4604.8038522138322</v>
      </c>
    </row>
    <row r="87" spans="1:7" hidden="1">
      <c r="A87" t="s">
        <v>43</v>
      </c>
      <c r="F87" s="18">
        <f ca="1">F86*EXP(-$B$4*B$48/365.25)</f>
        <v>1714.7778012628203</v>
      </c>
      <c r="G87" s="42">
        <f ca="1">F87*B$51</f>
        <v>36010.333826519229</v>
      </c>
    </row>
    <row r="88" spans="1:7" hidden="1">
      <c r="A88" t="s">
        <v>44</v>
      </c>
      <c r="G88" s="18">
        <f ca="1">SUM(G84:G85,G87)</f>
        <v>62997.833889221612</v>
      </c>
    </row>
    <row r="89" spans="1:7" hidden="1">
      <c r="A89" t="s">
        <v>25</v>
      </c>
      <c r="G89" s="43">
        <f ca="1">G88/$G$4</f>
        <v>80.838454235258652</v>
      </c>
    </row>
    <row r="90" spans="1:7" hidden="1"/>
    <row r="91" spans="1:7" hidden="1">
      <c r="A91" s="41" t="s">
        <v>47</v>
      </c>
    </row>
    <row r="92" spans="1:7" hidden="1">
      <c r="A92" t="s">
        <v>37</v>
      </c>
      <c r="B92" s="18">
        <f>$G$3*(1+C$9)</f>
        <v>22102.319788315424</v>
      </c>
      <c r="C92" s="18">
        <f>B92*(1+D$9)</f>
        <v>22707.367207273801</v>
      </c>
      <c r="D92" s="18">
        <f>C92*(1+E$9)</f>
        <v>22748.937256867986</v>
      </c>
      <c r="E92" s="18">
        <f>D92*(1+F$9)</f>
        <v>22811.222541435134</v>
      </c>
      <c r="F92" s="18">
        <f>E92*(1+G$9)</f>
        <v>22893.400154940678</v>
      </c>
    </row>
    <row r="93" spans="1:7" hidden="1">
      <c r="A93" t="s">
        <v>38</v>
      </c>
      <c r="B93" s="18">
        <f>B92*C$10</f>
        <v>5525.5799470788561</v>
      </c>
      <c r="C93" s="18">
        <f>C92*D$10</f>
        <v>5676.8418018184502</v>
      </c>
      <c r="D93" s="18">
        <f>D92*E$10</f>
        <v>5914.7236867856764</v>
      </c>
      <c r="E93" s="18">
        <f>E92*F$10</f>
        <v>5930.9178607731355</v>
      </c>
      <c r="F93" s="18">
        <f>F92*G$10</f>
        <v>5952.2840402845768</v>
      </c>
    </row>
    <row r="94" spans="1:7" hidden="1">
      <c r="A94" t="s">
        <v>39</v>
      </c>
      <c r="B94" s="38">
        <f>B93-(C$12*B93)</f>
        <v>4696.7429550170273</v>
      </c>
      <c r="C94" s="38">
        <f t="shared" ref="C94" si="5">C93-(D$12*C93)</f>
        <v>4257.6313513638379</v>
      </c>
      <c r="D94" s="38">
        <f t="shared" ref="D94" si="6">D93-(E$12*D93)</f>
        <v>4436.042765089257</v>
      </c>
      <c r="E94" s="38">
        <f t="shared" ref="E94" si="7">E93-(F$12*E93)</f>
        <v>4448.1883955798512</v>
      </c>
      <c r="F94" s="38">
        <f t="shared" ref="F94" si="8">F93-(G$12*F93)</f>
        <v>4166.598828199204</v>
      </c>
    </row>
    <row r="95" spans="1:7" hidden="1">
      <c r="A95" t="s">
        <v>42</v>
      </c>
      <c r="B95" s="18">
        <f ca="1">B94*EXP(-$B$4*B$42/365.25)</f>
        <v>4301.5880562547345</v>
      </c>
      <c r="C95" s="18">
        <f ca="1">C94*EXP(-$B$4*C$42/365.25)</f>
        <v>3528.5831655436377</v>
      </c>
      <c r="D95" s="18">
        <f ca="1">D94*EXP(-$B$4*D$42/365.25)</f>
        <v>3325.9016394166511</v>
      </c>
      <c r="E95" s="18">
        <f ca="1">E94*EXP(-$B$4*E$42/365.25)</f>
        <v>3017.8463704788364</v>
      </c>
      <c r="F95" s="18">
        <f ca="1">F94*EXP(-$B$4*F$42/365.25)</f>
        <v>2557.9727852037336</v>
      </c>
      <c r="G95" s="18">
        <f ca="1">SUM(B95:F95)</f>
        <v>16731.892016897593</v>
      </c>
    </row>
    <row r="96" spans="1:7" hidden="1">
      <c r="A96" t="s">
        <v>41</v>
      </c>
      <c r="F96" s="38">
        <f>((1+$D$17)/($B$4-$D$17)*(1-(((1+$D$17)/(1+$B$4))^$B$16)))</f>
        <v>4.9986365289112209</v>
      </c>
      <c r="G96" s="18">
        <f ca="1">F96*F95</f>
        <v>12786.376204080159</v>
      </c>
    </row>
    <row r="97" spans="1:7" hidden="1">
      <c r="A97" t="s">
        <v>40</v>
      </c>
      <c r="B97" s="38"/>
      <c r="F97" s="18">
        <f>F94*EXP($C$17*$B$16)</f>
        <v>6869.5601145262572</v>
      </c>
    </row>
    <row r="98" spans="1:7" hidden="1">
      <c r="A98" t="s">
        <v>43</v>
      </c>
      <c r="F98" s="18">
        <f ca="1">F97*EXP(-$B$4*B$48/365.25)</f>
        <v>2558.1478748908694</v>
      </c>
      <c r="G98" s="42">
        <f ca="1">F98*B$51</f>
        <v>53721.105372708254</v>
      </c>
    </row>
    <row r="99" spans="1:7" hidden="1">
      <c r="A99" t="s">
        <v>44</v>
      </c>
      <c r="G99" s="18">
        <f ca="1">SUM(G95:G96,G98)</f>
        <v>83239.373593686003</v>
      </c>
    </row>
    <row r="100" spans="1:7" hidden="1">
      <c r="A100" t="s">
        <v>25</v>
      </c>
      <c r="G100" s="43">
        <f ca="1">G99/$G$4</f>
        <v>106.81228031835627</v>
      </c>
    </row>
    <row r="101" spans="1:7" hidden="1"/>
    <row r="102" spans="1:7" hidden="1">
      <c r="A102" s="41" t="s">
        <v>48</v>
      </c>
    </row>
    <row r="103" spans="1:7" hidden="1">
      <c r="A103" t="s">
        <v>37</v>
      </c>
      <c r="B103" s="18">
        <f>$G$3*(1+C$8)</f>
        <v>23068.678200855309</v>
      </c>
      <c r="C103" s="18">
        <f>B103*(1+D$8)</f>
        <v>25680.719667666992</v>
      </c>
      <c r="D103" s="18">
        <f>C103*(1+E$8)</f>
        <v>27089.440783189784</v>
      </c>
      <c r="E103" s="18">
        <f>D103*(1+F$8)</f>
        <v>28930.295905465944</v>
      </c>
      <c r="F103" s="18">
        <f>E103*(1+G$8)</f>
        <v>30370.376191953517</v>
      </c>
    </row>
    <row r="104" spans="1:7" hidden="1">
      <c r="A104" t="s">
        <v>38</v>
      </c>
      <c r="B104" s="18">
        <f>B103*C$11</f>
        <v>5305.7959861967211</v>
      </c>
      <c r="C104" s="18">
        <f>C103*D$11</f>
        <v>5906.5655235634085</v>
      </c>
      <c r="D104" s="18">
        <f>D103*E$11</f>
        <v>6501.4657879655479</v>
      </c>
      <c r="E104" s="18">
        <f>E103*F$11</f>
        <v>6943.2710173118267</v>
      </c>
      <c r="F104" s="18">
        <f>F103*G$11</f>
        <v>7288.890286068844</v>
      </c>
    </row>
    <row r="105" spans="1:7" hidden="1">
      <c r="A105" t="s">
        <v>39</v>
      </c>
      <c r="B105" s="38">
        <f>B104-(C$12*B104)</f>
        <v>4509.9265882672125</v>
      </c>
      <c r="C105" s="38">
        <f t="shared" ref="C105" si="9">C104-(D$12*C104)</f>
        <v>4429.9241426725566</v>
      </c>
      <c r="D105" s="38">
        <f t="shared" ref="D105" si="10">D104-(E$12*D104)</f>
        <v>4876.0993409741604</v>
      </c>
      <c r="E105" s="38">
        <f t="shared" ref="E105" si="11">E104-(F$12*E104)</f>
        <v>5207.4532629838704</v>
      </c>
      <c r="F105" s="38">
        <f t="shared" ref="F105" si="12">F104-(G$12*F104)</f>
        <v>5102.2232002481906</v>
      </c>
    </row>
    <row r="106" spans="1:7" hidden="1">
      <c r="A106" t="s">
        <v>42</v>
      </c>
      <c r="B106" s="18">
        <f ca="1">B105*EXP(-$B$4*B$42/365.25)</f>
        <v>4130.489262980238</v>
      </c>
      <c r="C106" s="18">
        <f ca="1">C105*EXP(-$B$4*C$42/365.25)</f>
        <v>3671.3736968942972</v>
      </c>
      <c r="D106" s="18">
        <f ca="1">D105*EXP(-$B$4*D$42/365.25)</f>
        <v>3655.8319319489483</v>
      </c>
      <c r="E106" s="18">
        <f ca="1">E105*EXP(-$B$4*E$42/365.25)</f>
        <v>3532.9650031797842</v>
      </c>
      <c r="F106" s="18">
        <f ca="1">F105*EXP(-$B$4*F$42/365.25)</f>
        <v>3132.3745405819977</v>
      </c>
      <c r="G106" s="18">
        <f ca="1">SUM(B106:F106)</f>
        <v>18123.034435585269</v>
      </c>
    </row>
    <row r="107" spans="1:7" hidden="1">
      <c r="A107" t="s">
        <v>41</v>
      </c>
      <c r="F107" s="38">
        <f>((1+$D$18)/($B$4-$D$18)*(1-(((1+$D$18)/(1+$B$4))^$B$16)))</f>
        <v>4.0092717581387287</v>
      </c>
      <c r="G107" s="18">
        <f ca="1">F107*F106</f>
        <v>12558.540781468178</v>
      </c>
    </row>
    <row r="108" spans="1:7" hidden="1">
      <c r="A108" t="s">
        <v>40</v>
      </c>
      <c r="B108" s="38"/>
      <c r="F108" s="18">
        <f>F105*EXP($C$18*$B$16)</f>
        <v>5638.8286984451624</v>
      </c>
    </row>
    <row r="109" spans="1:7" hidden="1">
      <c r="A109" t="s">
        <v>43</v>
      </c>
      <c r="F109" s="18">
        <f ca="1">F108*EXP(-$B$4*B$48/365.25)</f>
        <v>2099.8371673461834</v>
      </c>
      <c r="G109" s="42">
        <f ca="1">F109*B$51</f>
        <v>44096.580514269852</v>
      </c>
    </row>
    <row r="110" spans="1:7" hidden="1">
      <c r="A110" t="s">
        <v>44</v>
      </c>
      <c r="G110" s="18">
        <f ca="1">SUM(G106:G107,G109)</f>
        <v>74778.155731323292</v>
      </c>
    </row>
    <row r="111" spans="1:7" hidden="1">
      <c r="A111" t="s">
        <v>25</v>
      </c>
      <c r="G111" s="43">
        <f ca="1">G110/$G$4</f>
        <v>95.954894743101022</v>
      </c>
    </row>
    <row r="112" spans="1:7" hidden="1"/>
    <row r="113" spans="1:7" hidden="1">
      <c r="A113" s="41" t="s">
        <v>49</v>
      </c>
    </row>
    <row r="114" spans="1:7" hidden="1">
      <c r="A114" t="s">
        <v>37</v>
      </c>
      <c r="B114" s="18">
        <f>$G$3*(1+C$8)</f>
        <v>23068.678200855309</v>
      </c>
      <c r="C114" s="18">
        <f>B114*(1+D$8)</f>
        <v>25680.719667666992</v>
      </c>
      <c r="D114" s="18">
        <f>C114*(1+E$8)</f>
        <v>27089.440783189784</v>
      </c>
      <c r="E114" s="18">
        <f>D114*(1+F$8)</f>
        <v>28930.295905465944</v>
      </c>
      <c r="F114" s="18">
        <f>E114*(1+G$8)</f>
        <v>30370.376191953517</v>
      </c>
    </row>
    <row r="115" spans="1:7" hidden="1">
      <c r="A115" t="s">
        <v>38</v>
      </c>
      <c r="B115" s="18">
        <f>B114*C$11</f>
        <v>5305.7959861967211</v>
      </c>
      <c r="C115" s="18">
        <f>C114*D$11</f>
        <v>5906.5655235634085</v>
      </c>
      <c r="D115" s="18">
        <f>D114*E$11</f>
        <v>6501.4657879655479</v>
      </c>
      <c r="E115" s="18">
        <f>E114*F$11</f>
        <v>6943.2710173118267</v>
      </c>
      <c r="F115" s="18">
        <f>F114*G$11</f>
        <v>7288.890286068844</v>
      </c>
    </row>
    <row r="116" spans="1:7" hidden="1">
      <c r="A116" t="s">
        <v>39</v>
      </c>
      <c r="B116" s="38">
        <f>B115-(C$12*B115)</f>
        <v>4509.9265882672125</v>
      </c>
      <c r="C116" s="38">
        <f t="shared" ref="C116" si="13">C115-(D$12*C115)</f>
        <v>4429.9241426725566</v>
      </c>
      <c r="D116" s="38">
        <f t="shared" ref="D116" si="14">D115-(E$12*D115)</f>
        <v>4876.0993409741604</v>
      </c>
      <c r="E116" s="38">
        <f t="shared" ref="E116" si="15">E115-(F$12*E115)</f>
        <v>5207.4532629838704</v>
      </c>
      <c r="F116" s="38">
        <f t="shared" ref="F116" si="16">F115-(G$12*F115)</f>
        <v>5102.2232002481906</v>
      </c>
    </row>
    <row r="117" spans="1:7" hidden="1">
      <c r="A117" t="s">
        <v>42</v>
      </c>
      <c r="B117" s="18">
        <f ca="1">B116*EXP(-$B$4*B$42/365.25)</f>
        <v>4130.489262980238</v>
      </c>
      <c r="C117" s="18">
        <f ca="1">C116*EXP(-$B$4*C$42/365.25)</f>
        <v>3671.3736968942972</v>
      </c>
      <c r="D117" s="18">
        <f ca="1">D116*EXP(-$B$4*D$42/365.25)</f>
        <v>3655.8319319489483</v>
      </c>
      <c r="E117" s="18">
        <f ca="1">E116*EXP(-$B$4*E$42/365.25)</f>
        <v>3532.9650031797842</v>
      </c>
      <c r="F117" s="18">
        <f ca="1">F116*EXP(-$B$4*F$42/365.25)</f>
        <v>3132.3745405819977</v>
      </c>
      <c r="G117" s="18">
        <f ca="1">SUM(B117:F117)</f>
        <v>18123.034435585269</v>
      </c>
    </row>
    <row r="118" spans="1:7" hidden="1">
      <c r="A118" t="s">
        <v>41</v>
      </c>
      <c r="F118" s="38">
        <f>((1+$D$17)/($B$4-$D$17)*(1-(((1+$D$17)/(1+$B$4))^$B$16)))</f>
        <v>4.9986365289112209</v>
      </c>
      <c r="G118" s="18">
        <f ca="1">F118*F117</f>
        <v>15657.601800784678</v>
      </c>
    </row>
    <row r="119" spans="1:7" hidden="1">
      <c r="A119" t="s">
        <v>40</v>
      </c>
      <c r="B119" s="38"/>
      <c r="F119" s="18">
        <f>F116*EXP($C$17*$B$16)</f>
        <v>8412.1439181088717</v>
      </c>
    </row>
    <row r="120" spans="1:7" hidden="1">
      <c r="A120" t="s">
        <v>43</v>
      </c>
      <c r="F120" s="18">
        <f ca="1">F119*EXP(-$B$4*B$48/365.25)</f>
        <v>3132.5889472721215</v>
      </c>
      <c r="G120" s="42">
        <f ca="1">F120*B$51</f>
        <v>65784.367892714552</v>
      </c>
    </row>
    <row r="121" spans="1:7" hidden="1">
      <c r="A121" t="s">
        <v>44</v>
      </c>
      <c r="G121" s="18">
        <f ca="1">SUM(G117:G118,G120)</f>
        <v>99565.004129084497</v>
      </c>
    </row>
    <row r="122" spans="1:7" hidden="1">
      <c r="A122" t="s">
        <v>25</v>
      </c>
      <c r="G122" s="43">
        <f ca="1">G121/$G$4</f>
        <v>127.76123451919821</v>
      </c>
    </row>
    <row r="123" spans="1:7" hidden="1"/>
    <row r="124" spans="1:7" hidden="1">
      <c r="A124" s="41" t="s">
        <v>50</v>
      </c>
    </row>
    <row r="125" spans="1:7" hidden="1">
      <c r="A125" t="s">
        <v>37</v>
      </c>
      <c r="B125" s="18">
        <f>$G$3*(1+C$8)</f>
        <v>23068.678200855309</v>
      </c>
      <c r="C125" s="18">
        <f>B125*(1+D$8)</f>
        <v>25680.719667666992</v>
      </c>
      <c r="D125" s="18">
        <f>C125*(1+E$8)</f>
        <v>27089.440783189784</v>
      </c>
      <c r="E125" s="18">
        <f>D125*(1+F$8)</f>
        <v>28930.295905465944</v>
      </c>
      <c r="F125" s="18">
        <f>E125*(1+G$8)</f>
        <v>30370.376191953517</v>
      </c>
    </row>
    <row r="126" spans="1:7" hidden="1">
      <c r="A126" t="s">
        <v>38</v>
      </c>
      <c r="B126" s="18">
        <f>B125*C$10</f>
        <v>5767.1695502138273</v>
      </c>
      <c r="C126" s="18">
        <f>C125*D$10</f>
        <v>6420.179916916748</v>
      </c>
      <c r="D126" s="18">
        <f>D125*E$10</f>
        <v>7043.2546036293443</v>
      </c>
      <c r="E126" s="18">
        <f>E125*F$10</f>
        <v>7521.8769354211454</v>
      </c>
      <c r="F126" s="18">
        <f>F125*G$10</f>
        <v>7896.2978099079146</v>
      </c>
    </row>
    <row r="127" spans="1:7" hidden="1">
      <c r="A127" t="s">
        <v>39</v>
      </c>
      <c r="B127" s="38">
        <f>B126-(C$12*B126)</f>
        <v>4902.0941176817532</v>
      </c>
      <c r="C127" s="38">
        <f t="shared" ref="C127" si="17">C126-(D$12*C126)</f>
        <v>4815.1349376875605</v>
      </c>
      <c r="D127" s="38">
        <f t="shared" ref="D127" si="18">D126-(E$12*D126)</f>
        <v>5282.4409527220087</v>
      </c>
      <c r="E127" s="38">
        <f t="shared" ref="E127" si="19">E126-(F$12*E126)</f>
        <v>5641.4077015658586</v>
      </c>
      <c r="F127" s="38">
        <f t="shared" ref="F127" si="20">F126-(G$12*F126)</f>
        <v>5527.4084669355398</v>
      </c>
    </row>
    <row r="128" spans="1:7" hidden="1">
      <c r="A128" t="s">
        <v>42</v>
      </c>
      <c r="B128" s="18">
        <f ca="1">B127*EXP(-$B$4*B$42/365.25)</f>
        <v>4489.6622423698245</v>
      </c>
      <c r="C128" s="18">
        <f ca="1">C127*EXP(-$B$4*C$42/365.25)</f>
        <v>3990.6235835807565</v>
      </c>
      <c r="D128" s="18">
        <f ca="1">D127*EXP(-$B$4*D$42/365.25)</f>
        <v>3960.4845929446951</v>
      </c>
      <c r="E128" s="18">
        <f ca="1">E127*EXP(-$B$4*E$42/365.25)</f>
        <v>3827.3787534447652</v>
      </c>
      <c r="F128" s="18">
        <f ca="1">F127*EXP(-$B$4*F$42/365.25)</f>
        <v>3393.4057522971643</v>
      </c>
      <c r="G128" s="18">
        <f ca="1">SUM(B128:F128)</f>
        <v>19661.554924637207</v>
      </c>
    </row>
    <row r="129" spans="1:11" hidden="1">
      <c r="A129" t="s">
        <v>41</v>
      </c>
      <c r="F129" s="38">
        <f>((1+$D$18)/($B$4-$D$18)*(1-(((1+$D$18)/(1+$B$4))^$B$16)))</f>
        <v>4.0092717581387287</v>
      </c>
      <c r="G129" s="18">
        <f ca="1">F129*F128</f>
        <v>13605.085846590528</v>
      </c>
    </row>
    <row r="130" spans="1:11" hidden="1">
      <c r="A130" t="s">
        <v>40</v>
      </c>
      <c r="B130" s="38"/>
      <c r="F130" s="18">
        <f>F127*EXP($C$18*$B$16)</f>
        <v>6108.7310899822587</v>
      </c>
    </row>
    <row r="131" spans="1:11" hidden="1">
      <c r="A131" t="s">
        <v>43</v>
      </c>
      <c r="F131" s="18">
        <f ca="1">F130*EXP(-$B$4*B$48/365.25)</f>
        <v>2274.8235979583651</v>
      </c>
      <c r="G131" s="42">
        <f ca="1">F131*B$51</f>
        <v>47771.295557125668</v>
      </c>
    </row>
    <row r="132" spans="1:11" hidden="1">
      <c r="A132" t="s">
        <v>44</v>
      </c>
      <c r="G132" s="18">
        <f ca="1">SUM(G128:G129,G131)</f>
        <v>81037.936328353404</v>
      </c>
    </row>
    <row r="133" spans="1:11" hidden="1">
      <c r="A133" t="s">
        <v>25</v>
      </c>
      <c r="G133" s="43">
        <f ca="1">G132/$G$4</f>
        <v>103.9874088166104</v>
      </c>
    </row>
    <row r="134" spans="1:11" hidden="1"/>
    <row r="135" spans="1:11" hidden="1">
      <c r="A135" s="41" t="s">
        <v>49</v>
      </c>
    </row>
    <row r="136" spans="1:11" hidden="1">
      <c r="A136" t="s">
        <v>37</v>
      </c>
      <c r="B136" s="18">
        <f>$G$3*(1+C$8)</f>
        <v>23068.678200855309</v>
      </c>
      <c r="C136" s="18">
        <f>B136*(1+D$8)</f>
        <v>25680.719667666992</v>
      </c>
      <c r="D136" s="18">
        <f>C136*(1+E$8)</f>
        <v>27089.440783189784</v>
      </c>
      <c r="E136" s="18">
        <f>D136*(1+F$8)</f>
        <v>28930.295905465944</v>
      </c>
      <c r="F136" s="18">
        <f>E136*(1+G$8)</f>
        <v>30370.376191953517</v>
      </c>
    </row>
    <row r="137" spans="1:11" hidden="1">
      <c r="A137" t="s">
        <v>38</v>
      </c>
      <c r="B137" s="18">
        <f>B136*C$10</f>
        <v>5767.1695502138273</v>
      </c>
      <c r="C137" s="18">
        <f>C136*D$10</f>
        <v>6420.179916916748</v>
      </c>
      <c r="D137" s="18">
        <f>D136*E$10</f>
        <v>7043.2546036293443</v>
      </c>
      <c r="E137" s="18">
        <f>E136*F$10</f>
        <v>7521.8769354211454</v>
      </c>
      <c r="F137" s="18">
        <f>F136*G$10</f>
        <v>7896.2978099079146</v>
      </c>
    </row>
    <row r="138" spans="1:11" hidden="1">
      <c r="A138" t="s">
        <v>39</v>
      </c>
      <c r="B138" s="38">
        <f>B137-(C$12*B137)</f>
        <v>4902.0941176817532</v>
      </c>
      <c r="C138" s="38">
        <f t="shared" ref="C138" si="21">C137-(D$12*C137)</f>
        <v>4815.1349376875605</v>
      </c>
      <c r="D138" s="38">
        <f t="shared" ref="D138" si="22">D137-(E$12*D137)</f>
        <v>5282.4409527220087</v>
      </c>
      <c r="E138" s="38">
        <f t="shared" ref="E138" si="23">E137-(F$12*E137)</f>
        <v>5641.4077015658586</v>
      </c>
      <c r="F138" s="38">
        <f t="shared" ref="F138" si="24">F137-(G$12*F137)</f>
        <v>5527.4084669355398</v>
      </c>
    </row>
    <row r="139" spans="1:11" hidden="1">
      <c r="A139" t="s">
        <v>42</v>
      </c>
      <c r="B139" s="18">
        <f ca="1">B138*EXP(-$B$4*B$42/365.25)</f>
        <v>4489.6622423698245</v>
      </c>
      <c r="C139" s="18">
        <f ca="1">C138*EXP(-$B$4*C$42/365.25)</f>
        <v>3990.6235835807565</v>
      </c>
      <c r="D139" s="18">
        <f ca="1">D138*EXP(-$B$4*D$42/365.25)</f>
        <v>3960.4845929446951</v>
      </c>
      <c r="E139" s="18">
        <f ca="1">E138*EXP(-$B$4*E$42/365.25)</f>
        <v>3827.3787534447652</v>
      </c>
      <c r="F139" s="18">
        <f ca="1">F138*EXP(-$B$4*F$42/365.25)</f>
        <v>3393.4057522971643</v>
      </c>
      <c r="G139" s="18">
        <f ca="1">SUM(B139:F139)</f>
        <v>19661.554924637207</v>
      </c>
      <c r="H139" s="18"/>
      <c r="I139" s="18"/>
      <c r="J139" s="18"/>
      <c r="K139" s="18"/>
    </row>
    <row r="140" spans="1:11" hidden="1">
      <c r="A140" t="s">
        <v>41</v>
      </c>
      <c r="F140" s="38">
        <f>((1+$D$17)/($B$4-$D$17)*(1-(((1+$D$17)/(1+$B$4))^$B$16)))</f>
        <v>4.9986365289112209</v>
      </c>
      <c r="G140" s="18">
        <f ca="1">F140*F139</f>
        <v>16962.401950850068</v>
      </c>
    </row>
    <row r="141" spans="1:11" hidden="1">
      <c r="A141" t="s">
        <v>40</v>
      </c>
      <c r="B141" s="38"/>
      <c r="F141" s="18">
        <f>F138*EXP($C$17*$B$16)</f>
        <v>9113.1559112846098</v>
      </c>
    </row>
    <row r="142" spans="1:11" hidden="1">
      <c r="A142" t="s">
        <v>43</v>
      </c>
      <c r="F142" s="18">
        <f ca="1">F141*EXP(-$B$4*B$48/365.25)</f>
        <v>3393.6380262114644</v>
      </c>
      <c r="G142" s="42">
        <f ca="1">F142*B$51</f>
        <v>71266.398550440746</v>
      </c>
    </row>
    <row r="143" spans="1:11" hidden="1">
      <c r="A143" t="s">
        <v>44</v>
      </c>
      <c r="G143" s="18">
        <f ca="1">SUM(G139:G140,G142)</f>
        <v>107890.35542592802</v>
      </c>
    </row>
    <row r="144" spans="1:11" hidden="1">
      <c r="A144" t="s">
        <v>25</v>
      </c>
      <c r="G144" s="43">
        <f ca="1">G143/$G$4</f>
        <v>138.44427690738232</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74645-F1F7-4735-BDE3-421D5074F79A}">
  <dimension ref="A1:Q128"/>
  <sheetViews>
    <sheetView zoomScaleNormal="100" workbookViewId="0">
      <pane xSplit="1" ySplit="1" topLeftCell="P2" activePane="bottomRight" state="frozen"/>
      <selection activeCell="X94" sqref="X94"/>
      <selection pane="topRight" activeCell="X94" sqref="X94"/>
      <selection pane="bottomLeft" activeCell="X94" sqref="X94"/>
      <selection pane="bottomRight" activeCell="G26" sqref="G26"/>
    </sheetView>
  </sheetViews>
  <sheetFormatPr defaultRowHeight="14.25"/>
  <cols>
    <col min="1" max="1" width="43.1328125" customWidth="1"/>
    <col min="2" max="11" width="9.59765625" customWidth="1"/>
    <col min="13" max="13" width="10.265625" bestFit="1" customWidth="1"/>
  </cols>
  <sheetData>
    <row r="1" spans="1:17">
      <c r="B1">
        <v>2007</v>
      </c>
      <c r="C1">
        <v>2008</v>
      </c>
      <c r="D1">
        <v>2009</v>
      </c>
      <c r="E1">
        <v>2010</v>
      </c>
      <c r="F1">
        <v>2011</v>
      </c>
      <c r="G1">
        <v>2012</v>
      </c>
      <c r="H1">
        <v>2013</v>
      </c>
      <c r="I1">
        <v>2014</v>
      </c>
      <c r="J1">
        <v>2015</v>
      </c>
      <c r="K1">
        <v>2016</v>
      </c>
      <c r="L1">
        <v>2017</v>
      </c>
    </row>
    <row r="2" spans="1:17">
      <c r="A2" s="10" t="s">
        <v>193</v>
      </c>
    </row>
    <row r="3" spans="1:17">
      <c r="A3" t="s">
        <v>194</v>
      </c>
      <c r="B3" s="17">
        <v>2605</v>
      </c>
      <c r="C3" s="17">
        <v>3174</v>
      </c>
      <c r="D3" s="17">
        <v>2666</v>
      </c>
      <c r="E3" s="17">
        <v>3018</v>
      </c>
      <c r="F3" s="17">
        <v>3324</v>
      </c>
      <c r="G3" s="17">
        <v>3280</v>
      </c>
      <c r="H3" s="17">
        <v>3276</v>
      </c>
      <c r="I3" s="17">
        <v>3777</v>
      </c>
      <c r="J3" s="17">
        <v>3581</v>
      </c>
      <c r="K3" s="18">
        <v>3625</v>
      </c>
      <c r="L3" s="18">
        <v>3685</v>
      </c>
    </row>
    <row r="4" spans="1:17">
      <c r="A4" t="s">
        <v>195</v>
      </c>
      <c r="B4" s="17">
        <v>1458</v>
      </c>
      <c r="C4" s="17">
        <v>1344</v>
      </c>
      <c r="D4" s="17">
        <v>854</v>
      </c>
      <c r="E4" s="17">
        <v>1271</v>
      </c>
      <c r="F4" s="17">
        <v>1510</v>
      </c>
      <c r="G4" s="17">
        <v>1807</v>
      </c>
      <c r="H4" s="17">
        <v>2077</v>
      </c>
      <c r="I4" s="17">
        <v>2103</v>
      </c>
      <c r="J4" s="17">
        <v>2154</v>
      </c>
      <c r="K4" s="18">
        <v>2000</v>
      </c>
      <c r="L4" s="18">
        <v>1998</v>
      </c>
    </row>
    <row r="5" spans="1:17">
      <c r="A5" t="s">
        <v>196</v>
      </c>
      <c r="B5" s="17">
        <v>2287</v>
      </c>
      <c r="C5" s="17">
        <v>2494</v>
      </c>
      <c r="D5" s="17">
        <v>2102</v>
      </c>
      <c r="E5" s="17">
        <v>2425</v>
      </c>
      <c r="F5" s="17">
        <v>2815</v>
      </c>
      <c r="G5" s="17">
        <v>3238</v>
      </c>
      <c r="H5" s="17">
        <v>3501</v>
      </c>
      <c r="I5" s="17">
        <v>3664</v>
      </c>
      <c r="J5" s="17">
        <v>3543</v>
      </c>
      <c r="K5" s="18">
        <v>3474</v>
      </c>
      <c r="L5" s="18">
        <v>3596</v>
      </c>
    </row>
    <row r="6" spans="1:17">
      <c r="A6" t="s">
        <v>197</v>
      </c>
      <c r="B6" s="17">
        <v>3134</v>
      </c>
      <c r="C6" s="17">
        <v>3810</v>
      </c>
      <c r="D6" s="17">
        <v>3118</v>
      </c>
      <c r="E6" s="17">
        <v>3489</v>
      </c>
      <c r="F6" s="17">
        <v>4084</v>
      </c>
      <c r="G6" s="17">
        <v>3912</v>
      </c>
      <c r="H6" s="17">
        <v>3978</v>
      </c>
      <c r="I6" s="17">
        <v>4127</v>
      </c>
      <c r="J6" s="17">
        <v>3237</v>
      </c>
      <c r="K6" s="18">
        <v>2440</v>
      </c>
      <c r="L6" s="18">
        <v>2645</v>
      </c>
    </row>
    <row r="7" spans="1:17">
      <c r="A7" t="s">
        <v>198</v>
      </c>
      <c r="B7" s="17">
        <v>3077</v>
      </c>
      <c r="C7" s="17">
        <v>3273</v>
      </c>
      <c r="D7" s="17">
        <v>2147</v>
      </c>
      <c r="E7" s="17">
        <v>2639</v>
      </c>
      <c r="F7" s="17">
        <v>3166</v>
      </c>
      <c r="G7" s="17">
        <v>3494</v>
      </c>
      <c r="H7" s="17">
        <v>3822</v>
      </c>
      <c r="I7" s="17">
        <v>4400</v>
      </c>
      <c r="J7" s="17">
        <v>3808</v>
      </c>
      <c r="K7" s="18">
        <v>3348</v>
      </c>
      <c r="L7" s="18">
        <v>4078</v>
      </c>
      <c r="N7">
        <f>3016/0.75</f>
        <v>4021.3333333333335</v>
      </c>
      <c r="O7">
        <f>SUM(C7:N7)/SUM(B7:K7)-1</f>
        <v>0.15139366170294011</v>
      </c>
      <c r="P7" s="18"/>
    </row>
    <row r="8" spans="1:17">
      <c r="A8" t="s">
        <v>199</v>
      </c>
      <c r="B8" s="17">
        <v>2925</v>
      </c>
      <c r="C8" s="17">
        <v>3023</v>
      </c>
      <c r="D8" s="17">
        <v>2486</v>
      </c>
      <c r="E8" s="17">
        <v>3227</v>
      </c>
      <c r="F8" s="17">
        <v>3609</v>
      </c>
      <c r="G8" s="17">
        <v>3955</v>
      </c>
      <c r="H8" s="17">
        <v>4030</v>
      </c>
      <c r="I8" s="17">
        <v>4489</v>
      </c>
      <c r="J8" s="17">
        <v>4074</v>
      </c>
      <c r="K8" s="18">
        <v>3710</v>
      </c>
      <c r="L8" s="18">
        <v>3835</v>
      </c>
      <c r="N8" s="38"/>
    </row>
    <row r="10" spans="1:17">
      <c r="A10" s="10" t="s">
        <v>200</v>
      </c>
      <c r="O10" s="10" t="s">
        <v>201</v>
      </c>
      <c r="P10" s="10" t="s">
        <v>202</v>
      </c>
      <c r="Q10" s="10" t="s">
        <v>203</v>
      </c>
    </row>
    <row r="11" spans="1:17">
      <c r="A11" t="s">
        <v>194</v>
      </c>
      <c r="B11" s="17">
        <v>80532</v>
      </c>
      <c r="C11" s="17">
        <v>88588</v>
      </c>
      <c r="D11" s="17">
        <v>81207</v>
      </c>
      <c r="E11" s="17">
        <v>88237</v>
      </c>
      <c r="F11" s="17">
        <v>88094</v>
      </c>
      <c r="G11" s="17">
        <v>81407</v>
      </c>
      <c r="H11" s="17">
        <v>80904</v>
      </c>
      <c r="I11" s="17">
        <v>94273</v>
      </c>
      <c r="J11" s="17">
        <v>89053</v>
      </c>
      <c r="K11" s="18">
        <v>92244</v>
      </c>
      <c r="L11" s="18">
        <v>89897</v>
      </c>
      <c r="N11" t="s">
        <v>194</v>
      </c>
      <c r="O11" s="163">
        <f>SUM(C11:L11)/SUM(B11:K11)-1</f>
        <v>1.0832362681151508E-2</v>
      </c>
      <c r="P11" s="163">
        <f>SUM(C31:L31)/SUM(B31:K31)-1</f>
        <v>2.7091522984500349E-2</v>
      </c>
      <c r="Q11" s="163">
        <f>SUM(C23:L23)/SUM(B23:K23)-1</f>
        <v>3.7575120619194768E-2</v>
      </c>
    </row>
    <row r="12" spans="1:17">
      <c r="A12" t="s">
        <v>195</v>
      </c>
      <c r="B12" s="17">
        <v>17482</v>
      </c>
      <c r="C12" s="17">
        <v>13982</v>
      </c>
      <c r="D12" s="17">
        <v>9740</v>
      </c>
      <c r="E12" s="17">
        <v>12542</v>
      </c>
      <c r="F12" s="17">
        <v>13004</v>
      </c>
      <c r="G12" s="17">
        <v>14942</v>
      </c>
      <c r="H12" s="17">
        <v>16169</v>
      </c>
      <c r="I12" s="17">
        <v>16797</v>
      </c>
      <c r="J12" s="17">
        <v>18193</v>
      </c>
      <c r="K12" s="18">
        <v>18192</v>
      </c>
      <c r="L12" s="18">
        <v>18288</v>
      </c>
      <c r="N12" t="s">
        <v>195</v>
      </c>
      <c r="O12" s="163">
        <f>SUM(C12:L12)/SUM(B12:K12)-1</f>
        <v>5.3362287560496657E-3</v>
      </c>
      <c r="P12" s="163">
        <f>SUM(C32:L32)/SUM(B32:K32)-1</f>
        <v>2.5058227936523458E-2</v>
      </c>
      <c r="Q12" s="163">
        <f>SUM(C24:L24)/SUM(B24:K24)-1</f>
        <v>3.4118132139782986E-2</v>
      </c>
    </row>
    <row r="13" spans="1:17">
      <c r="A13" t="s">
        <v>196</v>
      </c>
      <c r="B13" s="17">
        <v>56521</v>
      </c>
      <c r="C13" s="17">
        <v>54807</v>
      </c>
      <c r="D13" s="17">
        <v>48055</v>
      </c>
      <c r="E13" s="17">
        <v>54233</v>
      </c>
      <c r="F13" s="17">
        <v>59542</v>
      </c>
      <c r="G13" s="17">
        <v>68095</v>
      </c>
      <c r="H13" s="17">
        <v>73963</v>
      </c>
      <c r="I13" s="17">
        <v>75519</v>
      </c>
      <c r="J13" s="17">
        <v>71707</v>
      </c>
      <c r="K13" s="18">
        <v>66964</v>
      </c>
      <c r="L13" s="18">
        <v>66449</v>
      </c>
      <c r="N13" t="s">
        <v>196</v>
      </c>
      <c r="O13" s="163">
        <f>SUM(C13:L13)/SUM(B13:K13)-1</f>
        <v>1.5773602412433307E-2</v>
      </c>
      <c r="P13" s="163">
        <f>SUM(C33:L33)/SUM(B33:K33)-1</f>
        <v>3.2838998782229067E-2</v>
      </c>
      <c r="Q13" s="163">
        <f>SUM(C25:L25)/SUM(B25:K25)-1</f>
        <v>4.8247583259995119E-2</v>
      </c>
    </row>
    <row r="14" spans="1:17">
      <c r="A14" t="s">
        <v>197</v>
      </c>
      <c r="B14" s="17">
        <v>251408</v>
      </c>
      <c r="C14" s="17">
        <v>258362</v>
      </c>
      <c r="D14" s="17">
        <v>218227</v>
      </c>
      <c r="E14" s="17">
        <v>225583</v>
      </c>
      <c r="F14" s="17">
        <v>238567</v>
      </c>
      <c r="G14" s="17">
        <v>207466</v>
      </c>
      <c r="H14" s="17">
        <v>186902</v>
      </c>
      <c r="I14" s="17">
        <v>191359</v>
      </c>
      <c r="J14" s="17">
        <v>151110</v>
      </c>
      <c r="K14" s="18">
        <v>117101</v>
      </c>
      <c r="L14" s="18">
        <v>130603</v>
      </c>
      <c r="N14" t="s">
        <v>197</v>
      </c>
      <c r="O14" s="163">
        <f>SUM(C14:L14)/SUM(B14:K14)-1</f>
        <v>-5.9042024158331596E-2</v>
      </c>
      <c r="P14" s="163">
        <f>SUM(C34:L34)/SUM(B34:K34)-1</f>
        <v>5.7759154754330355E-2</v>
      </c>
      <c r="Q14" s="163">
        <f>SUM(C26:L26)/SUM(B26:K26)-1</f>
        <v>-3.4594378158767647E-3</v>
      </c>
    </row>
    <row r="15" spans="1:17">
      <c r="A15" t="s">
        <v>198</v>
      </c>
      <c r="B15" s="17">
        <v>75109</v>
      </c>
      <c r="C15" s="17">
        <v>70714</v>
      </c>
      <c r="D15" s="17">
        <v>51873</v>
      </c>
      <c r="E15" s="17">
        <v>60347</v>
      </c>
      <c r="F15" s="17">
        <v>66823</v>
      </c>
      <c r="G15" s="17">
        <v>70924</v>
      </c>
      <c r="H15" s="17">
        <v>77760</v>
      </c>
      <c r="I15" s="17">
        <v>88054</v>
      </c>
      <c r="J15" s="17">
        <v>75902</v>
      </c>
      <c r="K15" s="18">
        <v>68579</v>
      </c>
      <c r="L15" s="18">
        <v>84163</v>
      </c>
      <c r="N15" t="s">
        <v>198</v>
      </c>
      <c r="O15" s="163">
        <f>SUM(C15:L15)/SUM(B15:K15)-1</f>
        <v>1.2822818782441292E-2</v>
      </c>
      <c r="P15" s="163">
        <f>SUM(C35:L35)/SUM(B35:K35)-1</f>
        <v>1.8559632042823626E-2</v>
      </c>
      <c r="Q15" s="163">
        <f>SUM(C27:L27)/SUM(B27:K27)-1</f>
        <v>3.3346756780357811E-2</v>
      </c>
    </row>
    <row r="16" spans="1:17">
      <c r="A16" t="s">
        <v>199</v>
      </c>
      <c r="B16" s="17">
        <v>80793</v>
      </c>
      <c r="C16" s="17">
        <v>76178</v>
      </c>
      <c r="D16" s="17">
        <v>70086</v>
      </c>
      <c r="E16" s="17">
        <v>79458</v>
      </c>
      <c r="F16" s="17">
        <v>78367</v>
      </c>
      <c r="G16" s="17">
        <v>78277</v>
      </c>
      <c r="H16" s="17">
        <v>78574</v>
      </c>
      <c r="I16" s="17">
        <v>83627</v>
      </c>
      <c r="J16" s="17">
        <v>79070</v>
      </c>
      <c r="K16" s="18">
        <v>77059</v>
      </c>
      <c r="L16" s="18">
        <v>77321</v>
      </c>
      <c r="N16" t="s">
        <v>199</v>
      </c>
      <c r="O16" s="163">
        <f>SUM(C16:L16)/SUM(B16:K16)-1</f>
        <v>-4.442800858361462E-3</v>
      </c>
      <c r="P16" s="163">
        <f>SUM(C36:L36)/SUM(B36:K36)-1</f>
        <v>3.3255188954029125E-2</v>
      </c>
      <c r="Q16" s="163">
        <f>SUM(C28:L28)/SUM(B28:K28)-1</f>
        <v>2.92703516910644E-2</v>
      </c>
    </row>
    <row r="17" spans="1:17">
      <c r="B17" s="17"/>
      <c r="C17" s="17"/>
      <c r="D17" s="17"/>
      <c r="E17" s="17"/>
      <c r="F17" s="17"/>
      <c r="G17" s="17"/>
      <c r="H17" s="17"/>
      <c r="I17" s="17"/>
      <c r="J17" s="17"/>
      <c r="K17" s="17"/>
      <c r="O17" s="163"/>
      <c r="P17" s="163"/>
      <c r="Q17" s="163"/>
    </row>
    <row r="19" spans="1:17">
      <c r="A19" t="s">
        <v>204</v>
      </c>
      <c r="B19" s="17">
        <v>1478</v>
      </c>
      <c r="C19" s="17">
        <v>2323</v>
      </c>
      <c r="D19" s="17">
        <v>605</v>
      </c>
      <c r="E19" s="17">
        <v>1237</v>
      </c>
      <c r="F19" s="17">
        <v>2200</v>
      </c>
      <c r="G19" s="17">
        <v>2600</v>
      </c>
      <c r="H19" s="17">
        <v>2600</v>
      </c>
      <c r="I19" s="17">
        <v>2800</v>
      </c>
      <c r="J19" s="17">
        <v>1300</v>
      </c>
      <c r="K19" s="17">
        <v>560</v>
      </c>
      <c r="L19" s="17">
        <v>966</v>
      </c>
      <c r="M19" t="s">
        <v>205</v>
      </c>
      <c r="N19" t="s">
        <v>206</v>
      </c>
    </row>
    <row r="20" spans="1:17">
      <c r="F20" s="18">
        <f>AVERAGE(B19:F19)</f>
        <v>1568.6</v>
      </c>
      <c r="G20" s="18">
        <f t="shared" ref="G20:L20" si="0">AVERAGE(C19:G19)</f>
        <v>1793</v>
      </c>
      <c r="H20" s="18">
        <f t="shared" si="0"/>
        <v>1848.4</v>
      </c>
      <c r="I20" s="18">
        <f t="shared" si="0"/>
        <v>2287.4</v>
      </c>
      <c r="J20" s="18">
        <f t="shared" si="0"/>
        <v>2300</v>
      </c>
      <c r="K20" s="18">
        <f t="shared" si="0"/>
        <v>1972</v>
      </c>
      <c r="L20" s="18">
        <f t="shared" si="0"/>
        <v>1645.2</v>
      </c>
      <c r="M20" s="18">
        <f>MAX(F20:L20)</f>
        <v>2300</v>
      </c>
      <c r="N20" s="18">
        <f>MIN(F20:L20)</f>
        <v>1568.6</v>
      </c>
    </row>
    <row r="22" spans="1:17">
      <c r="A22" s="10" t="s">
        <v>203</v>
      </c>
    </row>
    <row r="23" spans="1:17">
      <c r="A23" t="s">
        <v>194</v>
      </c>
      <c r="B23" s="18">
        <f t="shared" ref="B23:L23" si="1">B3-(B11/SUM(B$11:B$16)*B$19)</f>
        <v>2393.1510096200909</v>
      </c>
      <c r="C23" s="18">
        <f t="shared" si="1"/>
        <v>2808.2364284939863</v>
      </c>
      <c r="D23" s="18">
        <f t="shared" si="1"/>
        <v>2563.4719003814785</v>
      </c>
      <c r="E23" s="18">
        <f t="shared" si="1"/>
        <v>2808.2590910837816</v>
      </c>
      <c r="F23" s="18">
        <f t="shared" si="1"/>
        <v>2967.9973034384834</v>
      </c>
      <c r="G23" s="18">
        <f t="shared" si="1"/>
        <v>2873.8327918620025</v>
      </c>
      <c r="H23" s="18">
        <f t="shared" si="1"/>
        <v>2866.974425984693</v>
      </c>
      <c r="I23" s="18">
        <f t="shared" si="1"/>
        <v>3296.740770592527</v>
      </c>
      <c r="J23" s="18">
        <f t="shared" si="1"/>
        <v>3342.3184615543209</v>
      </c>
      <c r="K23" s="18">
        <f t="shared" si="1"/>
        <v>3507.6356219285271</v>
      </c>
      <c r="L23" s="18">
        <f t="shared" si="1"/>
        <v>3498.9348732968947</v>
      </c>
    </row>
    <row r="24" spans="1:17">
      <c r="A24" t="s">
        <v>195</v>
      </c>
      <c r="B24" s="18">
        <f t="shared" ref="B24:L24" si="2">B4-(B12/SUM(B$11:B$16)*B$19)</f>
        <v>1412.0115227509366</v>
      </c>
      <c r="C24" s="18">
        <f t="shared" si="2"/>
        <v>1286.2708915790279</v>
      </c>
      <c r="D24" s="18">
        <f t="shared" si="2"/>
        <v>841.702738799803</v>
      </c>
      <c r="E24" s="18">
        <f t="shared" si="2"/>
        <v>1241.1874442736357</v>
      </c>
      <c r="F24" s="18">
        <f t="shared" si="2"/>
        <v>1457.4486450145757</v>
      </c>
      <c r="G24" s="18">
        <f t="shared" si="2"/>
        <v>1732.4492804795907</v>
      </c>
      <c r="H24" s="18">
        <f t="shared" si="2"/>
        <v>1995.2545423433514</v>
      </c>
      <c r="I24" s="18">
        <f t="shared" si="2"/>
        <v>2017.4302793338779</v>
      </c>
      <c r="J24" s="18">
        <f t="shared" si="2"/>
        <v>2105.2387765831331</v>
      </c>
      <c r="K24" s="18">
        <f t="shared" si="2"/>
        <v>1976.8538575313707</v>
      </c>
      <c r="L24" s="18">
        <f t="shared" si="2"/>
        <v>1960.1482470255248</v>
      </c>
    </row>
    <row r="25" spans="1:17">
      <c r="A25" t="s">
        <v>196</v>
      </c>
      <c r="B25" s="18">
        <f t="shared" ref="B25:L28" si="3">B5-(B13/SUM(B$11:B$16)*B$19)</f>
        <v>2138.3147967855903</v>
      </c>
      <c r="C25" s="18">
        <f t="shared" si="3"/>
        <v>2267.7119693013715</v>
      </c>
      <c r="D25" s="18">
        <f t="shared" si="3"/>
        <v>2041.3280403515948</v>
      </c>
      <c r="E25" s="18">
        <f t="shared" si="3"/>
        <v>2296.0872002305919</v>
      </c>
      <c r="F25" s="18">
        <f t="shared" si="3"/>
        <v>2574.3807460364405</v>
      </c>
      <c r="G25" s="18">
        <f t="shared" si="3"/>
        <v>2898.2508870470974</v>
      </c>
      <c r="H25" s="18">
        <f t="shared" si="3"/>
        <v>3127.0659728703877</v>
      </c>
      <c r="I25" s="18">
        <f t="shared" si="3"/>
        <v>3279.2801253208982</v>
      </c>
      <c r="J25" s="18">
        <f t="shared" si="3"/>
        <v>3350.8095395177666</v>
      </c>
      <c r="K25" s="18">
        <f t="shared" si="3"/>
        <v>3388.8000063616269</v>
      </c>
      <c r="L25" s="18">
        <f t="shared" si="3"/>
        <v>3458.466582819286</v>
      </c>
    </row>
    <row r="26" spans="1:17">
      <c r="A26" t="s">
        <v>197</v>
      </c>
      <c r="B26" s="18">
        <f t="shared" si="3"/>
        <v>2472.6413975384671</v>
      </c>
      <c r="C26" s="18">
        <f t="shared" si="3"/>
        <v>2743.2707831598327</v>
      </c>
      <c r="D26" s="18">
        <f t="shared" si="3"/>
        <v>2842.4769589388716</v>
      </c>
      <c r="E26" s="18">
        <f t="shared" si="3"/>
        <v>2952.7852209838584</v>
      </c>
      <c r="F26" s="18">
        <f t="shared" si="3"/>
        <v>3119.9105579200473</v>
      </c>
      <c r="G26" s="18">
        <f t="shared" si="3"/>
        <v>2876.881570337222</v>
      </c>
      <c r="H26" s="18">
        <f t="shared" si="3"/>
        <v>3033.0813577250947</v>
      </c>
      <c r="I26" s="18">
        <f t="shared" si="3"/>
        <v>3152.151147410344</v>
      </c>
      <c r="J26" s="18">
        <f t="shared" si="3"/>
        <v>2831.9921139711569</v>
      </c>
      <c r="K26" s="18">
        <f t="shared" si="3"/>
        <v>2291.0094311115354</v>
      </c>
      <c r="L26" s="18">
        <f t="shared" si="3"/>
        <v>2374.6832625915695</v>
      </c>
    </row>
    <row r="27" spans="1:17">
      <c r="A27" t="s">
        <v>198</v>
      </c>
      <c r="B27" s="18">
        <f t="shared" si="3"/>
        <v>2879.4168551824791</v>
      </c>
      <c r="C27" s="18">
        <f t="shared" si="3"/>
        <v>2981.0348896523656</v>
      </c>
      <c r="D27" s="18">
        <f t="shared" si="3"/>
        <v>2081.5076149653164</v>
      </c>
      <c r="E27" s="18">
        <f t="shared" si="3"/>
        <v>2495.5541141429671</v>
      </c>
      <c r="F27" s="18">
        <f t="shared" si="3"/>
        <v>2895.9569982935245</v>
      </c>
      <c r="G27" s="18">
        <f t="shared" si="3"/>
        <v>3140.1360439522482</v>
      </c>
      <c r="H27" s="18">
        <f t="shared" si="3"/>
        <v>3428.8695165204404</v>
      </c>
      <c r="I27" s="18">
        <f t="shared" si="3"/>
        <v>3951.4225049988263</v>
      </c>
      <c r="J27" s="18">
        <f t="shared" si="3"/>
        <v>3604.5660210087931</v>
      </c>
      <c r="K27" s="18">
        <f t="shared" si="3"/>
        <v>3260.7452009478825</v>
      </c>
      <c r="L27" s="18">
        <f t="shared" si="3"/>
        <v>3903.8028715228156</v>
      </c>
    </row>
    <row r="28" spans="1:17">
      <c r="A28" t="s">
        <v>199</v>
      </c>
      <c r="B28" s="18">
        <f t="shared" si="3"/>
        <v>2712.4644181224357</v>
      </c>
      <c r="C28" s="18">
        <f t="shared" si="3"/>
        <v>2708.4750378134158</v>
      </c>
      <c r="D28" s="18">
        <f t="shared" si="3"/>
        <v>2397.5127465629357</v>
      </c>
      <c r="E28" s="18">
        <f t="shared" si="3"/>
        <v>3038.1269292851653</v>
      </c>
      <c r="F28" s="18">
        <f t="shared" si="3"/>
        <v>3292.3057492969283</v>
      </c>
      <c r="G28" s="18">
        <f t="shared" si="3"/>
        <v>3564.4494263218394</v>
      </c>
      <c r="H28" s="18">
        <f t="shared" si="3"/>
        <v>3632.7541845560327</v>
      </c>
      <c r="I28" s="18">
        <f t="shared" si="3"/>
        <v>4062.9751723435261</v>
      </c>
      <c r="J28" s="18">
        <f t="shared" si="3"/>
        <v>3862.0750873648294</v>
      </c>
      <c r="K28" s="18">
        <f t="shared" si="3"/>
        <v>3611.9558821190576</v>
      </c>
      <c r="L28" s="18">
        <f t="shared" si="3"/>
        <v>3674.9641627439091</v>
      </c>
    </row>
    <row r="29" spans="1:17">
      <c r="C29" s="20">
        <f>C27/B27-1</f>
        <v>3.5291185535359482E-2</v>
      </c>
      <c r="D29" s="20">
        <f t="shared" ref="D29:L29" si="4">D27/C27-1</f>
        <v>-0.30174999890455756</v>
      </c>
      <c r="E29" s="20">
        <f t="shared" si="4"/>
        <v>0.19891663917095492</v>
      </c>
      <c r="F29" s="20">
        <f t="shared" si="4"/>
        <v>0.16044648436247799</v>
      </c>
      <c r="G29" s="20">
        <f t="shared" si="4"/>
        <v>8.4317220802176518E-2</v>
      </c>
      <c r="H29" s="20">
        <f t="shared" si="4"/>
        <v>9.1949351406057422E-2</v>
      </c>
      <c r="I29" s="20">
        <f t="shared" si="4"/>
        <v>0.15239803846740241</v>
      </c>
      <c r="J29" s="20">
        <f t="shared" si="4"/>
        <v>-8.7780156020075162E-2</v>
      </c>
      <c r="K29" s="20">
        <f t="shared" si="4"/>
        <v>-9.5384803068383595E-2</v>
      </c>
      <c r="L29" s="20">
        <f t="shared" si="4"/>
        <v>0.19721187365023174</v>
      </c>
    </row>
    <row r="30" spans="1:17">
      <c r="A30" s="10" t="s">
        <v>243</v>
      </c>
    </row>
    <row r="31" spans="1:17">
      <c r="A31" t="s">
        <v>194</v>
      </c>
      <c r="B31">
        <f t="shared" ref="B31:L36" si="5">B23/B11</f>
        <v>2.9716771092486105E-2</v>
      </c>
      <c r="C31" s="164">
        <f t="shared" si="5"/>
        <v>3.1699964199372224E-2</v>
      </c>
      <c r="D31" s="164">
        <f t="shared" si="5"/>
        <v>3.1567129685636443E-2</v>
      </c>
      <c r="E31" s="164">
        <f t="shared" si="5"/>
        <v>3.1826321056742428E-2</v>
      </c>
      <c r="F31" s="164">
        <f t="shared" si="5"/>
        <v>3.3691253699894244E-2</v>
      </c>
      <c r="G31" s="164">
        <f t="shared" si="5"/>
        <v>3.5302035351529995E-2</v>
      </c>
      <c r="H31" s="164">
        <f t="shared" si="5"/>
        <v>3.54367451051208E-2</v>
      </c>
      <c r="I31" s="164">
        <f t="shared" si="5"/>
        <v>3.4970148086859727E-2</v>
      </c>
      <c r="J31" s="164">
        <f t="shared" si="5"/>
        <v>3.7531789625889315E-2</v>
      </c>
      <c r="K31" s="164">
        <f t="shared" si="5"/>
        <v>3.8025623584499013E-2</v>
      </c>
      <c r="L31" s="164">
        <f t="shared" si="5"/>
        <v>3.8921597754061815E-2</v>
      </c>
    </row>
    <row r="32" spans="1:17">
      <c r="A32" t="s">
        <v>195</v>
      </c>
      <c r="B32">
        <f t="shared" si="5"/>
        <v>8.0769449877069938E-2</v>
      </c>
      <c r="C32" s="164">
        <f t="shared" si="5"/>
        <v>9.1994771247248447E-2</v>
      </c>
      <c r="D32" s="164">
        <f t="shared" si="5"/>
        <v>8.6417118973285731E-2</v>
      </c>
      <c r="E32" s="164">
        <f t="shared" si="5"/>
        <v>9.8962481603702412E-2</v>
      </c>
      <c r="F32" s="164">
        <f t="shared" si="5"/>
        <v>0.11207694901680834</v>
      </c>
      <c r="G32" s="164">
        <f t="shared" si="5"/>
        <v>0.11594493912994182</v>
      </c>
      <c r="H32" s="164">
        <f t="shared" si="5"/>
        <v>0.12339999643412403</v>
      </c>
      <c r="I32" s="164">
        <f t="shared" si="5"/>
        <v>0.12010658327879252</v>
      </c>
      <c r="J32" s="164">
        <f t="shared" si="5"/>
        <v>0.11571696677750416</v>
      </c>
      <c r="K32" s="164">
        <f t="shared" si="5"/>
        <v>0.10866610914310525</v>
      </c>
      <c r="L32" s="164">
        <f t="shared" si="5"/>
        <v>0.10718220948302301</v>
      </c>
    </row>
    <row r="33" spans="1:14">
      <c r="A33" t="s">
        <v>196</v>
      </c>
      <c r="B33">
        <f t="shared" si="5"/>
        <v>3.7832218056750418E-2</v>
      </c>
      <c r="C33" s="164">
        <f t="shared" si="5"/>
        <v>4.137631998287393E-2</v>
      </c>
      <c r="D33" s="164">
        <f t="shared" si="5"/>
        <v>4.2478993660422328E-2</v>
      </c>
      <c r="E33" s="164">
        <f t="shared" si="5"/>
        <v>4.2337455059292164E-2</v>
      </c>
      <c r="F33" s="164">
        <f t="shared" si="5"/>
        <v>4.3236383494616247E-2</v>
      </c>
      <c r="G33" s="164">
        <f t="shared" si="5"/>
        <v>4.2561875131024267E-2</v>
      </c>
      <c r="H33" s="164">
        <f t="shared" si="5"/>
        <v>4.2278787675870198E-2</v>
      </c>
      <c r="I33" s="164">
        <f t="shared" si="5"/>
        <v>4.3423246140983036E-2</v>
      </c>
      <c r="J33" s="164">
        <f t="shared" si="5"/>
        <v>4.6729183197146258E-2</v>
      </c>
      <c r="K33" s="164">
        <f t="shared" si="5"/>
        <v>5.0606296015196624E-2</v>
      </c>
      <c r="L33" s="164">
        <f t="shared" si="5"/>
        <v>5.2046931975188282E-2</v>
      </c>
    </row>
    <row r="34" spans="1:14">
      <c r="A34" t="s">
        <v>197</v>
      </c>
      <c r="B34">
        <f t="shared" si="5"/>
        <v>9.8351738908008784E-3</v>
      </c>
      <c r="C34" s="164">
        <f t="shared" si="5"/>
        <v>1.0617934460794671E-2</v>
      </c>
      <c r="D34" s="164">
        <f t="shared" si="5"/>
        <v>1.3025322068024908E-2</v>
      </c>
      <c r="E34" s="164">
        <f t="shared" si="5"/>
        <v>1.3089573332138763E-2</v>
      </c>
      <c r="F34" s="164">
        <f t="shared" si="5"/>
        <v>1.3077712164381692E-2</v>
      </c>
      <c r="G34" s="164">
        <f t="shared" si="5"/>
        <v>1.3866761639676969E-2</v>
      </c>
      <c r="H34" s="164">
        <f t="shared" si="5"/>
        <v>1.6228191018421927E-2</v>
      </c>
      <c r="I34" s="164">
        <f t="shared" si="5"/>
        <v>1.6472447846248905E-2</v>
      </c>
      <c r="J34" s="164">
        <f t="shared" si="5"/>
        <v>1.8741262087030353E-2</v>
      </c>
      <c r="K34" s="164">
        <f t="shared" si="5"/>
        <v>1.9564388272615394E-2</v>
      </c>
      <c r="L34" s="164">
        <f t="shared" si="5"/>
        <v>1.8182455706159655E-2</v>
      </c>
    </row>
    <row r="35" spans="1:14">
      <c r="A35" t="s">
        <v>198</v>
      </c>
      <c r="B35">
        <f t="shared" si="5"/>
        <v>3.8336509009339478E-2</v>
      </c>
      <c r="C35" s="164">
        <f t="shared" si="5"/>
        <v>4.2156219272737584E-2</v>
      </c>
      <c r="D35" s="164">
        <f t="shared" si="5"/>
        <v>4.0126995064201344E-2</v>
      </c>
      <c r="E35" s="164">
        <f t="shared" si="5"/>
        <v>4.1353408025965946E-2</v>
      </c>
      <c r="F35" s="164">
        <f t="shared" si="5"/>
        <v>4.3337728002237619E-2</v>
      </c>
      <c r="G35" s="164">
        <f t="shared" si="5"/>
        <v>4.4274660819359428E-2</v>
      </c>
      <c r="H35" s="164">
        <f t="shared" si="5"/>
        <v>4.4095544193935701E-2</v>
      </c>
      <c r="I35" s="164">
        <f t="shared" si="5"/>
        <v>4.4874991539269382E-2</v>
      </c>
      <c r="J35" s="164">
        <f t="shared" si="5"/>
        <v>4.7489737042618024E-2</v>
      </c>
      <c r="K35" s="164">
        <f t="shared" si="5"/>
        <v>4.7547284167863087E-2</v>
      </c>
      <c r="L35" s="164">
        <f t="shared" si="5"/>
        <v>4.6383836977327515E-2</v>
      </c>
    </row>
    <row r="36" spans="1:14">
      <c r="A36" t="s">
        <v>199</v>
      </c>
      <c r="B36">
        <f t="shared" si="5"/>
        <v>3.3573012737767326E-2</v>
      </c>
      <c r="C36" s="164">
        <f t="shared" si="5"/>
        <v>3.5554556929998371E-2</v>
      </c>
      <c r="D36" s="164">
        <f t="shared" si="5"/>
        <v>3.4208154931982648E-2</v>
      </c>
      <c r="E36" s="164">
        <f t="shared" si="5"/>
        <v>3.8235633029841745E-2</v>
      </c>
      <c r="F36" s="164">
        <f t="shared" si="5"/>
        <v>4.2011379142967424E-2</v>
      </c>
      <c r="G36" s="164">
        <f t="shared" si="5"/>
        <v>4.553635712050589E-2</v>
      </c>
      <c r="H36" s="164">
        <f t="shared" si="5"/>
        <v>4.6233540160307895E-2</v>
      </c>
      <c r="I36" s="164">
        <f t="shared" si="5"/>
        <v>4.8584490324219763E-2</v>
      </c>
      <c r="J36" s="164">
        <f t="shared" si="5"/>
        <v>4.8843747152710629E-2</v>
      </c>
      <c r="K36" s="164">
        <f t="shared" si="5"/>
        <v>4.6872602578791028E-2</v>
      </c>
      <c r="L36" s="164">
        <f t="shared" si="5"/>
        <v>4.7528668314480015E-2</v>
      </c>
    </row>
    <row r="38" spans="1:14">
      <c r="A38" s="10" t="s">
        <v>207</v>
      </c>
    </row>
    <row r="39" spans="1:14">
      <c r="A39" t="s">
        <v>194</v>
      </c>
      <c r="C39" s="163">
        <f t="shared" ref="C39:L44" si="6">C23/B23-1</f>
        <v>0.17344723220779512</v>
      </c>
      <c r="D39" s="163">
        <f t="shared" si="6"/>
        <v>-8.7159516068157861E-2</v>
      </c>
      <c r="E39" s="163">
        <f t="shared" si="6"/>
        <v>9.5490491105393316E-2</v>
      </c>
      <c r="F39" s="163">
        <f t="shared" si="6"/>
        <v>5.6881579360633205E-2</v>
      </c>
      <c r="G39" s="163">
        <f t="shared" si="6"/>
        <v>-3.17266162834412E-2</v>
      </c>
      <c r="H39" s="163">
        <f t="shared" si="6"/>
        <v>-2.3864874451745566E-3</v>
      </c>
      <c r="I39" s="163">
        <f t="shared" si="6"/>
        <v>0.14990239909804082</v>
      </c>
      <c r="J39" s="163">
        <f t="shared" si="6"/>
        <v>1.382507577433878E-2</v>
      </c>
      <c r="K39" s="163">
        <f t="shared" si="6"/>
        <v>4.9461821868801437E-2</v>
      </c>
      <c r="L39" s="163">
        <f t="shared" si="6"/>
        <v>-2.4805166697584591E-3</v>
      </c>
    </row>
    <row r="40" spans="1:14">
      <c r="A40" t="s">
        <v>195</v>
      </c>
      <c r="C40" s="163">
        <f t="shared" si="6"/>
        <v>-8.9050711800804483E-2</v>
      </c>
      <c r="D40" s="163">
        <f t="shared" si="6"/>
        <v>-0.34562560319892832</v>
      </c>
      <c r="E40" s="163">
        <f t="shared" si="6"/>
        <v>0.47461495259414765</v>
      </c>
      <c r="F40" s="163">
        <f t="shared" si="6"/>
        <v>0.17423734161885585</v>
      </c>
      <c r="G40" s="163">
        <f t="shared" si="6"/>
        <v>0.18868632963891829</v>
      </c>
      <c r="H40" s="163">
        <f t="shared" si="6"/>
        <v>0.15169578978439646</v>
      </c>
      <c r="I40" s="163">
        <f t="shared" si="6"/>
        <v>1.1114239571900386E-2</v>
      </c>
      <c r="J40" s="163">
        <f t="shared" si="6"/>
        <v>4.3524922843057645E-2</v>
      </c>
      <c r="K40" s="163">
        <f t="shared" si="6"/>
        <v>-6.098354280749807E-2</v>
      </c>
      <c r="L40" s="163">
        <f t="shared" si="6"/>
        <v>-8.4506047031253084E-3</v>
      </c>
    </row>
    <row r="41" spans="1:14">
      <c r="A41" t="s">
        <v>196</v>
      </c>
      <c r="C41" s="163">
        <f t="shared" si="6"/>
        <v>6.0513621619369129E-2</v>
      </c>
      <c r="D41" s="163">
        <f t="shared" si="6"/>
        <v>-9.9829225234243535E-2</v>
      </c>
      <c r="E41" s="163">
        <f t="shared" si="6"/>
        <v>0.12480069584265241</v>
      </c>
      <c r="F41" s="163">
        <f t="shared" si="6"/>
        <v>0.12120338712654299</v>
      </c>
      <c r="G41" s="163">
        <f t="shared" si="6"/>
        <v>0.12580506652300461</v>
      </c>
      <c r="H41" s="163">
        <f t="shared" si="6"/>
        <v>7.8949371445347971E-2</v>
      </c>
      <c r="I41" s="163">
        <f t="shared" si="6"/>
        <v>4.8676348299358185E-2</v>
      </c>
      <c r="J41" s="163">
        <f t="shared" si="6"/>
        <v>2.1812535514900144E-2</v>
      </c>
      <c r="K41" s="163">
        <f t="shared" si="6"/>
        <v>1.1337698068427882E-2</v>
      </c>
      <c r="L41" s="163">
        <f t="shared" si="6"/>
        <v>2.0557889614871705E-2</v>
      </c>
    </row>
    <row r="42" spans="1:14">
      <c r="A42" t="s">
        <v>197</v>
      </c>
      <c r="C42" s="163">
        <f t="shared" si="6"/>
        <v>0.10944950848545165</v>
      </c>
      <c r="D42" s="163">
        <f t="shared" si="6"/>
        <v>3.6163464572304571E-2</v>
      </c>
      <c r="E42" s="163">
        <f t="shared" si="6"/>
        <v>3.8807091011976436E-2</v>
      </c>
      <c r="F42" s="163">
        <f t="shared" si="6"/>
        <v>5.6599218848874866E-2</v>
      </c>
      <c r="G42" s="163">
        <f t="shared" si="6"/>
        <v>-7.7896139351137483E-2</v>
      </c>
      <c r="H42" s="163">
        <f t="shared" si="6"/>
        <v>5.4294827078878782E-2</v>
      </c>
      <c r="I42" s="163">
        <f t="shared" si="6"/>
        <v>3.925703785755208E-2</v>
      </c>
      <c r="J42" s="163">
        <f t="shared" si="6"/>
        <v>-0.10156842691449441</v>
      </c>
      <c r="K42" s="163">
        <f t="shared" si="6"/>
        <v>-0.19102549056926199</v>
      </c>
      <c r="L42" s="163">
        <f t="shared" si="6"/>
        <v>3.6522691850918276E-2</v>
      </c>
    </row>
    <row r="43" spans="1:14">
      <c r="A43" t="s">
        <v>198</v>
      </c>
      <c r="C43" s="163">
        <f t="shared" si="6"/>
        <v>3.5291185535359482E-2</v>
      </c>
      <c r="D43" s="163">
        <f t="shared" si="6"/>
        <v>-0.30174999890455756</v>
      </c>
      <c r="E43" s="163">
        <f t="shared" si="6"/>
        <v>0.19891663917095492</v>
      </c>
      <c r="F43" s="163">
        <f t="shared" si="6"/>
        <v>0.16044648436247799</v>
      </c>
      <c r="G43" s="163">
        <f t="shared" si="6"/>
        <v>8.4317220802176518E-2</v>
      </c>
      <c r="H43" s="163">
        <f t="shared" si="6"/>
        <v>9.1949351406057422E-2</v>
      </c>
      <c r="I43" s="163">
        <f t="shared" si="6"/>
        <v>0.15239803846740241</v>
      </c>
      <c r="J43" s="163">
        <f t="shared" si="6"/>
        <v>-8.7780156020075162E-2</v>
      </c>
      <c r="K43" s="163">
        <f t="shared" si="6"/>
        <v>-9.5384803068383595E-2</v>
      </c>
      <c r="L43" s="163">
        <f t="shared" si="6"/>
        <v>0.19721187365023174</v>
      </c>
    </row>
    <row r="44" spans="1:14">
      <c r="A44" t="s">
        <v>199</v>
      </c>
      <c r="C44" s="163">
        <f t="shared" si="6"/>
        <v>-1.4707585774641485E-3</v>
      </c>
      <c r="D44" s="163">
        <f t="shared" si="6"/>
        <v>-0.11481083890716737</v>
      </c>
      <c r="E44" s="163">
        <f t="shared" si="6"/>
        <v>0.26719948982152908</v>
      </c>
      <c r="F44" s="163">
        <f t="shared" si="6"/>
        <v>8.3663002214185989E-2</v>
      </c>
      <c r="G44" s="163">
        <f t="shared" si="6"/>
        <v>8.2660511431244643E-2</v>
      </c>
      <c r="H44" s="163">
        <f t="shared" si="6"/>
        <v>1.9162779454743761E-2</v>
      </c>
      <c r="I44" s="163">
        <f t="shared" si="6"/>
        <v>0.11842832350630728</v>
      </c>
      <c r="J44" s="163">
        <f t="shared" si="6"/>
        <v>-4.9446545070276016E-2</v>
      </c>
      <c r="K44" s="163">
        <f t="shared" si="6"/>
        <v>-6.4762905844079066E-2</v>
      </c>
      <c r="L44" s="163">
        <f t="shared" si="6"/>
        <v>1.7444366066809769E-2</v>
      </c>
    </row>
    <row r="45" spans="1:14">
      <c r="C45" s="163"/>
      <c r="D45" s="163"/>
      <c r="E45" s="163"/>
      <c r="F45" s="163"/>
      <c r="G45" s="163"/>
      <c r="H45" s="163"/>
      <c r="I45" s="163"/>
      <c r="J45" s="163"/>
      <c r="K45" s="163"/>
    </row>
    <row r="46" spans="1:14">
      <c r="A46" s="10" t="s">
        <v>208</v>
      </c>
      <c r="C46" s="163"/>
      <c r="D46" s="163"/>
      <c r="E46" s="163"/>
      <c r="F46" s="163"/>
      <c r="G46" s="163"/>
      <c r="H46" s="163"/>
      <c r="I46" s="163"/>
      <c r="J46" s="163"/>
      <c r="K46" s="163"/>
      <c r="N46" s="10" t="s">
        <v>209</v>
      </c>
    </row>
    <row r="47" spans="1:14">
      <c r="A47" t="s">
        <v>194</v>
      </c>
      <c r="B47" s="17">
        <v>100</v>
      </c>
      <c r="C47" s="17">
        <f>B47*(1+C39)</f>
        <v>117.34472322077951</v>
      </c>
      <c r="D47" s="17">
        <f t="shared" ref="D47:L47" si="7">C47*(1+D39)</f>
        <v>107.11701393170445</v>
      </c>
      <c r="E47" s="17">
        <f t="shared" si="7"/>
        <v>117.34567019778616</v>
      </c>
      <c r="F47" s="17">
        <f t="shared" si="7"/>
        <v>124.02047724976823</v>
      </c>
      <c r="G47" s="17">
        <f t="shared" si="7"/>
        <v>120.08572715677559</v>
      </c>
      <c r="H47" s="17">
        <f t="shared" si="7"/>
        <v>119.79914407657128</v>
      </c>
      <c r="I47" s="17">
        <f t="shared" si="7"/>
        <v>137.75732318354116</v>
      </c>
      <c r="J47" s="17">
        <f t="shared" si="7"/>
        <v>139.66182861502369</v>
      </c>
      <c r="K47" s="17">
        <f t="shared" si="7"/>
        <v>146.56975710385106</v>
      </c>
      <c r="L47" s="17">
        <f t="shared" si="7"/>
        <v>146.20618837807251</v>
      </c>
      <c r="N47" s="163">
        <f>SUM(C47:L47)/SUM(B47:K47)-1</f>
        <v>3.757512061919499E-2</v>
      </c>
    </row>
    <row r="48" spans="1:14">
      <c r="A48" t="s">
        <v>195</v>
      </c>
      <c r="B48" s="17">
        <v>100</v>
      </c>
      <c r="C48" s="17">
        <f t="shared" ref="C48:L52" si="8">B48*(1+C40)</f>
        <v>91.094928819919545</v>
      </c>
      <c r="D48" s="17">
        <f t="shared" si="8"/>
        <v>59.610189098171411</v>
      </c>
      <c r="E48" s="17">
        <f t="shared" si="8"/>
        <v>87.902076171128215</v>
      </c>
      <c r="F48" s="17">
        <f t="shared" si="8"/>
        <v>103.21790024596378</v>
      </c>
      <c r="G48" s="17">
        <f t="shared" si="8"/>
        <v>122.69370699641068</v>
      </c>
      <c r="H48" s="17">
        <f t="shared" si="8"/>
        <v>141.30582578080654</v>
      </c>
      <c r="I48" s="17">
        <f t="shared" si="8"/>
        <v>142.87633258143964</v>
      </c>
      <c r="J48" s="17">
        <f t="shared" si="8"/>
        <v>149.09501393314585</v>
      </c>
      <c r="K48" s="17">
        <f t="shared" si="8"/>
        <v>140.00267176856934</v>
      </c>
      <c r="L48" s="17">
        <f t="shared" si="8"/>
        <v>138.81956453207175</v>
      </c>
      <c r="N48" s="163">
        <f t="shared" ref="N48:N52" si="9">SUM(C48:L48)/SUM(B48:K48)-1</f>
        <v>3.4118132139783208E-2</v>
      </c>
    </row>
    <row r="49" spans="1:15">
      <c r="A49" t="s">
        <v>196</v>
      </c>
      <c r="B49" s="17">
        <v>100</v>
      </c>
      <c r="C49" s="17">
        <f t="shared" si="8"/>
        <v>106.05136216193691</v>
      </c>
      <c r="D49" s="17">
        <f t="shared" si="8"/>
        <v>95.464336842274577</v>
      </c>
      <c r="E49" s="17">
        <f t="shared" si="8"/>
        <v>107.3783525083478</v>
      </c>
      <c r="F49" s="17">
        <f t="shared" si="8"/>
        <v>120.39297253642748</v>
      </c>
      <c r="G49" s="17">
        <f t="shared" si="8"/>
        <v>135.539018455275</v>
      </c>
      <c r="H49" s="17">
        <f t="shared" si="8"/>
        <v>146.23973876863838</v>
      </c>
      <c r="I49" s="17">
        <f t="shared" si="8"/>
        <v>153.35815522814778</v>
      </c>
      <c r="J49" s="17">
        <f t="shared" si="8"/>
        <v>156.70328543556133</v>
      </c>
      <c r="K49" s="17">
        <f t="shared" si="8"/>
        <v>158.47993997216039</v>
      </c>
      <c r="L49" s="17">
        <f t="shared" si="8"/>
        <v>161.73795308427955</v>
      </c>
      <c r="N49" s="163">
        <f t="shared" si="9"/>
        <v>4.8247583259995119E-2</v>
      </c>
    </row>
    <row r="50" spans="1:15">
      <c r="A50" t="s">
        <v>197</v>
      </c>
      <c r="B50" s="17">
        <v>100</v>
      </c>
      <c r="C50" s="17">
        <f t="shared" si="8"/>
        <v>110.94495084854516</v>
      </c>
      <c r="D50" s="17">
        <f t="shared" si="8"/>
        <v>114.9571046480326</v>
      </c>
      <c r="E50" s="17">
        <f t="shared" si="8"/>
        <v>119.4182554705821</v>
      </c>
      <c r="F50" s="17">
        <f t="shared" si="8"/>
        <v>126.17723544651243</v>
      </c>
      <c r="G50" s="17">
        <f t="shared" si="8"/>
        <v>116.34851593122961</v>
      </c>
      <c r="H50" s="17">
        <f t="shared" si="8"/>
        <v>122.6656384845999</v>
      </c>
      <c r="I50" s="17">
        <f t="shared" si="8"/>
        <v>127.48112809841064</v>
      </c>
      <c r="J50" s="17">
        <f t="shared" si="8"/>
        <v>114.53307045616991</v>
      </c>
      <c r="K50" s="17">
        <f t="shared" si="8"/>
        <v>92.654334485876205</v>
      </c>
      <c r="L50" s="17">
        <f t="shared" si="8"/>
        <v>96.038320192955766</v>
      </c>
      <c r="N50" s="163">
        <f t="shared" si="9"/>
        <v>-3.4594378158766537E-3</v>
      </c>
    </row>
    <row r="51" spans="1:15">
      <c r="A51" t="s">
        <v>198</v>
      </c>
      <c r="B51" s="17">
        <v>100</v>
      </c>
      <c r="C51" s="17">
        <f t="shared" si="8"/>
        <v>103.52911855353595</v>
      </c>
      <c r="D51" s="17">
        <f t="shared" si="8"/>
        <v>72.289207143416675</v>
      </c>
      <c r="E51" s="17">
        <f t="shared" si="8"/>
        <v>86.6687332767181</v>
      </c>
      <c r="F51" s="17">
        <f t="shared" si="8"/>
        <v>100.57442683511682</v>
      </c>
      <c r="G51" s="17">
        <f t="shared" si="8"/>
        <v>109.05458298962571</v>
      </c>
      <c r="H51" s="17">
        <f t="shared" si="8"/>
        <v>119.08208116337987</v>
      </c>
      <c r="I51" s="17">
        <f t="shared" si="8"/>
        <v>137.22995674929496</v>
      </c>
      <c r="J51" s="17">
        <f t="shared" si="8"/>
        <v>125.18388973521368</v>
      </c>
      <c r="K51" s="17">
        <f t="shared" si="8"/>
        <v>113.24324906548608</v>
      </c>
      <c r="L51" s="17">
        <f t="shared" si="8"/>
        <v>135.57616239193044</v>
      </c>
      <c r="N51" s="163">
        <f t="shared" si="9"/>
        <v>3.3346756780357811E-2</v>
      </c>
    </row>
    <row r="52" spans="1:15">
      <c r="A52" t="s">
        <v>199</v>
      </c>
      <c r="B52" s="17">
        <v>100</v>
      </c>
      <c r="C52" s="17">
        <f t="shared" si="8"/>
        <v>99.852924142253585</v>
      </c>
      <c r="D52" s="17">
        <f t="shared" si="8"/>
        <v>88.388726154147705</v>
      </c>
      <c r="E52" s="17">
        <f t="shared" si="8"/>
        <v>112.00614868851082</v>
      </c>
      <c r="F52" s="17">
        <f t="shared" si="8"/>
        <v>121.37691935424014</v>
      </c>
      <c r="G52" s="17">
        <f t="shared" si="8"/>
        <v>131.40999758401057</v>
      </c>
      <c r="H52" s="17">
        <f t="shared" si="8"/>
        <v>133.92817838586137</v>
      </c>
      <c r="I52" s="17">
        <f t="shared" si="8"/>
        <v>149.78906802235258</v>
      </c>
      <c r="J52" s="17">
        <f t="shared" si="8"/>
        <v>142.3825161193507</v>
      </c>
      <c r="K52" s="17">
        <f t="shared" si="8"/>
        <v>133.16141063407011</v>
      </c>
      <c r="L52" s="17">
        <f t="shared" si="8"/>
        <v>135.48432702714359</v>
      </c>
      <c r="N52" s="163">
        <f t="shared" si="9"/>
        <v>2.92703516910644E-2</v>
      </c>
    </row>
    <row r="54" spans="1:15">
      <c r="A54" s="10" t="s">
        <v>210</v>
      </c>
      <c r="M54" t="s">
        <v>211</v>
      </c>
      <c r="N54" t="s">
        <v>100</v>
      </c>
      <c r="O54" t="s">
        <v>102</v>
      </c>
    </row>
    <row r="55" spans="1:15">
      <c r="A55" t="s">
        <v>194</v>
      </c>
      <c r="G55" s="163">
        <f t="shared" ref="G55:L60" si="10">SUM(C31:G31)/SUM(B31:F31)-1</f>
        <v>3.5237940225732567E-2</v>
      </c>
      <c r="H55" s="163">
        <f t="shared" si="10"/>
        <v>2.2773209619129098E-2</v>
      </c>
      <c r="I55" s="163">
        <f t="shared" si="10"/>
        <v>2.0277367039975625E-2</v>
      </c>
      <c r="J55" s="163">
        <f t="shared" si="10"/>
        <v>3.3321176682243214E-2</v>
      </c>
      <c r="K55" s="163">
        <f t="shared" si="10"/>
        <v>2.4497380766245858E-2</v>
      </c>
      <c r="L55" s="163">
        <f t="shared" si="10"/>
        <v>1.9968199101441542E-2</v>
      </c>
      <c r="M55" s="135">
        <f>MEDIAN(G55:L55)</f>
        <v>2.3635295192687478E-2</v>
      </c>
      <c r="N55" s="135">
        <f>MAX(G55:L55)</f>
        <v>3.5237940225732567E-2</v>
      </c>
      <c r="O55" s="135">
        <f>MIN(G55:L55)</f>
        <v>1.9968199101441542E-2</v>
      </c>
    </row>
    <row r="56" spans="1:15">
      <c r="A56" t="s">
        <v>195</v>
      </c>
      <c r="G56" s="163">
        <f t="shared" si="10"/>
        <v>7.4806328098081298E-2</v>
      </c>
      <c r="H56" s="163">
        <f t="shared" si="10"/>
        <v>6.2139805286011596E-2</v>
      </c>
      <c r="I56" s="163">
        <f t="shared" si="10"/>
        <v>6.2759633192146058E-2</v>
      </c>
      <c r="J56" s="163">
        <f t="shared" si="10"/>
        <v>2.9368538080335682E-2</v>
      </c>
      <c r="K56" s="163">
        <f t="shared" si="10"/>
        <v>-5.8082016011082871E-3</v>
      </c>
      <c r="L56" s="163">
        <f t="shared" si="10"/>
        <v>-1.5008925002926388E-2</v>
      </c>
      <c r="M56" s="135">
        <f t="shared" ref="M56:M60" si="11">MEDIAN(G56:L56)</f>
        <v>4.5754171683173639E-2</v>
      </c>
      <c r="N56" s="135">
        <f t="shared" ref="N56:N60" si="12">MAX(G56:L56)</f>
        <v>7.4806328098081298E-2</v>
      </c>
      <c r="O56" s="135">
        <f t="shared" ref="O56:O60" si="13">MIN(G56:L56)</f>
        <v>-1.5008925002926388E-2</v>
      </c>
    </row>
    <row r="57" spans="1:15">
      <c r="A57" t="s">
        <v>196</v>
      </c>
      <c r="G57" s="163">
        <f t="shared" si="10"/>
        <v>2.2819771327762028E-2</v>
      </c>
      <c r="H57" s="163">
        <f t="shared" si="10"/>
        <v>4.2571032574834078E-3</v>
      </c>
      <c r="I57" s="163">
        <f t="shared" si="10"/>
        <v>4.4353280050504207E-3</v>
      </c>
      <c r="J57" s="163">
        <f t="shared" si="10"/>
        <v>2.0537665539230421E-2</v>
      </c>
      <c r="K57" s="163">
        <f t="shared" si="10"/>
        <v>3.3771389034312982E-2</v>
      </c>
      <c r="L57" s="163">
        <f t="shared" si="10"/>
        <v>4.2043805710269666E-2</v>
      </c>
      <c r="M57" s="135">
        <f t="shared" si="11"/>
        <v>2.1678718433496225E-2</v>
      </c>
      <c r="N57" s="135">
        <f t="shared" si="12"/>
        <v>4.2043805710269666E-2</v>
      </c>
      <c r="O57" s="135">
        <f t="shared" si="13"/>
        <v>4.2571032574834078E-3</v>
      </c>
    </row>
    <row r="58" spans="1:15">
      <c r="A58" t="s">
        <v>197</v>
      </c>
      <c r="G58" s="163">
        <f t="shared" si="10"/>
        <v>6.759224341517367E-2</v>
      </c>
      <c r="H58" s="163">
        <f t="shared" si="10"/>
        <v>8.8104493041049059E-2</v>
      </c>
      <c r="I58" s="163">
        <f t="shared" si="10"/>
        <v>4.9751005334106368E-2</v>
      </c>
      <c r="J58" s="163">
        <f t="shared" si="10"/>
        <v>7.7702799938177192E-2</v>
      </c>
      <c r="K58" s="163">
        <f t="shared" si="10"/>
        <v>8.2752597354389668E-2</v>
      </c>
      <c r="L58" s="163">
        <f>SUM(H34:L34)/SUM(G34:K34)-1</f>
        <v>5.0848815054362229E-2</v>
      </c>
      <c r="M58" s="135">
        <f t="shared" si="11"/>
        <v>7.2647521676675431E-2</v>
      </c>
      <c r="N58" s="135">
        <f t="shared" si="12"/>
        <v>8.8104493041049059E-2</v>
      </c>
      <c r="O58" s="135">
        <f t="shared" si="13"/>
        <v>4.9751005334106368E-2</v>
      </c>
    </row>
    <row r="59" spans="1:15">
      <c r="A59" t="s">
        <v>198</v>
      </c>
      <c r="G59" s="163">
        <f t="shared" si="10"/>
        <v>2.8922736128579096E-2</v>
      </c>
      <c r="H59" s="163">
        <f t="shared" si="10"/>
        <v>9.1802792842630154E-3</v>
      </c>
      <c r="I59" s="163">
        <f t="shared" si="10"/>
        <v>2.2271370759767706E-2</v>
      </c>
      <c r="J59" s="163">
        <f t="shared" si="10"/>
        <v>2.815652142066738E-2</v>
      </c>
      <c r="K59" s="163">
        <f t="shared" si="10"/>
        <v>1.8786567426902545E-2</v>
      </c>
      <c r="L59" s="163">
        <f t="shared" si="10"/>
        <v>9.2393361981326638E-3</v>
      </c>
      <c r="M59" s="135">
        <f t="shared" si="11"/>
        <v>2.0528969093335125E-2</v>
      </c>
      <c r="N59" s="135">
        <f t="shared" si="12"/>
        <v>2.8922736128579096E-2</v>
      </c>
      <c r="O59" s="135">
        <f t="shared" si="13"/>
        <v>9.1802792842630154E-3</v>
      </c>
    </row>
    <row r="60" spans="1:15">
      <c r="A60" t="s">
        <v>199</v>
      </c>
      <c r="G60" s="163">
        <f t="shared" si="10"/>
        <v>6.5165955105898732E-2</v>
      </c>
      <c r="H60" s="163">
        <f t="shared" si="10"/>
        <v>5.4611082805738453E-2</v>
      </c>
      <c r="I60" s="163">
        <f t="shared" si="10"/>
        <v>6.97118724877972E-2</v>
      </c>
      <c r="J60" s="163">
        <f t="shared" si="10"/>
        <v>4.8087247558500579E-2</v>
      </c>
      <c r="K60" s="163">
        <f t="shared" si="10"/>
        <v>2.1025187734753592E-2</v>
      </c>
      <c r="L60" s="163">
        <f t="shared" si="10"/>
        <v>8.4394669854146454E-3</v>
      </c>
      <c r="M60" s="135">
        <f t="shared" si="11"/>
        <v>5.1349165182119516E-2</v>
      </c>
      <c r="N60" s="135">
        <f t="shared" si="12"/>
        <v>6.97118724877972E-2</v>
      </c>
      <c r="O60" s="135">
        <f t="shared" si="13"/>
        <v>8.4394669854146454E-3</v>
      </c>
    </row>
    <row r="62" spans="1:15">
      <c r="A62" s="10" t="s">
        <v>212</v>
      </c>
      <c r="M62" t="s">
        <v>211</v>
      </c>
      <c r="N62" t="s">
        <v>100</v>
      </c>
      <c r="O62" t="s">
        <v>102</v>
      </c>
    </row>
    <row r="63" spans="1:15">
      <c r="A63" t="s">
        <v>194</v>
      </c>
      <c r="G63" s="163">
        <f t="shared" ref="G63:L68" si="14">SUM(C11:G11)/SUM(B11:F11)-1</f>
        <v>2.0508229073403772E-3</v>
      </c>
      <c r="H63" s="163">
        <f t="shared" si="14"/>
        <v>-1.7972881625511916E-2</v>
      </c>
      <c r="I63" s="163">
        <f t="shared" si="14"/>
        <v>3.1120712446617738E-2</v>
      </c>
      <c r="J63" s="163">
        <f t="shared" si="14"/>
        <v>1.8848965732303213E-3</v>
      </c>
      <c r="K63" s="163">
        <f t="shared" si="14"/>
        <v>9.5681424661828718E-3</v>
      </c>
      <c r="L63" s="163">
        <f t="shared" si="14"/>
        <v>1.9388829385152517E-2</v>
      </c>
      <c r="M63" s="135">
        <f>MEDIAN(G63:L63)</f>
        <v>5.8094826867616245E-3</v>
      </c>
      <c r="N63" s="135">
        <f>MAX(G63:L63)</f>
        <v>3.1120712446617738E-2</v>
      </c>
      <c r="O63" s="135">
        <f>MIN(G63:L63)</f>
        <v>-1.7972881625511916E-2</v>
      </c>
    </row>
    <row r="64" spans="1:15">
      <c r="A64" t="s">
        <v>195</v>
      </c>
      <c r="G64" s="163">
        <f t="shared" si="14"/>
        <v>-3.8052434456928852E-2</v>
      </c>
      <c r="H64" s="163">
        <f t="shared" si="14"/>
        <v>3.4060115246846268E-2</v>
      </c>
      <c r="I64" s="163">
        <f t="shared" si="14"/>
        <v>0.10628492251155919</v>
      </c>
      <c r="J64" s="163">
        <f t="shared" si="14"/>
        <v>7.693250197402457E-2</v>
      </c>
      <c r="K64" s="163">
        <f t="shared" si="14"/>
        <v>6.5583717843372691E-2</v>
      </c>
      <c r="L64" s="163">
        <f t="shared" si="14"/>
        <v>3.9694873832939903E-2</v>
      </c>
      <c r="M64" s="135">
        <f t="shared" ref="M64:M68" si="15">MEDIAN(G64:L64)</f>
        <v>5.2639295838156297E-2</v>
      </c>
      <c r="N64" s="135">
        <f t="shared" ref="N64:N68" si="16">MAX(G64:L64)</f>
        <v>0.10628492251155919</v>
      </c>
      <c r="O64" s="135">
        <f t="shared" ref="O64:O68" si="17">MIN(G64:L64)</f>
        <v>-3.8052434456928852E-2</v>
      </c>
    </row>
    <row r="65" spans="1:15">
      <c r="A65" t="s">
        <v>196</v>
      </c>
      <c r="G65" s="163">
        <f t="shared" si="14"/>
        <v>4.2371081937925936E-2</v>
      </c>
      <c r="H65" s="163">
        <f t="shared" si="14"/>
        <v>6.7277299355183118E-2</v>
      </c>
      <c r="I65" s="163">
        <f t="shared" si="14"/>
        <v>9.0375401463697047E-2</v>
      </c>
      <c r="J65" s="163">
        <f t="shared" si="14"/>
        <v>5.2735459571694232E-2</v>
      </c>
      <c r="K65" s="163">
        <f t="shared" si="14"/>
        <v>2.1277083703622912E-2</v>
      </c>
      <c r="L65" s="163">
        <f t="shared" si="14"/>
        <v>-4.6203768161505732E-3</v>
      </c>
      <c r="M65" s="135">
        <f t="shared" si="15"/>
        <v>4.7553270754810084E-2</v>
      </c>
      <c r="N65" s="135">
        <f t="shared" si="16"/>
        <v>9.0375401463697047E-2</v>
      </c>
      <c r="O65" s="135">
        <f t="shared" si="17"/>
        <v>-4.6203768161505732E-3</v>
      </c>
    </row>
    <row r="66" spans="1:15">
      <c r="A66" t="s">
        <v>197</v>
      </c>
      <c r="G66" s="163">
        <f t="shared" si="14"/>
        <v>-3.6859548361066197E-2</v>
      </c>
      <c r="H66" s="163">
        <f t="shared" si="14"/>
        <v>-6.2236273139378406E-2</v>
      </c>
      <c r="I66" s="163">
        <f t="shared" si="14"/>
        <v>-2.4952983296880893E-2</v>
      </c>
      <c r="J66" s="163">
        <f t="shared" si="14"/>
        <v>-7.0934976192449262E-2</v>
      </c>
      <c r="K66" s="163">
        <f t="shared" si="14"/>
        <v>-0.12452891314778292</v>
      </c>
      <c r="L66" s="163">
        <f t="shared" si="14"/>
        <v>-9.0010047567856244E-2</v>
      </c>
      <c r="M66" s="135">
        <f t="shared" si="15"/>
        <v>-6.6585624665913834E-2</v>
      </c>
      <c r="N66" s="135">
        <f t="shared" si="16"/>
        <v>-2.4952983296880893E-2</v>
      </c>
      <c r="O66" s="135">
        <f t="shared" si="17"/>
        <v>-0.12452891314778292</v>
      </c>
    </row>
    <row r="67" spans="1:15">
      <c r="A67" t="s">
        <v>198</v>
      </c>
      <c r="G67" s="163">
        <f t="shared" si="14"/>
        <v>-1.2882234521310321E-2</v>
      </c>
      <c r="H67" s="163">
        <f t="shared" si="14"/>
        <v>2.1971990856957557E-2</v>
      </c>
      <c r="I67" s="163">
        <f t="shared" si="14"/>
        <v>0.11039981447973468</v>
      </c>
      <c r="J67" s="163">
        <f t="shared" si="14"/>
        <v>4.2744319992965352E-2</v>
      </c>
      <c r="K67" s="163">
        <f t="shared" si="14"/>
        <v>4.6275921499592254E-3</v>
      </c>
      <c r="L67" s="163">
        <f t="shared" si="14"/>
        <v>3.4728069692224084E-2</v>
      </c>
      <c r="M67" s="135">
        <f t="shared" si="15"/>
        <v>2.8350030274590821E-2</v>
      </c>
      <c r="N67" s="135">
        <f t="shared" si="16"/>
        <v>0.11039981447973468</v>
      </c>
      <c r="O67" s="135">
        <f t="shared" si="17"/>
        <v>-1.2882234521310321E-2</v>
      </c>
    </row>
    <row r="68" spans="1:15">
      <c r="A68" t="s">
        <v>199</v>
      </c>
      <c r="G68" s="163">
        <f t="shared" si="14"/>
        <v>-6.5370685041129528E-3</v>
      </c>
      <c r="H68" s="163">
        <f t="shared" si="14"/>
        <v>6.2662475220076619E-3</v>
      </c>
      <c r="I68" s="163">
        <f t="shared" si="14"/>
        <v>3.5193184358122576E-2</v>
      </c>
      <c r="J68" s="163">
        <f t="shared" si="14"/>
        <v>-9.7413275822677559E-4</v>
      </c>
      <c r="K68" s="163">
        <f t="shared" si="14"/>
        <v>-3.2871341869494808E-3</v>
      </c>
      <c r="L68" s="163">
        <f t="shared" si="14"/>
        <v>-2.4104466133981761E-3</v>
      </c>
      <c r="M68" s="135">
        <f t="shared" si="15"/>
        <v>-1.6922896858124759E-3</v>
      </c>
      <c r="N68" s="135">
        <f t="shared" si="16"/>
        <v>3.5193184358122576E-2</v>
      </c>
      <c r="O68" s="135">
        <f t="shared" si="17"/>
        <v>-6.5370685041129528E-3</v>
      </c>
    </row>
    <row r="70" spans="1:15">
      <c r="A70" s="10" t="s">
        <v>213</v>
      </c>
    </row>
    <row r="71" spans="1:15">
      <c r="A71" t="s">
        <v>214</v>
      </c>
      <c r="B71">
        <v>797</v>
      </c>
      <c r="C71">
        <v>852</v>
      </c>
      <c r="D71">
        <v>770</v>
      </c>
      <c r="E71">
        <v>896</v>
      </c>
      <c r="F71">
        <v>1049</v>
      </c>
      <c r="G71">
        <v>1240</v>
      </c>
      <c r="H71">
        <v>1279</v>
      </c>
      <c r="I71">
        <v>1428</v>
      </c>
      <c r="J71">
        <v>1416</v>
      </c>
      <c r="K71">
        <v>1340</v>
      </c>
      <c r="L71">
        <v>1403</v>
      </c>
    </row>
    <row r="72" spans="1:15">
      <c r="G72" s="163">
        <f>SUM(C71:G71)/SUM(B71:F71)-1</f>
        <v>0.10151237396883594</v>
      </c>
      <c r="H72" s="163">
        <f t="shared" ref="H72:L72" si="18">SUM(D71:H71)/SUM(C71:G71)-1</f>
        <v>8.8828791345953784E-2</v>
      </c>
      <c r="I72" s="163">
        <f t="shared" si="18"/>
        <v>0.12571646923958735</v>
      </c>
      <c r="J72" s="163">
        <f t="shared" si="18"/>
        <v>8.8255261371350979E-2</v>
      </c>
      <c r="K72" s="163">
        <f t="shared" si="18"/>
        <v>4.5383655645664378E-2</v>
      </c>
      <c r="L72" s="163">
        <f t="shared" si="18"/>
        <v>2.431746978964644E-2</v>
      </c>
    </row>
    <row r="74" spans="1:15">
      <c r="A74" s="10" t="s">
        <v>215</v>
      </c>
    </row>
    <row r="75" spans="1:15">
      <c r="A75" t="s">
        <v>194</v>
      </c>
      <c r="C75" s="163">
        <f t="shared" ref="C75:L80" si="19">C11/B11-1</f>
        <v>0.10003476878756268</v>
      </c>
      <c r="D75" s="163">
        <f t="shared" si="19"/>
        <v>-8.3318282385876241E-2</v>
      </c>
      <c r="E75" s="163">
        <f t="shared" si="19"/>
        <v>8.6568891844299056E-2</v>
      </c>
      <c r="F75" s="163">
        <f t="shared" si="19"/>
        <v>-1.6206353343835023E-3</v>
      </c>
      <c r="G75" s="163">
        <f t="shared" si="19"/>
        <v>-7.5907553295343599E-2</v>
      </c>
      <c r="H75" s="163">
        <f t="shared" si="19"/>
        <v>-6.1788298303585565E-3</v>
      </c>
      <c r="I75" s="163">
        <f t="shared" si="19"/>
        <v>0.16524522891327997</v>
      </c>
      <c r="J75" s="163">
        <f t="shared" si="19"/>
        <v>-5.5371103072990091E-2</v>
      </c>
      <c r="K75" s="163">
        <f>K11/J11-1</f>
        <v>3.5832594073192281E-2</v>
      </c>
      <c r="L75" s="163">
        <f>L11/K11-1</f>
        <v>-2.5443389271931016E-2</v>
      </c>
    </row>
    <row r="76" spans="1:15">
      <c r="A76" t="s">
        <v>195</v>
      </c>
      <c r="C76" s="163">
        <f t="shared" si="19"/>
        <v>-0.20020592609541243</v>
      </c>
      <c r="D76" s="163">
        <f t="shared" si="19"/>
        <v>-0.3033900729509369</v>
      </c>
      <c r="E76" s="163">
        <f t="shared" si="19"/>
        <v>0.28767967145790552</v>
      </c>
      <c r="F76" s="163">
        <f t="shared" si="19"/>
        <v>3.6836230266305225E-2</v>
      </c>
      <c r="G76" s="163">
        <f t="shared" si="19"/>
        <v>0.14903106736388794</v>
      </c>
      <c r="H76" s="163">
        <f t="shared" si="19"/>
        <v>8.2117521081515266E-2</v>
      </c>
      <c r="I76" s="163">
        <f t="shared" si="19"/>
        <v>3.8839755086894634E-2</v>
      </c>
      <c r="J76" s="163">
        <f t="shared" si="19"/>
        <v>8.3110079180806151E-2</v>
      </c>
      <c r="K76" s="163">
        <f t="shared" si="19"/>
        <v>-5.4966195789596384E-5</v>
      </c>
      <c r="L76" s="163">
        <f t="shared" si="19"/>
        <v>5.2770448548813409E-3</v>
      </c>
    </row>
    <row r="77" spans="1:15">
      <c r="A77" t="s">
        <v>196</v>
      </c>
      <c r="C77" s="163">
        <f t="shared" si="19"/>
        <v>-3.0325011942463842E-2</v>
      </c>
      <c r="D77" s="163">
        <f t="shared" si="19"/>
        <v>-0.12319594212418117</v>
      </c>
      <c r="E77" s="163">
        <f t="shared" si="19"/>
        <v>0.12856102382686507</v>
      </c>
      <c r="F77" s="163">
        <f t="shared" si="19"/>
        <v>9.7892427120019221E-2</v>
      </c>
      <c r="G77" s="163">
        <f t="shared" si="19"/>
        <v>0.1436465016291022</v>
      </c>
      <c r="H77" s="163">
        <f t="shared" si="19"/>
        <v>8.6173727880167306E-2</v>
      </c>
      <c r="I77" s="163">
        <f t="shared" si="19"/>
        <v>2.1037545799927004E-2</v>
      </c>
      <c r="J77" s="163">
        <f t="shared" si="19"/>
        <v>-5.0477363312543821E-2</v>
      </c>
      <c r="K77" s="163">
        <f t="shared" si="19"/>
        <v>-6.6144170025241644E-2</v>
      </c>
      <c r="L77" s="163">
        <f t="shared" si="19"/>
        <v>-7.6906994803177531E-3</v>
      </c>
    </row>
    <row r="78" spans="1:15">
      <c r="A78" t="s">
        <v>197</v>
      </c>
      <c r="C78" s="163">
        <f t="shared" si="19"/>
        <v>2.7660217654171815E-2</v>
      </c>
      <c r="D78" s="163">
        <f t="shared" si="19"/>
        <v>-0.15534405214389113</v>
      </c>
      <c r="E78" s="163">
        <f t="shared" si="19"/>
        <v>3.3708019630934727E-2</v>
      </c>
      <c r="F78" s="163">
        <f t="shared" si="19"/>
        <v>5.7557528714486494E-2</v>
      </c>
      <c r="G78" s="163">
        <f t="shared" si="19"/>
        <v>-0.13036589301957102</v>
      </c>
      <c r="H78" s="163">
        <f t="shared" si="19"/>
        <v>-9.9119855783598276E-2</v>
      </c>
      <c r="I78" s="163">
        <f t="shared" si="19"/>
        <v>2.384672181143066E-2</v>
      </c>
      <c r="J78" s="163">
        <f t="shared" si="19"/>
        <v>-0.21033241185415896</v>
      </c>
      <c r="K78" s="163">
        <f t="shared" si="19"/>
        <v>-0.22506121368539478</v>
      </c>
      <c r="L78" s="163">
        <f t="shared" si="19"/>
        <v>0.11530217504547347</v>
      </c>
    </row>
    <row r="79" spans="1:15">
      <c r="A79" t="s">
        <v>198</v>
      </c>
      <c r="C79" s="163">
        <f t="shared" si="19"/>
        <v>-5.8514958260661221E-2</v>
      </c>
      <c r="D79" s="163">
        <f t="shared" si="19"/>
        <v>-0.26643946036145605</v>
      </c>
      <c r="E79" s="163">
        <f t="shared" si="19"/>
        <v>0.1633605151041968</v>
      </c>
      <c r="F79" s="163">
        <f t="shared" si="19"/>
        <v>0.10731270817107719</v>
      </c>
      <c r="G79" s="163">
        <f t="shared" si="19"/>
        <v>6.1371084806129517E-2</v>
      </c>
      <c r="H79" s="163">
        <f t="shared" si="19"/>
        <v>9.6384862669900206E-2</v>
      </c>
      <c r="I79" s="163">
        <f t="shared" si="19"/>
        <v>0.13238168724279831</v>
      </c>
      <c r="J79" s="163">
        <f t="shared" si="19"/>
        <v>-0.13800622345378977</v>
      </c>
      <c r="K79" s="163">
        <f t="shared" si="19"/>
        <v>-9.6479671154910296E-2</v>
      </c>
      <c r="L79" s="163">
        <f t="shared" si="19"/>
        <v>0.22724157540938195</v>
      </c>
    </row>
    <row r="80" spans="1:15">
      <c r="A80" t="s">
        <v>199</v>
      </c>
      <c r="C80" s="163">
        <f t="shared" si="19"/>
        <v>-5.7121285259861598E-2</v>
      </c>
      <c r="D80" s="163">
        <f t="shared" si="19"/>
        <v>-7.9970595184961524E-2</v>
      </c>
      <c r="E80" s="163">
        <f t="shared" si="19"/>
        <v>0.13372142795993502</v>
      </c>
      <c r="F80" s="163">
        <f t="shared" si="19"/>
        <v>-1.3730524302147051E-2</v>
      </c>
      <c r="G80" s="163">
        <f t="shared" si="19"/>
        <v>-1.1484425842510637E-3</v>
      </c>
      <c r="H80" s="163">
        <f t="shared" si="19"/>
        <v>3.7942179695185096E-3</v>
      </c>
      <c r="I80" s="163">
        <f t="shared" si="19"/>
        <v>6.4308804439127343E-2</v>
      </c>
      <c r="J80" s="163">
        <f t="shared" si="19"/>
        <v>-5.4491970296674519E-2</v>
      </c>
      <c r="K80" s="163">
        <f t="shared" si="19"/>
        <v>-2.5433160490704432E-2</v>
      </c>
      <c r="L80" s="163">
        <f t="shared" si="19"/>
        <v>3.3999922137581962E-3</v>
      </c>
    </row>
    <row r="82" spans="1:12">
      <c r="A82" s="10" t="s">
        <v>216</v>
      </c>
    </row>
    <row r="83" spans="1:12">
      <c r="A83" t="s">
        <v>194</v>
      </c>
      <c r="C83" s="163">
        <f t="shared" ref="C83:L88" si="20">C31/B31-1</f>
        <v>6.6736493702963973E-2</v>
      </c>
      <c r="D83" s="163">
        <f t="shared" si="20"/>
        <v>-4.1903679417534256E-3</v>
      </c>
      <c r="E83" s="163">
        <f t="shared" si="20"/>
        <v>8.210799451428219E-3</v>
      </c>
      <c r="F83" s="163">
        <f t="shared" si="20"/>
        <v>5.8597179354373585E-2</v>
      </c>
      <c r="G83" s="163">
        <f t="shared" si="20"/>
        <v>4.7810083471034659E-2</v>
      </c>
      <c r="H83" s="163">
        <f t="shared" si="20"/>
        <v>3.815920307409959E-3</v>
      </c>
      <c r="I83" s="163">
        <f t="shared" si="20"/>
        <v>-1.3167039378953804E-2</v>
      </c>
      <c r="J83" s="163">
        <f t="shared" si="20"/>
        <v>7.325223595470387E-2</v>
      </c>
      <c r="K83" s="163">
        <f t="shared" si="20"/>
        <v>1.3157751429712095E-2</v>
      </c>
      <c r="L83" s="163">
        <f t="shared" si="20"/>
        <v>2.3562379393248012E-2</v>
      </c>
    </row>
    <row r="84" spans="1:12">
      <c r="A84" t="s">
        <v>195</v>
      </c>
      <c r="C84" s="163">
        <f t="shared" si="20"/>
        <v>0.13897979232572832</v>
      </c>
      <c r="D84" s="163">
        <f t="shared" si="20"/>
        <v>-6.0630101019241822E-2</v>
      </c>
      <c r="E84" s="163">
        <f t="shared" si="20"/>
        <v>0.14517219249457791</v>
      </c>
      <c r="F84" s="163">
        <f t="shared" si="20"/>
        <v>0.13251958924820739</v>
      </c>
      <c r="G84" s="163">
        <f t="shared" si="20"/>
        <v>3.4511914778777575E-2</v>
      </c>
      <c r="H84" s="163">
        <f t="shared" si="20"/>
        <v>6.4298255362635226E-2</v>
      </c>
      <c r="I84" s="163">
        <f t="shared" si="20"/>
        <v>-2.6688924234204991E-2</v>
      </c>
      <c r="J84" s="163">
        <f t="shared" si="20"/>
        <v>-3.6547676084491831E-2</v>
      </c>
      <c r="K84" s="163">
        <f t="shared" si="20"/>
        <v>-6.0931925807872322E-2</v>
      </c>
      <c r="L84" s="163">
        <f t="shared" si="20"/>
        <v>-1.3655588405470986E-2</v>
      </c>
    </row>
    <row r="85" spans="1:12">
      <c r="A85" t="s">
        <v>196</v>
      </c>
      <c r="C85" s="163">
        <f t="shared" si="20"/>
        <v>9.3679464439731408E-2</v>
      </c>
      <c r="D85" s="163">
        <f t="shared" si="20"/>
        <v>2.6649873115946576E-2</v>
      </c>
      <c r="E85" s="163">
        <f t="shared" si="20"/>
        <v>-3.3319669072583435E-3</v>
      </c>
      <c r="F85" s="163">
        <f t="shared" si="20"/>
        <v>2.1232462699167121E-2</v>
      </c>
      <c r="G85" s="163">
        <f t="shared" si="20"/>
        <v>-1.5600480638626291E-2</v>
      </c>
      <c r="H85" s="163">
        <f t="shared" si="20"/>
        <v>-6.6511979155664536E-3</v>
      </c>
      <c r="I85" s="163">
        <f t="shared" si="20"/>
        <v>2.7069330225048427E-2</v>
      </c>
      <c r="J85" s="163">
        <f t="shared" si="20"/>
        <v>7.6132886183353898E-2</v>
      </c>
      <c r="K85" s="163">
        <f t="shared" si="20"/>
        <v>8.2969839247845956E-2</v>
      </c>
      <c r="L85" s="163">
        <f t="shared" si="20"/>
        <v>2.8467524269293554E-2</v>
      </c>
    </row>
    <row r="86" spans="1:12">
      <c r="A86" t="s">
        <v>197</v>
      </c>
      <c r="C86" s="163">
        <f t="shared" si="20"/>
        <v>7.9587872943042814E-2</v>
      </c>
      <c r="D86" s="163">
        <f t="shared" si="20"/>
        <v>0.22672842972606388</v>
      </c>
      <c r="E86" s="163">
        <f t="shared" si="20"/>
        <v>4.9327965771825966E-3</v>
      </c>
      <c r="F86" s="163">
        <f t="shared" si="20"/>
        <v>-9.0615388722781187E-4</v>
      </c>
      <c r="G86" s="163">
        <f t="shared" si="20"/>
        <v>6.0335436762733119E-2</v>
      </c>
      <c r="H86" s="163">
        <f t="shared" si="20"/>
        <v>0.17029422154255536</v>
      </c>
      <c r="I86" s="163">
        <f t="shared" si="20"/>
        <v>1.505138974206699E-2</v>
      </c>
      <c r="J86" s="163">
        <f t="shared" si="20"/>
        <v>0.13773388520990837</v>
      </c>
      <c r="K86" s="163">
        <f t="shared" si="20"/>
        <v>4.3920531166077303E-2</v>
      </c>
      <c r="L86" s="163">
        <f t="shared" si="20"/>
        <v>-7.0635102268444161E-2</v>
      </c>
    </row>
    <row r="87" spans="1:12">
      <c r="A87" t="s">
        <v>198</v>
      </c>
      <c r="C87" s="163">
        <f t="shared" si="20"/>
        <v>9.9636361319898947E-2</v>
      </c>
      <c r="D87" s="163">
        <f t="shared" si="20"/>
        <v>-4.8135820610662239E-2</v>
      </c>
      <c r="E87" s="163">
        <f t="shared" si="20"/>
        <v>3.0563289371715818E-2</v>
      </c>
      <c r="F87" s="163">
        <f t="shared" si="20"/>
        <v>4.7984436374039818E-2</v>
      </c>
      <c r="G87" s="163">
        <f t="shared" si="20"/>
        <v>2.1619334014774116E-2</v>
      </c>
      <c r="H87" s="163">
        <f t="shared" si="20"/>
        <v>-4.0455787149792366E-3</v>
      </c>
      <c r="I87" s="163">
        <f t="shared" si="20"/>
        <v>1.7676328971145239E-2</v>
      </c>
      <c r="J87" s="163">
        <f t="shared" si="20"/>
        <v>5.8267320252540333E-2</v>
      </c>
      <c r="K87" s="163">
        <f t="shared" si="20"/>
        <v>1.2117802461912852E-3</v>
      </c>
      <c r="L87" s="163">
        <f t="shared" si="20"/>
        <v>-2.4469266981224091E-2</v>
      </c>
    </row>
    <row r="88" spans="1:12">
      <c r="A88" t="s">
        <v>199</v>
      </c>
      <c r="C88" s="163">
        <f t="shared" si="20"/>
        <v>5.9021935496481159E-2</v>
      </c>
      <c r="D88" s="163">
        <f t="shared" si="20"/>
        <v>-3.7868619785266566E-2</v>
      </c>
      <c r="E88" s="163">
        <f t="shared" si="20"/>
        <v>0.11773444390283783</v>
      </c>
      <c r="F88" s="163">
        <f t="shared" si="20"/>
        <v>9.8749407658003774E-2</v>
      </c>
      <c r="G88" s="163">
        <f t="shared" si="20"/>
        <v>8.3905314451657054E-2</v>
      </c>
      <c r="H88" s="163">
        <f t="shared" si="20"/>
        <v>1.5310470223979689E-2</v>
      </c>
      <c r="I88" s="163">
        <f t="shared" si="20"/>
        <v>5.084945162668264E-2</v>
      </c>
      <c r="J88" s="163">
        <f t="shared" si="20"/>
        <v>5.3362055824968113E-3</v>
      </c>
      <c r="K88" s="163">
        <f t="shared" si="20"/>
        <v>-4.0356129265774587E-2</v>
      </c>
      <c r="L88" s="163">
        <f t="shared" si="20"/>
        <v>1.3996784893396175E-2</v>
      </c>
    </row>
    <row r="90" spans="1:12">
      <c r="A90" t="s">
        <v>194</v>
      </c>
      <c r="C90" s="163">
        <f>(B23/SUM(B$23:B$28))*C83</f>
        <v>1.1401378304094309E-2</v>
      </c>
      <c r="D90" s="163">
        <f t="shared" ref="D90:K90" si="21">(C23/SUM(C$23:C$28))*D83</f>
        <v>-7.9537302486146232E-4</v>
      </c>
      <c r="E90" s="163">
        <f t="shared" si="21"/>
        <v>1.6485082764257438E-3</v>
      </c>
      <c r="F90" s="163">
        <f t="shared" si="21"/>
        <v>1.1094664349635013E-2</v>
      </c>
      <c r="G90" s="163">
        <f t="shared" si="21"/>
        <v>8.7012631113073148E-3</v>
      </c>
      <c r="H90" s="163">
        <f t="shared" si="21"/>
        <v>6.4183055779977016E-4</v>
      </c>
      <c r="I90" s="163">
        <f t="shared" si="21"/>
        <v>-2.0874566006079368E-3</v>
      </c>
      <c r="J90" s="163">
        <f t="shared" si="21"/>
        <v>1.2221337692759921E-2</v>
      </c>
      <c r="K90" s="163">
        <f t="shared" si="21"/>
        <v>2.3028431437434934E-3</v>
      </c>
      <c r="L90" s="163">
        <f>(K23/SUM(K$23:K$28))*L83</f>
        <v>4.5821500968648557E-3</v>
      </c>
    </row>
    <row r="91" spans="1:12">
      <c r="A91" t="s">
        <v>195</v>
      </c>
      <c r="C91" s="163">
        <f t="shared" ref="C91:L95" si="22">(B24/SUM(B$23:B$28))*C84</f>
        <v>1.4009213891594844E-2</v>
      </c>
      <c r="D91" s="163">
        <f t="shared" si="22"/>
        <v>-5.2711547208210011E-3</v>
      </c>
      <c r="E91" s="163">
        <f t="shared" si="22"/>
        <v>9.5701622822884115E-3</v>
      </c>
      <c r="F91" s="163">
        <f t="shared" si="22"/>
        <v>1.1089647403935714E-2</v>
      </c>
      <c r="G91" s="163">
        <f t="shared" si="22"/>
        <v>3.0843355059595222E-3</v>
      </c>
      <c r="H91" s="163">
        <f t="shared" si="22"/>
        <v>6.519575455875593E-3</v>
      </c>
      <c r="I91" s="163">
        <f t="shared" si="22"/>
        <v>-2.9446581126164047E-3</v>
      </c>
      <c r="J91" s="163">
        <f t="shared" si="22"/>
        <v>-3.7313961726791723E-3</v>
      </c>
      <c r="K91" s="163">
        <f t="shared" si="22"/>
        <v>-6.717089225669967E-3</v>
      </c>
      <c r="L91" s="163">
        <f t="shared" si="22"/>
        <v>-1.4966514728733148E-3</v>
      </c>
    </row>
    <row r="92" spans="1:12">
      <c r="A92" t="s">
        <v>196</v>
      </c>
      <c r="C92" s="163">
        <f t="shared" si="22"/>
        <v>1.4300127424787779E-2</v>
      </c>
      <c r="D92" s="163">
        <f t="shared" si="22"/>
        <v>4.0847743322335178E-3</v>
      </c>
      <c r="E92" s="163">
        <f t="shared" si="22"/>
        <v>-5.3270970217027247E-4</v>
      </c>
      <c r="F92" s="163">
        <f t="shared" si="22"/>
        <v>3.2869192174306305E-3</v>
      </c>
      <c r="G92" s="163">
        <f t="shared" si="22"/>
        <v>-2.462691745461969E-3</v>
      </c>
      <c r="H92" s="163">
        <f t="shared" si="22"/>
        <v>-1.1282242923280042E-3</v>
      </c>
      <c r="I92" s="163">
        <f t="shared" si="22"/>
        <v>4.6807996823236483E-3</v>
      </c>
      <c r="J92" s="163">
        <f t="shared" si="22"/>
        <v>1.2634669055890203E-2</v>
      </c>
      <c r="K92" s="163">
        <f t="shared" si="22"/>
        <v>1.4558104877412045E-2</v>
      </c>
      <c r="L92" s="163">
        <f t="shared" si="22"/>
        <v>5.3484917904796673E-3</v>
      </c>
    </row>
    <row r="93" spans="1:12">
      <c r="A93" t="s">
        <v>197</v>
      </c>
      <c r="C93" s="163">
        <f t="shared" si="22"/>
        <v>1.4048562919831477E-2</v>
      </c>
      <c r="D93" s="163">
        <f t="shared" si="22"/>
        <v>4.2039707805286812E-2</v>
      </c>
      <c r="E93" s="163">
        <f t="shared" si="22"/>
        <v>1.0981642084722792E-3</v>
      </c>
      <c r="F93" s="163">
        <f t="shared" si="22"/>
        <v>-1.8039898908733527E-4</v>
      </c>
      <c r="G93" s="163">
        <f t="shared" si="22"/>
        <v>1.1542872588469979E-2</v>
      </c>
      <c r="H93" s="163">
        <f t="shared" si="22"/>
        <v>2.8673551884039649E-2</v>
      </c>
      <c r="I93" s="163">
        <f t="shared" si="22"/>
        <v>2.5244464518092294E-3</v>
      </c>
      <c r="J93" s="163">
        <f t="shared" si="22"/>
        <v>2.197155993429642E-2</v>
      </c>
      <c r="K93" s="163">
        <f t="shared" si="22"/>
        <v>6.5132009165709461E-3</v>
      </c>
      <c r="L93" s="163">
        <f t="shared" si="22"/>
        <v>-8.9718736743656571E-3</v>
      </c>
    </row>
    <row r="94" spans="1:12">
      <c r="A94" t="s">
        <v>198</v>
      </c>
      <c r="C94" s="163">
        <f t="shared" si="22"/>
        <v>2.0480769429866409E-2</v>
      </c>
      <c r="D94" s="163">
        <f t="shared" si="22"/>
        <v>-9.6988550647131855E-3</v>
      </c>
      <c r="E94" s="163">
        <f t="shared" si="22"/>
        <v>4.9825908181089437E-3</v>
      </c>
      <c r="F94" s="163">
        <f t="shared" si="22"/>
        <v>8.0736082529710429E-3</v>
      </c>
      <c r="G94" s="163">
        <f t="shared" si="22"/>
        <v>3.8391379469297489E-3</v>
      </c>
      <c r="H94" s="163">
        <f t="shared" si="22"/>
        <v>-7.4351325889923442E-4</v>
      </c>
      <c r="I94" s="163">
        <f t="shared" si="22"/>
        <v>3.3515718631468164E-3</v>
      </c>
      <c r="J94" s="163">
        <f t="shared" si="22"/>
        <v>1.1651761161531465E-2</v>
      </c>
      <c r="K94" s="163">
        <f t="shared" si="22"/>
        <v>2.2872398284289557E-4</v>
      </c>
      <c r="L94" s="163">
        <f t="shared" si="22"/>
        <v>-4.4235762532427196E-3</v>
      </c>
    </row>
    <row r="95" spans="1:12">
      <c r="A95" t="s">
        <v>199</v>
      </c>
      <c r="C95" s="163">
        <f t="shared" si="22"/>
        <v>1.1428819240642683E-2</v>
      </c>
      <c r="D95" s="163">
        <f t="shared" si="22"/>
        <v>-6.9324914771775412E-3</v>
      </c>
      <c r="E95" s="163">
        <f t="shared" si="22"/>
        <v>2.210759946479892E-2</v>
      </c>
      <c r="F95" s="163">
        <f t="shared" si="22"/>
        <v>2.0227429521085489E-2</v>
      </c>
      <c r="G95" s="163">
        <f t="shared" si="22"/>
        <v>1.6939045202707701E-2</v>
      </c>
      <c r="H95" s="163">
        <f t="shared" si="22"/>
        <v>3.1940417187511414E-3</v>
      </c>
      <c r="I95" s="163">
        <f t="shared" si="22"/>
        <v>1.0214751060562426E-2</v>
      </c>
      <c r="J95" s="163">
        <f t="shared" si="22"/>
        <v>1.097210060536714E-3</v>
      </c>
      <c r="K95" s="163">
        <f t="shared" si="22"/>
        <v>-8.1614076273667444E-3</v>
      </c>
      <c r="L95" s="163">
        <f t="shared" si="22"/>
        <v>2.8028923616154281E-3</v>
      </c>
    </row>
    <row r="97" spans="1:12">
      <c r="A97" t="s">
        <v>217</v>
      </c>
      <c r="C97" s="135">
        <f t="shared" ref="C97:L97" si="23">SUM(C90:C95)</f>
        <v>8.5668871210817496E-2</v>
      </c>
      <c r="D97" s="135">
        <f t="shared" si="23"/>
        <v>2.3426607849947143E-2</v>
      </c>
      <c r="E97" s="135">
        <f t="shared" si="23"/>
        <v>3.8874315347924029E-2</v>
      </c>
      <c r="F97" s="135">
        <f t="shared" si="23"/>
        <v>5.359186975597055E-2</v>
      </c>
      <c r="G97" s="135">
        <f t="shared" si="23"/>
        <v>4.1643962609912294E-2</v>
      </c>
      <c r="H97" s="135">
        <f t="shared" si="23"/>
        <v>3.7157262065238915E-2</v>
      </c>
      <c r="I97" s="135">
        <f t="shared" si="23"/>
        <v>1.5739454344617779E-2</v>
      </c>
      <c r="J97" s="135">
        <f t="shared" si="23"/>
        <v>5.5845141732335554E-2</v>
      </c>
      <c r="K97" s="135">
        <f t="shared" si="23"/>
        <v>8.7243760675326694E-3</v>
      </c>
      <c r="L97" s="135">
        <f t="shared" si="23"/>
        <v>-2.1585671515217406E-3</v>
      </c>
    </row>
    <row r="98" spans="1:12">
      <c r="A98" t="s">
        <v>218</v>
      </c>
      <c r="C98" s="135">
        <f>C95</f>
        <v>1.1428819240642683E-2</v>
      </c>
      <c r="D98" s="135">
        <f t="shared" ref="D98:L98" si="24">D95</f>
        <v>-6.9324914771775412E-3</v>
      </c>
      <c r="E98" s="135">
        <f t="shared" si="24"/>
        <v>2.210759946479892E-2</v>
      </c>
      <c r="F98" s="135">
        <f t="shared" si="24"/>
        <v>2.0227429521085489E-2</v>
      </c>
      <c r="G98" s="135">
        <f t="shared" si="24"/>
        <v>1.6939045202707701E-2</v>
      </c>
      <c r="H98" s="135">
        <f t="shared" si="24"/>
        <v>3.1940417187511414E-3</v>
      </c>
      <c r="I98" s="135">
        <f t="shared" si="24"/>
        <v>1.0214751060562426E-2</v>
      </c>
      <c r="J98" s="135">
        <f t="shared" si="24"/>
        <v>1.097210060536714E-3</v>
      </c>
      <c r="K98" s="135">
        <f t="shared" si="24"/>
        <v>-8.1614076273667444E-3</v>
      </c>
      <c r="L98" s="135">
        <f t="shared" si="24"/>
        <v>2.8028923616154281E-3</v>
      </c>
    </row>
    <row r="99" spans="1:12">
      <c r="A99" t="s">
        <v>219</v>
      </c>
      <c r="C99" s="135">
        <f>C93</f>
        <v>1.4048562919831477E-2</v>
      </c>
      <c r="D99" s="135">
        <f t="shared" ref="D99:L99" si="25">D93</f>
        <v>4.2039707805286812E-2</v>
      </c>
      <c r="E99" s="135">
        <f t="shared" si="25"/>
        <v>1.0981642084722792E-3</v>
      </c>
      <c r="F99" s="135">
        <f t="shared" si="25"/>
        <v>-1.8039898908733527E-4</v>
      </c>
      <c r="G99" s="135">
        <f t="shared" si="25"/>
        <v>1.1542872588469979E-2</v>
      </c>
      <c r="H99" s="135">
        <f t="shared" si="25"/>
        <v>2.8673551884039649E-2</v>
      </c>
      <c r="I99" s="135">
        <f t="shared" si="25"/>
        <v>2.5244464518092294E-3</v>
      </c>
      <c r="J99" s="135">
        <f t="shared" si="25"/>
        <v>2.197155993429642E-2</v>
      </c>
      <c r="K99" s="135">
        <f t="shared" si="25"/>
        <v>6.5132009165709461E-3</v>
      </c>
      <c r="L99" s="135">
        <f t="shared" si="25"/>
        <v>-8.9718736743656571E-3</v>
      </c>
    </row>
    <row r="100" spans="1:12">
      <c r="A100" t="s">
        <v>220</v>
      </c>
      <c r="C100" s="135">
        <f>C92</f>
        <v>1.4300127424787779E-2</v>
      </c>
      <c r="D100" s="135">
        <f t="shared" ref="D100:L100" si="26">D92</f>
        <v>4.0847743322335178E-3</v>
      </c>
      <c r="E100" s="135">
        <f t="shared" si="26"/>
        <v>-5.3270970217027247E-4</v>
      </c>
      <c r="F100" s="135">
        <f t="shared" si="26"/>
        <v>3.2869192174306305E-3</v>
      </c>
      <c r="G100" s="135">
        <f t="shared" si="26"/>
        <v>-2.462691745461969E-3</v>
      </c>
      <c r="H100" s="135">
        <f t="shared" si="26"/>
        <v>-1.1282242923280042E-3</v>
      </c>
      <c r="I100" s="135">
        <f t="shared" si="26"/>
        <v>4.6807996823236483E-3</v>
      </c>
      <c r="J100" s="135">
        <f t="shared" si="26"/>
        <v>1.2634669055890203E-2</v>
      </c>
      <c r="K100" s="135">
        <f t="shared" si="26"/>
        <v>1.4558104877412045E-2</v>
      </c>
      <c r="L100" s="135">
        <f t="shared" si="26"/>
        <v>5.3484917904796673E-3</v>
      </c>
    </row>
    <row r="101" spans="1:12">
      <c r="A101" t="s">
        <v>221</v>
      </c>
      <c r="C101" s="135"/>
      <c r="D101" s="135"/>
      <c r="E101" s="135">
        <f>SUM(C11:E16)/SUM(B11:D16)-1</f>
        <v>-2.5843942371968187E-2</v>
      </c>
      <c r="F101" s="135">
        <f t="shared" ref="F101:L101" si="27">SUM(D11:F16)/SUM(C11:E16)-1</f>
        <v>-1.1671859067134638E-2</v>
      </c>
      <c r="G101" s="135">
        <f t="shared" si="27"/>
        <v>2.7152465859448194E-2</v>
      </c>
      <c r="H101" s="135">
        <f t="shared" si="27"/>
        <v>-3.8640324659438008E-3</v>
      </c>
      <c r="I101" s="135">
        <f t="shared" si="27"/>
        <v>3.3118535492284717E-3</v>
      </c>
      <c r="J101" s="135">
        <f t="shared" si="27"/>
        <v>-2.2760710959917052E-2</v>
      </c>
      <c r="K101" s="135">
        <f t="shared" si="27"/>
        <v>-4.7860595918746807E-2</v>
      </c>
      <c r="L101" s="135">
        <f t="shared" si="27"/>
        <v>-5.6216321773145284E-2</v>
      </c>
    </row>
    <row r="104" spans="1:12">
      <c r="B104" t="s">
        <v>222</v>
      </c>
    </row>
    <row r="105" spans="1:12">
      <c r="A105" t="s">
        <v>198</v>
      </c>
      <c r="B105" s="17">
        <v>3903.8028715228156</v>
      </c>
    </row>
    <row r="106" spans="1:12">
      <c r="A106" t="s">
        <v>199</v>
      </c>
      <c r="B106" s="17">
        <v>3674.9641627439091</v>
      </c>
    </row>
    <row r="107" spans="1:12">
      <c r="A107" t="s">
        <v>194</v>
      </c>
      <c r="B107" s="17">
        <v>3498.9348732968947</v>
      </c>
    </row>
    <row r="108" spans="1:12">
      <c r="A108" t="s">
        <v>196</v>
      </c>
      <c r="B108" s="17">
        <v>3458.466582819286</v>
      </c>
    </row>
    <row r="109" spans="1:12">
      <c r="A109" t="s">
        <v>197</v>
      </c>
      <c r="B109" s="17">
        <v>2374.6832625915695</v>
      </c>
    </row>
    <row r="110" spans="1:12">
      <c r="A110" t="s">
        <v>195</v>
      </c>
      <c r="B110" s="17">
        <v>1960.1482470255248</v>
      </c>
    </row>
    <row r="111" spans="1:12">
      <c r="A111" t="s">
        <v>223</v>
      </c>
      <c r="B111" s="17">
        <v>1403</v>
      </c>
    </row>
    <row r="112" spans="1:12">
      <c r="A112" t="s">
        <v>204</v>
      </c>
      <c r="B112" s="17">
        <v>966</v>
      </c>
    </row>
    <row r="114" spans="1:12">
      <c r="B114" s="18">
        <f>SUM(B105:B112)</f>
        <v>21240</v>
      </c>
    </row>
    <row r="126" spans="1:12">
      <c r="B126">
        <v>2007</v>
      </c>
      <c r="C126">
        <v>2008</v>
      </c>
      <c r="D126">
        <v>2009</v>
      </c>
      <c r="E126">
        <v>2010</v>
      </c>
      <c r="F126">
        <v>2011</v>
      </c>
      <c r="G126">
        <v>2012</v>
      </c>
      <c r="H126">
        <v>2013</v>
      </c>
      <c r="I126">
        <v>2014</v>
      </c>
      <c r="J126">
        <v>2015</v>
      </c>
      <c r="K126">
        <v>2016</v>
      </c>
      <c r="L126">
        <v>2017</v>
      </c>
    </row>
    <row r="127" spans="1:12">
      <c r="A127" t="s">
        <v>198</v>
      </c>
      <c r="B127" s="17">
        <v>3077</v>
      </c>
      <c r="C127" s="17">
        <v>3273</v>
      </c>
      <c r="D127" s="17">
        <v>2147</v>
      </c>
      <c r="E127" s="17">
        <v>2639</v>
      </c>
      <c r="F127" s="17">
        <v>3166</v>
      </c>
      <c r="G127" s="17">
        <v>3494</v>
      </c>
      <c r="H127" s="17">
        <v>3822</v>
      </c>
      <c r="I127" s="17">
        <v>4400</v>
      </c>
      <c r="J127" s="17">
        <v>3808</v>
      </c>
      <c r="K127" s="18">
        <v>3348</v>
      </c>
      <c r="L127" s="18">
        <v>4078</v>
      </c>
    </row>
    <row r="128" spans="1:12">
      <c r="A128" t="s">
        <v>224</v>
      </c>
      <c r="K128" s="18"/>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B65F-EF74-4540-952F-FFF3E93C1B3F}">
  <dimension ref="A1:AB156"/>
  <sheetViews>
    <sheetView workbookViewId="0">
      <pane xSplit="1" ySplit="1" topLeftCell="J38" activePane="bottomRight" state="frozen"/>
      <selection activeCell="A9" sqref="A9"/>
      <selection pane="topRight" activeCell="A9" sqref="A9"/>
      <selection pane="bottomLeft" activeCell="A9" sqref="A9"/>
      <selection pane="bottomRight" activeCell="M61" sqref="M61:Q66"/>
    </sheetView>
  </sheetViews>
  <sheetFormatPr defaultRowHeight="14.25"/>
  <cols>
    <col min="1" max="1" width="43.1328125" customWidth="1"/>
    <col min="2" max="12" width="9.59765625" customWidth="1"/>
  </cols>
  <sheetData>
    <row r="1" spans="1:17">
      <c r="B1" s="19">
        <v>2007</v>
      </c>
      <c r="C1" s="19">
        <v>2008</v>
      </c>
      <c r="D1" s="19">
        <v>2009</v>
      </c>
      <c r="E1" s="19">
        <v>2010</v>
      </c>
      <c r="F1" s="19">
        <v>2011</v>
      </c>
      <c r="G1" s="19">
        <v>2012</v>
      </c>
      <c r="H1" s="19">
        <v>2013</v>
      </c>
      <c r="I1" s="19">
        <v>2014</v>
      </c>
      <c r="J1" s="19">
        <v>2015</v>
      </c>
      <c r="K1" s="19">
        <v>2016</v>
      </c>
      <c r="L1" s="19">
        <v>2017</v>
      </c>
      <c r="M1" s="19">
        <v>2018</v>
      </c>
      <c r="N1" s="19">
        <v>2019</v>
      </c>
      <c r="O1" s="19">
        <v>2020</v>
      </c>
      <c r="P1" s="19">
        <v>2021</v>
      </c>
      <c r="Q1" s="19">
        <v>2022</v>
      </c>
    </row>
    <row r="2" spans="1:17">
      <c r="A2" s="165" t="s">
        <v>225</v>
      </c>
      <c r="B2" s="166"/>
      <c r="C2" s="166"/>
      <c r="D2" s="166"/>
      <c r="E2" s="166"/>
      <c r="F2" s="166"/>
      <c r="G2" s="166"/>
      <c r="H2" s="166"/>
      <c r="I2" s="166"/>
      <c r="J2" s="166"/>
      <c r="K2" s="166"/>
      <c r="L2" s="166"/>
      <c r="M2" s="166"/>
      <c r="N2" s="166"/>
      <c r="O2" s="166"/>
      <c r="P2" s="166"/>
      <c r="Q2" s="166"/>
    </row>
    <row r="3" spans="1:17">
      <c r="A3" s="167" t="s">
        <v>226</v>
      </c>
      <c r="B3" s="168"/>
      <c r="C3" s="168"/>
      <c r="D3" s="168"/>
      <c r="E3" s="168"/>
      <c r="F3" s="168"/>
      <c r="G3" s="168"/>
      <c r="H3" s="168"/>
      <c r="I3" s="168"/>
      <c r="J3" s="168"/>
      <c r="K3" s="168"/>
      <c r="L3" s="168"/>
      <c r="M3" s="168"/>
      <c r="N3" s="168"/>
      <c r="O3" s="168"/>
      <c r="P3" s="168"/>
      <c r="Q3" s="168"/>
    </row>
    <row r="4" spans="1:17">
      <c r="A4" t="s">
        <v>194</v>
      </c>
      <c r="B4" s="18">
        <f>Segments!B11</f>
        <v>80532</v>
      </c>
      <c r="C4" s="18">
        <f>Segments!C11</f>
        <v>88588</v>
      </c>
      <c r="D4" s="18">
        <f>Segments!D11</f>
        <v>81207</v>
      </c>
      <c r="E4" s="18">
        <f>Segments!E11</f>
        <v>88237</v>
      </c>
      <c r="F4" s="18">
        <f>Segments!F11</f>
        <v>88094</v>
      </c>
      <c r="G4" s="18">
        <f>Segments!G11</f>
        <v>81407</v>
      </c>
      <c r="H4" s="18">
        <f>Segments!H11</f>
        <v>80904</v>
      </c>
      <c r="I4" s="18">
        <f>Segments!I11</f>
        <v>94273</v>
      </c>
      <c r="J4" s="18">
        <f>Segments!J11</f>
        <v>89053</v>
      </c>
      <c r="K4" s="18">
        <f>Segments!K11</f>
        <v>92244</v>
      </c>
      <c r="L4" s="18">
        <f>Segments!L11</f>
        <v>89897</v>
      </c>
      <c r="M4" s="18">
        <f>K4*(1+M20)</f>
        <v>95114.6989989258</v>
      </c>
      <c r="N4" s="18">
        <f t="shared" ref="N4:Q9" si="0">M4*(1+N20)</f>
        <v>98074.736195917969</v>
      </c>
      <c r="O4" s="18">
        <f t="shared" si="0"/>
        <v>101126.89185934902</v>
      </c>
      <c r="P4" s="18">
        <f t="shared" si="0"/>
        <v>104274.03278152403</v>
      </c>
      <c r="Q4" s="18">
        <f t="shared" si="0"/>
        <v>107519.11497136703</v>
      </c>
    </row>
    <row r="5" spans="1:17">
      <c r="A5" t="s">
        <v>195</v>
      </c>
      <c r="B5" s="18">
        <f>Segments!B12</f>
        <v>17482</v>
      </c>
      <c r="C5" s="18">
        <f>Segments!C12</f>
        <v>13982</v>
      </c>
      <c r="D5" s="18">
        <f>Segments!D12</f>
        <v>9740</v>
      </c>
      <c r="E5" s="18">
        <f>Segments!E12</f>
        <v>12542</v>
      </c>
      <c r="F5" s="18">
        <f>Segments!F12</f>
        <v>13004</v>
      </c>
      <c r="G5" s="18">
        <f>Segments!G12</f>
        <v>14942</v>
      </c>
      <c r="H5" s="18">
        <f>Segments!H12</f>
        <v>16169</v>
      </c>
      <c r="I5" s="18">
        <f>Segments!I12</f>
        <v>16797</v>
      </c>
      <c r="J5" s="18">
        <f>Segments!J12</f>
        <v>18193</v>
      </c>
      <c r="K5" s="18">
        <f>Segments!K12</f>
        <v>18192</v>
      </c>
      <c r="L5" s="18">
        <f>Segments!L12</f>
        <v>18288</v>
      </c>
      <c r="M5" s="18">
        <f>K5*(1+M21)</f>
        <v>19149.614069887739</v>
      </c>
      <c r="N5" s="18">
        <f t="shared" si="0"/>
        <v>20157.636270099079</v>
      </c>
      <c r="O5" s="18">
        <f t="shared" si="0"/>
        <v>21218.720049118776</v>
      </c>
      <c r="P5" s="18">
        <f t="shared" si="0"/>
        <v>22335.658531091358</v>
      </c>
      <c r="Q5" s="18">
        <f t="shared" si="0"/>
        <v>23511.391868249517</v>
      </c>
    </row>
    <row r="6" spans="1:17">
      <c r="A6" t="s">
        <v>196</v>
      </c>
      <c r="B6" s="18">
        <f>Segments!B13</f>
        <v>56521</v>
      </c>
      <c r="C6" s="18">
        <f>Segments!C13</f>
        <v>54807</v>
      </c>
      <c r="D6" s="18">
        <f>Segments!D13</f>
        <v>48055</v>
      </c>
      <c r="E6" s="18">
        <f>Segments!E13</f>
        <v>54233</v>
      </c>
      <c r="F6" s="18">
        <f>Segments!F13</f>
        <v>59542</v>
      </c>
      <c r="G6" s="18">
        <f>Segments!G13</f>
        <v>68095</v>
      </c>
      <c r="H6" s="18">
        <f>Segments!H13</f>
        <v>73963</v>
      </c>
      <c r="I6" s="18">
        <f>Segments!I13</f>
        <v>75519</v>
      </c>
      <c r="J6" s="18">
        <f>Segments!J13</f>
        <v>71707</v>
      </c>
      <c r="K6" s="18">
        <f>Segments!K13</f>
        <v>66964</v>
      </c>
      <c r="L6" s="18">
        <f>Segments!L13</f>
        <v>66449</v>
      </c>
      <c r="M6" s="18">
        <f>K6*(1+M22)</f>
        <v>70148.3572228251</v>
      </c>
      <c r="N6" s="18">
        <f t="shared" si="0"/>
        <v>73484.141046847246</v>
      </c>
      <c r="O6" s="18">
        <f t="shared" si="0"/>
        <v>76978.552302232623</v>
      </c>
      <c r="P6" s="18">
        <f t="shared" si="0"/>
        <v>80639.134242173997</v>
      </c>
      <c r="Q6" s="18">
        <f t="shared" si="0"/>
        <v>84473.788826225573</v>
      </c>
    </row>
    <row r="7" spans="1:17">
      <c r="A7" t="s">
        <v>197</v>
      </c>
      <c r="B7" s="18">
        <f>Segments!B14</f>
        <v>251408</v>
      </c>
      <c r="C7" s="18">
        <f>Segments!C14</f>
        <v>258362</v>
      </c>
      <c r="D7" s="18">
        <f>Segments!D14</f>
        <v>218227</v>
      </c>
      <c r="E7" s="18">
        <f>Segments!E14</f>
        <v>225583</v>
      </c>
      <c r="F7" s="18">
        <f>Segments!F14</f>
        <v>238567</v>
      </c>
      <c r="G7" s="18">
        <f>Segments!G14</f>
        <v>207466</v>
      </c>
      <c r="H7" s="18">
        <f>Segments!H14</f>
        <v>186902</v>
      </c>
      <c r="I7" s="18">
        <f>Segments!I14</f>
        <v>191359</v>
      </c>
      <c r="J7" s="18">
        <f>Segments!J14</f>
        <v>151110</v>
      </c>
      <c r="K7" s="18">
        <f>Segments!K14</f>
        <v>117101</v>
      </c>
      <c r="L7" s="18">
        <f>Segments!L14</f>
        <v>130603</v>
      </c>
      <c r="M7" s="18">
        <f>K7*(1+M23)</f>
        <v>107732.92</v>
      </c>
      <c r="N7" s="18">
        <f t="shared" si="0"/>
        <v>99114.286399999997</v>
      </c>
      <c r="O7" s="18">
        <f t="shared" si="0"/>
        <v>91185.143488000002</v>
      </c>
      <c r="P7" s="18">
        <f t="shared" si="0"/>
        <v>83890.332008960002</v>
      </c>
      <c r="Q7" s="18">
        <f t="shared" si="0"/>
        <v>77179.105448243208</v>
      </c>
    </row>
    <row r="8" spans="1:17">
      <c r="A8" t="s">
        <v>198</v>
      </c>
      <c r="B8" s="18">
        <f>Segments!B15</f>
        <v>75109</v>
      </c>
      <c r="C8" s="18">
        <f>Segments!C15</f>
        <v>70714</v>
      </c>
      <c r="D8" s="18">
        <f>Segments!D15</f>
        <v>51873</v>
      </c>
      <c r="E8" s="18">
        <f>Segments!E15</f>
        <v>60347</v>
      </c>
      <c r="F8" s="18">
        <f>Segments!F15</f>
        <v>66823</v>
      </c>
      <c r="G8" s="18">
        <f>Segments!G15</f>
        <v>70924</v>
      </c>
      <c r="H8" s="18">
        <f>Segments!H15</f>
        <v>77760</v>
      </c>
      <c r="I8" s="18">
        <f>Segments!I15</f>
        <v>88054</v>
      </c>
      <c r="J8" s="18">
        <f>Segments!J15</f>
        <v>75902</v>
      </c>
      <c r="K8" s="18">
        <f>Segments!K15</f>
        <v>68579</v>
      </c>
      <c r="L8" s="18">
        <f>Segments!L15</f>
        <v>84163</v>
      </c>
      <c r="M8" s="18">
        <f>K8*(1+M24)</f>
        <v>79582.259451094375</v>
      </c>
      <c r="N8" s="18">
        <f t="shared" si="0"/>
        <v>86292.414393168394</v>
      </c>
      <c r="O8" s="18">
        <f t="shared" si="0"/>
        <v>94226.94592788296</v>
      </c>
      <c r="P8" s="18">
        <f t="shared" si="0"/>
        <v>108586.94765806632</v>
      </c>
      <c r="Q8" s="18">
        <f t="shared" si="0"/>
        <v>114016.29504096964</v>
      </c>
    </row>
    <row r="9" spans="1:17">
      <c r="A9" t="s">
        <v>199</v>
      </c>
      <c r="B9" s="18">
        <f>Segments!B16</f>
        <v>80793</v>
      </c>
      <c r="C9" s="18">
        <f>Segments!C16</f>
        <v>76178</v>
      </c>
      <c r="D9" s="18">
        <f>Segments!D16</f>
        <v>70086</v>
      </c>
      <c r="E9" s="18">
        <f>Segments!E16</f>
        <v>79458</v>
      </c>
      <c r="F9" s="18">
        <f>Segments!F16</f>
        <v>78367</v>
      </c>
      <c r="G9" s="18">
        <f>Segments!G16</f>
        <v>78277</v>
      </c>
      <c r="H9" s="18">
        <f>Segments!H16</f>
        <v>78574</v>
      </c>
      <c r="I9" s="18">
        <f>Segments!I16</f>
        <v>83627</v>
      </c>
      <c r="J9" s="18">
        <f>Segments!J16</f>
        <v>79070</v>
      </c>
      <c r="K9" s="18">
        <f>Segments!K16</f>
        <v>77059</v>
      </c>
      <c r="L9" s="18">
        <f>Segments!L16</f>
        <v>77321</v>
      </c>
      <c r="M9" s="18">
        <f>K9*(1+M25)</f>
        <v>77059</v>
      </c>
      <c r="N9" s="18">
        <f t="shared" si="0"/>
        <v>77059</v>
      </c>
      <c r="O9" s="18">
        <f t="shared" si="0"/>
        <v>77059</v>
      </c>
      <c r="P9" s="18">
        <f t="shared" si="0"/>
        <v>77059</v>
      </c>
      <c r="Q9" s="18">
        <f t="shared" si="0"/>
        <v>77059</v>
      </c>
    </row>
    <row r="11" spans="1:17">
      <c r="A11" s="169" t="s">
        <v>227</v>
      </c>
      <c r="B11" s="170"/>
      <c r="C11" s="170"/>
      <c r="D11" s="170"/>
      <c r="E11" s="170"/>
      <c r="F11" s="170"/>
      <c r="G11" s="170"/>
      <c r="H11" s="170"/>
      <c r="I11" s="170"/>
      <c r="J11" s="170"/>
      <c r="K11" s="170"/>
      <c r="L11" s="170"/>
      <c r="M11" s="170"/>
      <c r="N11" s="170"/>
      <c r="O11" s="170"/>
      <c r="P11" s="170"/>
      <c r="Q11" s="170"/>
    </row>
    <row r="12" spans="1:17">
      <c r="A12" t="s">
        <v>194</v>
      </c>
      <c r="B12" s="18">
        <f>B4</f>
        <v>80532</v>
      </c>
      <c r="C12" s="18">
        <f t="shared" ref="C12:L12" si="1">C4</f>
        <v>88588</v>
      </c>
      <c r="D12" s="18">
        <f t="shared" si="1"/>
        <v>81207</v>
      </c>
      <c r="E12" s="18">
        <f t="shared" si="1"/>
        <v>88237</v>
      </c>
      <c r="F12" s="18">
        <f t="shared" si="1"/>
        <v>88094</v>
      </c>
      <c r="G12" s="18">
        <f t="shared" si="1"/>
        <v>81407</v>
      </c>
      <c r="H12" s="18">
        <f t="shared" si="1"/>
        <v>80904</v>
      </c>
      <c r="I12" s="18">
        <f t="shared" si="1"/>
        <v>94273</v>
      </c>
      <c r="J12" s="18">
        <f t="shared" si="1"/>
        <v>89053</v>
      </c>
      <c r="K12" s="18">
        <f t="shared" si="1"/>
        <v>92244</v>
      </c>
      <c r="L12" s="18">
        <f t="shared" si="1"/>
        <v>89897</v>
      </c>
      <c r="M12" s="18">
        <f>K12*(1+M28)</f>
        <v>90586.109507336281</v>
      </c>
      <c r="N12" s="18">
        <f t="shared" ref="N12:Q17" si="2">M12*(1+N28)</f>
        <v>88958.016084245261</v>
      </c>
      <c r="O12" s="18">
        <f t="shared" si="2"/>
        <v>87359.184191522741</v>
      </c>
      <c r="P12" s="18">
        <f t="shared" si="2"/>
        <v>85789.087915147218</v>
      </c>
      <c r="Q12" s="18">
        <f t="shared" si="2"/>
        <v>84247.210793287639</v>
      </c>
    </row>
    <row r="13" spans="1:17">
      <c r="A13" t="s">
        <v>195</v>
      </c>
      <c r="B13" s="18">
        <f t="shared" ref="B13:L17" si="3">B5</f>
        <v>17482</v>
      </c>
      <c r="C13" s="18">
        <f t="shared" si="3"/>
        <v>13982</v>
      </c>
      <c r="D13" s="18">
        <f t="shared" si="3"/>
        <v>9740</v>
      </c>
      <c r="E13" s="18">
        <f t="shared" si="3"/>
        <v>12542</v>
      </c>
      <c r="F13" s="18">
        <f t="shared" si="3"/>
        <v>13004</v>
      </c>
      <c r="G13" s="18">
        <f t="shared" si="3"/>
        <v>14942</v>
      </c>
      <c r="H13" s="18">
        <f t="shared" si="3"/>
        <v>16169</v>
      </c>
      <c r="I13" s="18">
        <f t="shared" si="3"/>
        <v>16797</v>
      </c>
      <c r="J13" s="18">
        <f t="shared" si="3"/>
        <v>18193</v>
      </c>
      <c r="K13" s="18">
        <f t="shared" si="3"/>
        <v>18192</v>
      </c>
      <c r="L13" s="18">
        <f t="shared" si="3"/>
        <v>18288</v>
      </c>
      <c r="M13" s="18">
        <f>K13*(1+M29)</f>
        <v>18192</v>
      </c>
      <c r="N13" s="18">
        <f t="shared" si="2"/>
        <v>18192</v>
      </c>
      <c r="O13" s="18">
        <f t="shared" si="2"/>
        <v>18192</v>
      </c>
      <c r="P13" s="18">
        <f t="shared" si="2"/>
        <v>18192</v>
      </c>
      <c r="Q13" s="18">
        <f t="shared" si="2"/>
        <v>18192</v>
      </c>
    </row>
    <row r="14" spans="1:17">
      <c r="A14" t="s">
        <v>196</v>
      </c>
      <c r="B14" s="18">
        <f t="shared" si="3"/>
        <v>56521</v>
      </c>
      <c r="C14" s="18">
        <f t="shared" si="3"/>
        <v>54807</v>
      </c>
      <c r="D14" s="18">
        <f t="shared" si="3"/>
        <v>48055</v>
      </c>
      <c r="E14" s="18">
        <f t="shared" si="3"/>
        <v>54233</v>
      </c>
      <c r="F14" s="18">
        <f t="shared" si="3"/>
        <v>59542</v>
      </c>
      <c r="G14" s="18">
        <f t="shared" si="3"/>
        <v>68095</v>
      </c>
      <c r="H14" s="18">
        <f t="shared" si="3"/>
        <v>73963</v>
      </c>
      <c r="I14" s="18">
        <f t="shared" si="3"/>
        <v>75519</v>
      </c>
      <c r="J14" s="18">
        <f t="shared" si="3"/>
        <v>71707</v>
      </c>
      <c r="K14" s="18">
        <f t="shared" si="3"/>
        <v>66964</v>
      </c>
      <c r="L14" s="18">
        <f t="shared" si="3"/>
        <v>66449</v>
      </c>
      <c r="M14" s="18">
        <f>K14*(1+M30)</f>
        <v>66654.601086883296</v>
      </c>
      <c r="N14" s="18">
        <f t="shared" si="2"/>
        <v>66346.631713331692</v>
      </c>
      <c r="O14" s="18">
        <f t="shared" si="2"/>
        <v>66040.085274333731</v>
      </c>
      <c r="P14" s="18">
        <f t="shared" si="2"/>
        <v>65734.955195395596</v>
      </c>
      <c r="Q14" s="18">
        <f t="shared" si="2"/>
        <v>65431.234932400097</v>
      </c>
    </row>
    <row r="15" spans="1:17">
      <c r="A15" t="s">
        <v>197</v>
      </c>
      <c r="B15" s="18">
        <f t="shared" si="3"/>
        <v>251408</v>
      </c>
      <c r="C15" s="18">
        <f t="shared" si="3"/>
        <v>258362</v>
      </c>
      <c r="D15" s="18">
        <f t="shared" si="3"/>
        <v>218227</v>
      </c>
      <c r="E15" s="18">
        <f t="shared" si="3"/>
        <v>225583</v>
      </c>
      <c r="F15" s="18">
        <f t="shared" si="3"/>
        <v>238567</v>
      </c>
      <c r="G15" s="18">
        <f t="shared" si="3"/>
        <v>207466</v>
      </c>
      <c r="H15" s="18">
        <f t="shared" si="3"/>
        <v>186902</v>
      </c>
      <c r="I15" s="18">
        <f t="shared" si="3"/>
        <v>191359</v>
      </c>
      <c r="J15" s="18">
        <f t="shared" si="3"/>
        <v>151110</v>
      </c>
      <c r="K15" s="18">
        <f t="shared" si="3"/>
        <v>117101</v>
      </c>
      <c r="L15" s="18">
        <f t="shared" si="3"/>
        <v>130603</v>
      </c>
      <c r="M15" s="18">
        <f>K15*(1+M31)</f>
        <v>102518.53974148148</v>
      </c>
      <c r="N15" s="18">
        <f t="shared" si="2"/>
        <v>89752.017409977008</v>
      </c>
      <c r="O15" s="18">
        <f t="shared" si="2"/>
        <v>78575.296229091677</v>
      </c>
      <c r="P15" s="18">
        <f t="shared" si="2"/>
        <v>68790.399989417798</v>
      </c>
      <c r="Q15" s="18">
        <f t="shared" si="2"/>
        <v>60224.006243734344</v>
      </c>
    </row>
    <row r="16" spans="1:17">
      <c r="A16" t="s">
        <v>198</v>
      </c>
      <c r="B16" s="18">
        <f t="shared" si="3"/>
        <v>75109</v>
      </c>
      <c r="C16" s="18">
        <f t="shared" si="3"/>
        <v>70714</v>
      </c>
      <c r="D16" s="18">
        <f t="shared" si="3"/>
        <v>51873</v>
      </c>
      <c r="E16" s="18">
        <f t="shared" si="3"/>
        <v>60347</v>
      </c>
      <c r="F16" s="18">
        <f t="shared" si="3"/>
        <v>66823</v>
      </c>
      <c r="G16" s="18">
        <f t="shared" si="3"/>
        <v>70924</v>
      </c>
      <c r="H16" s="18">
        <f t="shared" si="3"/>
        <v>77760</v>
      </c>
      <c r="I16" s="18">
        <f t="shared" si="3"/>
        <v>88054</v>
      </c>
      <c r="J16" s="18">
        <f t="shared" si="3"/>
        <v>75902</v>
      </c>
      <c r="K16" s="18">
        <f t="shared" si="3"/>
        <v>68579</v>
      </c>
      <c r="L16" s="18">
        <f t="shared" si="3"/>
        <v>84163</v>
      </c>
      <c r="M16" s="18">
        <f>K16*(1+M32)</f>
        <v>79551.64</v>
      </c>
      <c r="N16" s="18">
        <f t="shared" si="2"/>
        <v>81938.189200000008</v>
      </c>
      <c r="O16" s="18">
        <f t="shared" si="2"/>
        <v>84396.334876000008</v>
      </c>
      <c r="P16" s="18">
        <f t="shared" si="2"/>
        <v>86928.224922280016</v>
      </c>
      <c r="Q16" s="18">
        <f t="shared" si="2"/>
        <v>89536.071669948418</v>
      </c>
    </row>
    <row r="17" spans="1:27">
      <c r="A17" t="s">
        <v>199</v>
      </c>
      <c r="B17" s="18">
        <f t="shared" si="3"/>
        <v>80793</v>
      </c>
      <c r="C17" s="18">
        <f t="shared" si="3"/>
        <v>76178</v>
      </c>
      <c r="D17" s="18">
        <f t="shared" si="3"/>
        <v>70086</v>
      </c>
      <c r="E17" s="18">
        <f t="shared" si="3"/>
        <v>79458</v>
      </c>
      <c r="F17" s="18">
        <f t="shared" si="3"/>
        <v>78367</v>
      </c>
      <c r="G17" s="18">
        <f t="shared" si="3"/>
        <v>78277</v>
      </c>
      <c r="H17" s="18">
        <f t="shared" si="3"/>
        <v>78574</v>
      </c>
      <c r="I17" s="18">
        <f t="shared" si="3"/>
        <v>83627</v>
      </c>
      <c r="J17" s="18">
        <f t="shared" si="3"/>
        <v>79070</v>
      </c>
      <c r="K17" s="18">
        <f t="shared" si="3"/>
        <v>77059</v>
      </c>
      <c r="L17" s="18">
        <f t="shared" si="3"/>
        <v>77321</v>
      </c>
      <c r="M17" s="18">
        <f>K17*(1+M33)</f>
        <v>76555.260038141554</v>
      </c>
      <c r="N17" s="18">
        <f t="shared" si="2"/>
        <v>76054.813058922038</v>
      </c>
      <c r="O17" s="18">
        <f t="shared" si="2"/>
        <v>75557.637535888367</v>
      </c>
      <c r="P17" s="18">
        <f t="shared" si="2"/>
        <v>75063.712083307328</v>
      </c>
      <c r="Q17" s="18">
        <f t="shared" si="2"/>
        <v>74573.015455245739</v>
      </c>
    </row>
    <row r="18" spans="1:27">
      <c r="B18" s="18"/>
      <c r="C18" s="18"/>
      <c r="D18" s="18"/>
      <c r="E18" s="18"/>
      <c r="F18" s="18"/>
      <c r="G18" s="18"/>
      <c r="H18" s="18"/>
      <c r="I18" s="18"/>
      <c r="J18" s="18"/>
      <c r="K18" s="18"/>
      <c r="L18" s="18"/>
    </row>
    <row r="19" spans="1:27">
      <c r="A19" s="167" t="s">
        <v>226</v>
      </c>
      <c r="B19" s="168"/>
      <c r="C19" s="168"/>
      <c r="D19" s="168"/>
      <c r="E19" s="168"/>
      <c r="F19" s="168"/>
      <c r="G19" s="168"/>
      <c r="H19" s="168"/>
      <c r="I19" s="168"/>
      <c r="J19" s="168"/>
      <c r="K19" s="168"/>
      <c r="L19" s="168"/>
      <c r="M19" s="168"/>
      <c r="N19" s="168"/>
      <c r="O19" s="168"/>
      <c r="P19" s="168"/>
      <c r="Q19" s="168"/>
      <c r="Y19" t="s">
        <v>211</v>
      </c>
      <c r="Z19" t="s">
        <v>100</v>
      </c>
      <c r="AA19" t="s">
        <v>102</v>
      </c>
    </row>
    <row r="20" spans="1:27">
      <c r="A20" t="s">
        <v>194</v>
      </c>
      <c r="B20" s="18"/>
      <c r="C20" s="18"/>
      <c r="D20" s="18"/>
      <c r="E20" s="18"/>
      <c r="F20" s="18"/>
      <c r="G20" s="20">
        <f t="shared" ref="G20:L25" si="4">SUM(C12:G12)/SUM(B12:F12)-1</f>
        <v>2.0508229073403772E-3</v>
      </c>
      <c r="H20" s="20">
        <f t="shared" si="4"/>
        <v>-1.7972881625511916E-2</v>
      </c>
      <c r="I20" s="20">
        <f t="shared" si="4"/>
        <v>3.1120712446617738E-2</v>
      </c>
      <c r="J20" s="20">
        <f t="shared" si="4"/>
        <v>1.8848965732303213E-3</v>
      </c>
      <c r="K20" s="20">
        <f t="shared" si="4"/>
        <v>9.5681424661828718E-3</v>
      </c>
      <c r="L20" s="20">
        <f>SUM(H12:L12)/SUM(G12:K12)-1</f>
        <v>1.9388829385152517E-2</v>
      </c>
      <c r="M20" s="171">
        <f>Segments!N63</f>
        <v>3.1120712446617738E-2</v>
      </c>
      <c r="N20" s="171">
        <f>M20</f>
        <v>3.1120712446617738E-2</v>
      </c>
      <c r="O20" s="171">
        <f t="shared" ref="O20:Q20" si="5">N20</f>
        <v>3.1120712446617738E-2</v>
      </c>
      <c r="P20" s="171">
        <f t="shared" si="5"/>
        <v>3.1120712446617738E-2</v>
      </c>
      <c r="Q20" s="171">
        <f t="shared" si="5"/>
        <v>3.1120712446617738E-2</v>
      </c>
      <c r="S20" s="163">
        <v>2.0508229073403772E-3</v>
      </c>
      <c r="T20" s="163">
        <v>-1.7972881625511916E-2</v>
      </c>
      <c r="U20" s="163">
        <v>3.1120712446617738E-2</v>
      </c>
      <c r="V20" s="163">
        <v>1.8848965732303213E-3</v>
      </c>
      <c r="W20" s="163">
        <v>9.5681424661828718E-3</v>
      </c>
      <c r="X20" s="163">
        <v>1.9388829385152517E-2</v>
      </c>
      <c r="Y20" s="135">
        <v>5.8094826867616245E-3</v>
      </c>
      <c r="Z20" s="135">
        <v>3.1120712446617738E-2</v>
      </c>
      <c r="AA20" s="135">
        <v>-1.7972881625511916E-2</v>
      </c>
    </row>
    <row r="21" spans="1:27">
      <c r="A21" t="s">
        <v>195</v>
      </c>
      <c r="B21" s="18"/>
      <c r="C21" s="18"/>
      <c r="D21" s="18"/>
      <c r="E21" s="18"/>
      <c r="F21" s="18"/>
      <c r="G21" s="20">
        <f t="shared" si="4"/>
        <v>-3.8052434456928852E-2</v>
      </c>
      <c r="H21" s="20">
        <f t="shared" si="4"/>
        <v>3.4060115246846268E-2</v>
      </c>
      <c r="I21" s="20">
        <f t="shared" si="4"/>
        <v>0.10628492251155919</v>
      </c>
      <c r="J21" s="20">
        <f t="shared" si="4"/>
        <v>7.693250197402457E-2</v>
      </c>
      <c r="K21" s="20">
        <f t="shared" si="4"/>
        <v>6.5583717843372691E-2</v>
      </c>
      <c r="L21" s="20">
        <f t="shared" si="4"/>
        <v>3.9694873832939903E-2</v>
      </c>
      <c r="M21" s="171">
        <f>Segments!M64</f>
        <v>5.2639295838156297E-2</v>
      </c>
      <c r="N21" s="171">
        <f t="shared" ref="N21:Q25" si="6">M21</f>
        <v>5.2639295838156297E-2</v>
      </c>
      <c r="O21" s="171">
        <f t="shared" si="6"/>
        <v>5.2639295838156297E-2</v>
      </c>
      <c r="P21" s="171">
        <f t="shared" si="6"/>
        <v>5.2639295838156297E-2</v>
      </c>
      <c r="Q21" s="171">
        <f t="shared" si="6"/>
        <v>5.2639295838156297E-2</v>
      </c>
      <c r="S21" s="163">
        <v>-3.8052434456928852E-2</v>
      </c>
      <c r="T21" s="163">
        <v>3.4060115246846268E-2</v>
      </c>
      <c r="U21" s="163">
        <v>0.10628492251155919</v>
      </c>
      <c r="V21" s="163">
        <v>7.693250197402457E-2</v>
      </c>
      <c r="W21" s="163">
        <v>6.5583717843372691E-2</v>
      </c>
      <c r="X21" s="163">
        <v>3.9694873832939903E-2</v>
      </c>
      <c r="Y21" s="135">
        <v>5.2639295838156297E-2</v>
      </c>
      <c r="Z21" s="135">
        <v>0.10628492251155919</v>
      </c>
      <c r="AA21" s="135">
        <v>-3.8052434456928852E-2</v>
      </c>
    </row>
    <row r="22" spans="1:27">
      <c r="A22" t="s">
        <v>196</v>
      </c>
      <c r="B22" s="18"/>
      <c r="C22" s="18"/>
      <c r="D22" s="18"/>
      <c r="E22" s="18"/>
      <c r="F22" s="18"/>
      <c r="G22" s="20">
        <f t="shared" si="4"/>
        <v>4.2371081937925936E-2</v>
      </c>
      <c r="H22" s="20">
        <f t="shared" si="4"/>
        <v>6.7277299355183118E-2</v>
      </c>
      <c r="I22" s="20">
        <f t="shared" si="4"/>
        <v>9.0375401463697047E-2</v>
      </c>
      <c r="J22" s="20">
        <f t="shared" si="4"/>
        <v>5.2735459571694232E-2</v>
      </c>
      <c r="K22" s="20">
        <f t="shared" si="4"/>
        <v>2.1277083703622912E-2</v>
      </c>
      <c r="L22" s="20">
        <f t="shared" si="4"/>
        <v>-4.6203768161505732E-3</v>
      </c>
      <c r="M22" s="171">
        <f>Segments!M65</f>
        <v>4.7553270754810084E-2</v>
      </c>
      <c r="N22" s="171">
        <f t="shared" si="6"/>
        <v>4.7553270754810084E-2</v>
      </c>
      <c r="O22" s="171">
        <f t="shared" si="6"/>
        <v>4.7553270754810084E-2</v>
      </c>
      <c r="P22" s="171">
        <f t="shared" si="6"/>
        <v>4.7553270754810084E-2</v>
      </c>
      <c r="Q22" s="171">
        <f t="shared" si="6"/>
        <v>4.7553270754810084E-2</v>
      </c>
      <c r="S22" s="163">
        <v>4.2371081937925936E-2</v>
      </c>
      <c r="T22" s="163">
        <v>6.7277299355183118E-2</v>
      </c>
      <c r="U22" s="163">
        <v>9.0375401463697047E-2</v>
      </c>
      <c r="V22" s="163">
        <v>5.2735459571694232E-2</v>
      </c>
      <c r="W22" s="163">
        <v>2.1277083703622912E-2</v>
      </c>
      <c r="X22" s="163">
        <v>-4.6203768161505732E-3</v>
      </c>
      <c r="Y22" s="135">
        <v>4.7553270754810084E-2</v>
      </c>
      <c r="Z22" s="135">
        <v>9.0375401463697047E-2</v>
      </c>
      <c r="AA22" s="135">
        <v>-4.6203768161505732E-3</v>
      </c>
    </row>
    <row r="23" spans="1:27">
      <c r="A23" t="s">
        <v>197</v>
      </c>
      <c r="B23" s="18"/>
      <c r="C23" s="18"/>
      <c r="D23" s="18"/>
      <c r="E23" s="18"/>
      <c r="F23" s="18"/>
      <c r="G23" s="20">
        <f t="shared" si="4"/>
        <v>-3.6859548361066197E-2</v>
      </c>
      <c r="H23" s="20">
        <f t="shared" si="4"/>
        <v>-6.2236273139378406E-2</v>
      </c>
      <c r="I23" s="20">
        <f t="shared" si="4"/>
        <v>-2.4952983296880893E-2</v>
      </c>
      <c r="J23" s="20">
        <f t="shared" si="4"/>
        <v>-7.0934976192449262E-2</v>
      </c>
      <c r="K23" s="20">
        <f t="shared" si="4"/>
        <v>-0.12452891314778292</v>
      </c>
      <c r="L23" s="20">
        <f t="shared" si="4"/>
        <v>-9.0010047567856244E-2</v>
      </c>
      <c r="M23" s="171">
        <v>-0.08</v>
      </c>
      <c r="N23" s="171">
        <f t="shared" si="6"/>
        <v>-0.08</v>
      </c>
      <c r="O23" s="171">
        <f t="shared" si="6"/>
        <v>-0.08</v>
      </c>
      <c r="P23" s="171">
        <f t="shared" si="6"/>
        <v>-0.08</v>
      </c>
      <c r="Q23" s="171">
        <f t="shared" si="6"/>
        <v>-0.08</v>
      </c>
      <c r="S23" s="163">
        <v>-3.6859548361066197E-2</v>
      </c>
      <c r="T23" s="163">
        <v>-6.2236273139378406E-2</v>
      </c>
      <c r="U23" s="163">
        <v>-2.4952983296880893E-2</v>
      </c>
      <c r="V23" s="163">
        <v>-7.0934976192449262E-2</v>
      </c>
      <c r="W23" s="163">
        <v>-0.12452891314778292</v>
      </c>
      <c r="X23" s="163">
        <v>-9.0010047567856244E-2</v>
      </c>
      <c r="Y23" s="135">
        <v>-6.6585624665913834E-2</v>
      </c>
      <c r="Z23" s="135">
        <v>-2.4952983296880893E-2</v>
      </c>
      <c r="AA23" s="135">
        <v>-0.12452891314778292</v>
      </c>
    </row>
    <row r="24" spans="1:27">
      <c r="A24" t="s">
        <v>198</v>
      </c>
      <c r="B24" s="18"/>
      <c r="C24" s="18"/>
      <c r="D24" s="18"/>
      <c r="E24" s="18"/>
      <c r="F24" s="18"/>
      <c r="G24" s="20">
        <f t="shared" si="4"/>
        <v>-1.2882234521310321E-2</v>
      </c>
      <c r="H24" s="20">
        <f t="shared" si="4"/>
        <v>2.1971990856957557E-2</v>
      </c>
      <c r="I24" s="20">
        <f t="shared" si="4"/>
        <v>0.11039981447973468</v>
      </c>
      <c r="J24" s="20">
        <f t="shared" si="4"/>
        <v>4.2744319992965352E-2</v>
      </c>
      <c r="K24" s="20">
        <f t="shared" si="4"/>
        <v>4.6275921499592254E-3</v>
      </c>
      <c r="L24" s="20">
        <f t="shared" si="4"/>
        <v>3.4728069692224084E-2</v>
      </c>
      <c r="M24" s="171">
        <f>Segments!F29</f>
        <v>0.16044648436247799</v>
      </c>
      <c r="N24" s="171">
        <f>Segments!G29</f>
        <v>8.4317220802176518E-2</v>
      </c>
      <c r="O24" s="171">
        <f>Segments!H29</f>
        <v>9.1949351406057422E-2</v>
      </c>
      <c r="P24" s="171">
        <f>Segments!I29</f>
        <v>0.15239803846740241</v>
      </c>
      <c r="Q24" s="171">
        <v>0.05</v>
      </c>
      <c r="S24" s="163">
        <v>-1.2882234521310321E-2</v>
      </c>
      <c r="T24" s="163">
        <v>2.1971990856957557E-2</v>
      </c>
      <c r="U24" s="163">
        <v>0.11039981447973468</v>
      </c>
      <c r="V24" s="163">
        <v>4.2744319992965352E-2</v>
      </c>
      <c r="W24" s="163">
        <v>4.6275921499592254E-3</v>
      </c>
      <c r="X24" s="163">
        <v>3.4728069692224084E-2</v>
      </c>
      <c r="Y24" s="135">
        <v>2.8350030274590821E-2</v>
      </c>
      <c r="Z24" s="135">
        <v>0.11039981447973468</v>
      </c>
      <c r="AA24" s="135">
        <v>-1.2882234521310321E-2</v>
      </c>
    </row>
    <row r="25" spans="1:27">
      <c r="A25" t="s">
        <v>199</v>
      </c>
      <c r="B25" s="18"/>
      <c r="C25" s="18"/>
      <c r="D25" s="18"/>
      <c r="E25" s="18"/>
      <c r="F25" s="18"/>
      <c r="G25" s="20">
        <f t="shared" si="4"/>
        <v>-6.5370685041129528E-3</v>
      </c>
      <c r="H25" s="20">
        <f t="shared" si="4"/>
        <v>6.2662475220076619E-3</v>
      </c>
      <c r="I25" s="20">
        <f t="shared" si="4"/>
        <v>3.5193184358122576E-2</v>
      </c>
      <c r="J25" s="20">
        <f t="shared" si="4"/>
        <v>-9.7413275822677559E-4</v>
      </c>
      <c r="K25" s="20">
        <f t="shared" si="4"/>
        <v>-3.2871341869494808E-3</v>
      </c>
      <c r="L25" s="20">
        <f t="shared" si="4"/>
        <v>-2.4104466133981761E-3</v>
      </c>
      <c r="M25" s="171">
        <v>0</v>
      </c>
      <c r="N25" s="171">
        <f t="shared" si="6"/>
        <v>0</v>
      </c>
      <c r="O25" s="171">
        <f t="shared" si="6"/>
        <v>0</v>
      </c>
      <c r="P25" s="171">
        <f t="shared" si="6"/>
        <v>0</v>
      </c>
      <c r="Q25" s="171">
        <f t="shared" si="6"/>
        <v>0</v>
      </c>
      <c r="S25" s="163">
        <v>-6.5370685041129528E-3</v>
      </c>
      <c r="T25" s="163">
        <v>6.2662475220076619E-3</v>
      </c>
      <c r="U25" s="163">
        <v>3.5193184358122576E-2</v>
      </c>
      <c r="V25" s="163">
        <v>-9.7413275822677559E-4</v>
      </c>
      <c r="W25" s="163">
        <v>-3.2871341869494808E-3</v>
      </c>
      <c r="X25" s="163">
        <v>-2.4104466133981761E-3</v>
      </c>
      <c r="Y25" s="135">
        <v>-1.6922896858124759E-3</v>
      </c>
      <c r="Z25" s="135">
        <v>3.5193184358122576E-2</v>
      </c>
      <c r="AA25" s="135">
        <v>-6.5370685041129528E-3</v>
      </c>
    </row>
    <row r="26" spans="1:27">
      <c r="B26" s="18"/>
      <c r="C26" s="18"/>
      <c r="D26" s="18"/>
      <c r="E26" s="18"/>
      <c r="F26" s="18"/>
      <c r="G26" s="18"/>
      <c r="H26" s="18"/>
      <c r="I26" s="18"/>
      <c r="J26" s="18"/>
      <c r="K26" s="18"/>
      <c r="L26" s="18"/>
    </row>
    <row r="27" spans="1:27">
      <c r="A27" s="169" t="s">
        <v>227</v>
      </c>
      <c r="B27" s="170"/>
      <c r="C27" s="170"/>
      <c r="D27" s="170"/>
      <c r="E27" s="170"/>
      <c r="F27" s="170"/>
      <c r="G27" s="170"/>
      <c r="H27" s="170"/>
      <c r="I27" s="170"/>
      <c r="J27" s="170"/>
      <c r="K27" s="170"/>
      <c r="L27" s="170"/>
      <c r="M27" s="170"/>
      <c r="N27" s="170"/>
      <c r="O27" s="170"/>
      <c r="P27" s="170"/>
      <c r="Q27" s="170"/>
    </row>
    <row r="28" spans="1:27">
      <c r="A28" t="s">
        <v>194</v>
      </c>
      <c r="B28" s="18"/>
      <c r="C28" s="18"/>
      <c r="D28" s="18"/>
      <c r="E28" s="18"/>
      <c r="F28" s="18"/>
      <c r="G28" s="20">
        <f t="shared" ref="G28:L33" si="7">G20</f>
        <v>2.0508229073403772E-3</v>
      </c>
      <c r="H28" s="20">
        <f t="shared" si="7"/>
        <v>-1.7972881625511916E-2</v>
      </c>
      <c r="I28" s="20">
        <f t="shared" si="7"/>
        <v>3.1120712446617738E-2</v>
      </c>
      <c r="J28" s="20">
        <f t="shared" si="7"/>
        <v>1.8848965732303213E-3</v>
      </c>
      <c r="K28" s="20">
        <f t="shared" si="7"/>
        <v>9.5681424661828718E-3</v>
      </c>
      <c r="L28" s="20">
        <f t="shared" si="7"/>
        <v>1.9388829385152517E-2</v>
      </c>
      <c r="M28" s="171">
        <f>Segments!O63</f>
        <v>-1.7972881625511916E-2</v>
      </c>
      <c r="N28" s="172">
        <f>M28</f>
        <v>-1.7972881625511916E-2</v>
      </c>
      <c r="O28" s="172">
        <f t="shared" ref="O28:Q28" si="8">N28</f>
        <v>-1.7972881625511916E-2</v>
      </c>
      <c r="P28" s="172">
        <f t="shared" si="8"/>
        <v>-1.7972881625511916E-2</v>
      </c>
      <c r="Q28" s="172">
        <f t="shared" si="8"/>
        <v>-1.7972881625511916E-2</v>
      </c>
    </row>
    <row r="29" spans="1:27">
      <c r="A29" t="s">
        <v>195</v>
      </c>
      <c r="B29" s="18"/>
      <c r="C29" s="18"/>
      <c r="D29" s="18"/>
      <c r="E29" s="18"/>
      <c r="F29" s="18"/>
      <c r="G29" s="20">
        <f t="shared" si="7"/>
        <v>-3.8052434456928852E-2</v>
      </c>
      <c r="H29" s="20">
        <f t="shared" si="7"/>
        <v>3.4060115246846268E-2</v>
      </c>
      <c r="I29" s="20">
        <f t="shared" si="7"/>
        <v>0.10628492251155919</v>
      </c>
      <c r="J29" s="20">
        <f t="shared" si="7"/>
        <v>7.693250197402457E-2</v>
      </c>
      <c r="K29" s="20">
        <f t="shared" si="7"/>
        <v>6.5583717843372691E-2</v>
      </c>
      <c r="L29" s="20">
        <f t="shared" si="7"/>
        <v>3.9694873832939903E-2</v>
      </c>
      <c r="M29" s="171">
        <v>0</v>
      </c>
      <c r="N29" s="172">
        <f t="shared" ref="N29:Q33" si="9">M29</f>
        <v>0</v>
      </c>
      <c r="O29" s="172">
        <f t="shared" si="9"/>
        <v>0</v>
      </c>
      <c r="P29" s="172">
        <f t="shared" si="9"/>
        <v>0</v>
      </c>
      <c r="Q29" s="172">
        <f t="shared" si="9"/>
        <v>0</v>
      </c>
    </row>
    <row r="30" spans="1:27">
      <c r="A30" t="s">
        <v>196</v>
      </c>
      <c r="B30" s="18"/>
      <c r="C30" s="18"/>
      <c r="D30" s="18"/>
      <c r="E30" s="18"/>
      <c r="F30" s="18"/>
      <c r="G30" s="20">
        <f t="shared" si="7"/>
        <v>4.2371081937925936E-2</v>
      </c>
      <c r="H30" s="20">
        <f t="shared" si="7"/>
        <v>6.7277299355183118E-2</v>
      </c>
      <c r="I30" s="20">
        <f t="shared" si="7"/>
        <v>9.0375401463697047E-2</v>
      </c>
      <c r="J30" s="20">
        <f t="shared" si="7"/>
        <v>5.2735459571694232E-2</v>
      </c>
      <c r="K30" s="20">
        <f t="shared" si="7"/>
        <v>2.1277083703622912E-2</v>
      </c>
      <c r="L30" s="20">
        <f t="shared" si="7"/>
        <v>-4.6203768161505732E-3</v>
      </c>
      <c r="M30" s="171">
        <f>Segments!O65</f>
        <v>-4.6203768161505732E-3</v>
      </c>
      <c r="N30" s="172">
        <f t="shared" si="9"/>
        <v>-4.6203768161505732E-3</v>
      </c>
      <c r="O30" s="172">
        <f t="shared" si="9"/>
        <v>-4.6203768161505732E-3</v>
      </c>
      <c r="P30" s="172">
        <f t="shared" si="9"/>
        <v>-4.6203768161505732E-3</v>
      </c>
      <c r="Q30" s="172">
        <f t="shared" si="9"/>
        <v>-4.6203768161505732E-3</v>
      </c>
    </row>
    <row r="31" spans="1:27">
      <c r="A31" t="s">
        <v>197</v>
      </c>
      <c r="B31" s="18"/>
      <c r="C31" s="18"/>
      <c r="D31" s="18"/>
      <c r="E31" s="18"/>
      <c r="F31" s="18"/>
      <c r="G31" s="20">
        <f t="shared" si="7"/>
        <v>-3.6859548361066197E-2</v>
      </c>
      <c r="H31" s="20">
        <f t="shared" si="7"/>
        <v>-6.2236273139378406E-2</v>
      </c>
      <c r="I31" s="20">
        <f t="shared" si="7"/>
        <v>-2.4952983296880893E-2</v>
      </c>
      <c r="J31" s="20">
        <f t="shared" si="7"/>
        <v>-7.0934976192449262E-2</v>
      </c>
      <c r="K31" s="20">
        <f t="shared" si="7"/>
        <v>-0.12452891314778292</v>
      </c>
      <c r="L31" s="20">
        <f t="shared" si="7"/>
        <v>-9.0010047567856244E-2</v>
      </c>
      <c r="M31" s="171">
        <f>Segments!O66</f>
        <v>-0.12452891314778292</v>
      </c>
      <c r="N31" s="172">
        <f t="shared" si="9"/>
        <v>-0.12452891314778292</v>
      </c>
      <c r="O31" s="172">
        <f t="shared" si="9"/>
        <v>-0.12452891314778292</v>
      </c>
      <c r="P31" s="172">
        <f t="shared" si="9"/>
        <v>-0.12452891314778292</v>
      </c>
      <c r="Q31" s="172">
        <f t="shared" si="9"/>
        <v>-0.12452891314778292</v>
      </c>
    </row>
    <row r="32" spans="1:27">
      <c r="A32" t="s">
        <v>198</v>
      </c>
      <c r="B32" s="18"/>
      <c r="C32" s="18"/>
      <c r="D32" s="18"/>
      <c r="E32" s="18"/>
      <c r="F32" s="18"/>
      <c r="G32" s="20">
        <f t="shared" si="7"/>
        <v>-1.2882234521310321E-2</v>
      </c>
      <c r="H32" s="20">
        <f t="shared" si="7"/>
        <v>2.1971990856957557E-2</v>
      </c>
      <c r="I32" s="20">
        <f t="shared" si="7"/>
        <v>0.11039981447973468</v>
      </c>
      <c r="J32" s="20">
        <f t="shared" si="7"/>
        <v>4.2744319992965352E-2</v>
      </c>
      <c r="K32" s="20">
        <f t="shared" si="7"/>
        <v>4.6275921499592254E-3</v>
      </c>
      <c r="L32" s="20">
        <f t="shared" si="7"/>
        <v>3.4728069692224084E-2</v>
      </c>
      <c r="M32" s="171">
        <v>0.16</v>
      </c>
      <c r="N32" s="172">
        <v>0.03</v>
      </c>
      <c r="O32" s="172">
        <f t="shared" si="9"/>
        <v>0.03</v>
      </c>
      <c r="P32" s="172">
        <f t="shared" si="9"/>
        <v>0.03</v>
      </c>
      <c r="Q32" s="172">
        <f t="shared" si="9"/>
        <v>0.03</v>
      </c>
    </row>
    <row r="33" spans="1:17">
      <c r="A33" t="s">
        <v>199</v>
      </c>
      <c r="B33" s="18"/>
      <c r="C33" s="18"/>
      <c r="D33" s="18"/>
      <c r="E33" s="18"/>
      <c r="F33" s="18"/>
      <c r="G33" s="20">
        <f t="shared" si="7"/>
        <v>-6.5370685041129528E-3</v>
      </c>
      <c r="H33" s="20">
        <f t="shared" si="7"/>
        <v>6.2662475220076619E-3</v>
      </c>
      <c r="I33" s="20">
        <f t="shared" si="7"/>
        <v>3.5193184358122576E-2</v>
      </c>
      <c r="J33" s="20">
        <f t="shared" si="7"/>
        <v>-9.7413275822677559E-4</v>
      </c>
      <c r="K33" s="20">
        <f t="shared" si="7"/>
        <v>-3.2871341869494808E-3</v>
      </c>
      <c r="L33" s="20">
        <f t="shared" si="7"/>
        <v>-2.4104466133981761E-3</v>
      </c>
      <c r="M33" s="171">
        <f>Segments!O68</f>
        <v>-6.5370685041129528E-3</v>
      </c>
      <c r="N33" s="172">
        <f t="shared" si="9"/>
        <v>-6.5370685041129528E-3</v>
      </c>
      <c r="O33" s="172">
        <f t="shared" si="9"/>
        <v>-6.5370685041129528E-3</v>
      </c>
      <c r="P33" s="172">
        <f t="shared" si="9"/>
        <v>-6.5370685041129528E-3</v>
      </c>
      <c r="Q33" s="172">
        <f t="shared" si="9"/>
        <v>-6.5370685041129528E-3</v>
      </c>
    </row>
    <row r="35" spans="1:17">
      <c r="A35" s="165" t="s">
        <v>228</v>
      </c>
      <c r="B35" s="166"/>
      <c r="C35" s="166"/>
      <c r="D35" s="166"/>
      <c r="E35" s="166"/>
      <c r="F35" s="166"/>
      <c r="G35" s="166"/>
      <c r="H35" s="166"/>
      <c r="I35" s="166"/>
      <c r="J35" s="166"/>
      <c r="K35" s="166"/>
      <c r="L35" s="166"/>
      <c r="M35" s="166"/>
      <c r="N35" s="166"/>
      <c r="O35" s="166"/>
      <c r="P35" s="166"/>
      <c r="Q35" s="166"/>
    </row>
    <row r="36" spans="1:17">
      <c r="A36" s="167" t="s">
        <v>226</v>
      </c>
      <c r="B36" s="168"/>
      <c r="C36" s="168"/>
      <c r="D36" s="168"/>
      <c r="E36" s="168"/>
      <c r="F36" s="168"/>
      <c r="G36" s="168"/>
      <c r="H36" s="168"/>
      <c r="I36" s="168"/>
      <c r="J36" s="168"/>
      <c r="K36" s="168"/>
      <c r="L36" s="168"/>
      <c r="M36" s="168"/>
      <c r="N36" s="168"/>
      <c r="O36" s="168"/>
      <c r="P36" s="168"/>
      <c r="Q36" s="168"/>
    </row>
    <row r="37" spans="1:17">
      <c r="A37" t="s">
        <v>194</v>
      </c>
      <c r="B37">
        <f>Segments!B31</f>
        <v>2.9716771092486105E-2</v>
      </c>
      <c r="C37">
        <f>Segments!C31</f>
        <v>3.1699964199372224E-2</v>
      </c>
      <c r="D37">
        <f>Segments!D31</f>
        <v>3.1567129685636443E-2</v>
      </c>
      <c r="E37">
        <f>Segments!E31</f>
        <v>3.1826321056742428E-2</v>
      </c>
      <c r="F37">
        <f>Segments!F31</f>
        <v>3.3691253699894244E-2</v>
      </c>
      <c r="G37">
        <f>Segments!G31</f>
        <v>3.5302035351529995E-2</v>
      </c>
      <c r="H37">
        <f>Segments!H31</f>
        <v>3.54367451051208E-2</v>
      </c>
      <c r="I37">
        <f>Segments!I31</f>
        <v>3.4970148086859727E-2</v>
      </c>
      <c r="J37">
        <f>Segments!J31</f>
        <v>3.7531789625889315E-2</v>
      </c>
      <c r="K37">
        <f>Segments!K31</f>
        <v>3.8025623584499013E-2</v>
      </c>
      <c r="L37">
        <f>Segments!L31</f>
        <v>3.8921597754061815E-2</v>
      </c>
      <c r="M37">
        <f>K37*(1+M53)</f>
        <v>3.9166392292033982E-2</v>
      </c>
      <c r="N37">
        <f t="shared" ref="N37:Q42" si="10">M37*(1+N53)</f>
        <v>4.0341384060795002E-2</v>
      </c>
      <c r="O37">
        <f t="shared" si="10"/>
        <v>4.1551625582618851E-2</v>
      </c>
      <c r="P37">
        <f t="shared" si="10"/>
        <v>4.2798174350097418E-2</v>
      </c>
      <c r="Q37">
        <f t="shared" si="10"/>
        <v>4.4082119580600342E-2</v>
      </c>
    </row>
    <row r="38" spans="1:17">
      <c r="A38" t="s">
        <v>195</v>
      </c>
      <c r="B38">
        <f>Segments!B32</f>
        <v>8.0769449877069938E-2</v>
      </c>
      <c r="C38">
        <f>Segments!C32</f>
        <v>9.1994771247248447E-2</v>
      </c>
      <c r="D38">
        <f>Segments!D32</f>
        <v>8.6417118973285731E-2</v>
      </c>
      <c r="E38">
        <f>Segments!E32</f>
        <v>9.8962481603702412E-2</v>
      </c>
      <c r="F38">
        <f>Segments!F32</f>
        <v>0.11207694901680834</v>
      </c>
      <c r="G38">
        <f>Segments!G32</f>
        <v>0.11594493912994182</v>
      </c>
      <c r="H38">
        <f>Segments!H32</f>
        <v>0.12339999643412403</v>
      </c>
      <c r="I38">
        <f>Segments!I32</f>
        <v>0.12010658327879252</v>
      </c>
      <c r="J38">
        <f>Segments!J32</f>
        <v>0.11571696677750416</v>
      </c>
      <c r="K38">
        <f>Segments!K32</f>
        <v>0.10866610914310525</v>
      </c>
      <c r="L38">
        <f>Segments!L32</f>
        <v>0.10718220948302301</v>
      </c>
      <c r="M38">
        <f>K38*(1+M54)</f>
        <v>0.10757944805167419</v>
      </c>
      <c r="N38">
        <f t="shared" si="10"/>
        <v>0.10757944805167419</v>
      </c>
      <c r="O38">
        <f t="shared" si="10"/>
        <v>0.10973103701270767</v>
      </c>
      <c r="P38">
        <f t="shared" si="10"/>
        <v>0.11192565775296183</v>
      </c>
      <c r="Q38">
        <f t="shared" si="10"/>
        <v>0.11416417090802107</v>
      </c>
    </row>
    <row r="39" spans="1:17">
      <c r="A39" t="s">
        <v>196</v>
      </c>
      <c r="B39">
        <f>Segments!B33</f>
        <v>3.7832218056750418E-2</v>
      </c>
      <c r="C39">
        <f>Segments!C33</f>
        <v>4.137631998287393E-2</v>
      </c>
      <c r="D39">
        <f>Segments!D33</f>
        <v>4.2478993660422328E-2</v>
      </c>
      <c r="E39">
        <f>Segments!E33</f>
        <v>4.2337455059292164E-2</v>
      </c>
      <c r="F39">
        <f>Segments!F33</f>
        <v>4.3236383494616247E-2</v>
      </c>
      <c r="G39">
        <f>Segments!G33</f>
        <v>4.2561875131024267E-2</v>
      </c>
      <c r="H39">
        <f>Segments!H33</f>
        <v>4.2278787675870198E-2</v>
      </c>
      <c r="I39">
        <f>Segments!I33</f>
        <v>4.3423246140983036E-2</v>
      </c>
      <c r="J39">
        <f>Segments!J33</f>
        <v>4.6729183197146258E-2</v>
      </c>
      <c r="K39">
        <f>Segments!K33</f>
        <v>5.0606296015196624E-2</v>
      </c>
      <c r="L39">
        <f>Segments!L33</f>
        <v>5.2046931975188282E-2</v>
      </c>
      <c r="M39">
        <f>K39*(1+M55)</f>
        <v>5.2124484895652523E-2</v>
      </c>
      <c r="N39">
        <f t="shared" si="10"/>
        <v>5.3688219442522098E-2</v>
      </c>
      <c r="O39">
        <f t="shared" si="10"/>
        <v>5.5298866025797762E-2</v>
      </c>
      <c r="P39">
        <f t="shared" si="10"/>
        <v>5.6957832006571694E-2</v>
      </c>
      <c r="Q39">
        <f t="shared" si="10"/>
        <v>5.8666566966768849E-2</v>
      </c>
    </row>
    <row r="40" spans="1:17">
      <c r="A40" t="s">
        <v>197</v>
      </c>
      <c r="B40">
        <f>Segments!B34</f>
        <v>9.8351738908008784E-3</v>
      </c>
      <c r="C40">
        <f>Segments!C34</f>
        <v>1.0617934460794671E-2</v>
      </c>
      <c r="D40">
        <f>Segments!D34</f>
        <v>1.3025322068024908E-2</v>
      </c>
      <c r="E40">
        <f>Segments!E34</f>
        <v>1.3089573332138763E-2</v>
      </c>
      <c r="F40">
        <f>Segments!F34</f>
        <v>1.3077712164381692E-2</v>
      </c>
      <c r="G40">
        <f>Segments!G34</f>
        <v>1.3866761639676969E-2</v>
      </c>
      <c r="H40">
        <f>Segments!H34</f>
        <v>1.6228191018421927E-2</v>
      </c>
      <c r="I40">
        <f>Segments!I34</f>
        <v>1.6472447846248905E-2</v>
      </c>
      <c r="J40">
        <f>Segments!J34</f>
        <v>1.8741262087030353E-2</v>
      </c>
      <c r="K40">
        <f>Segments!K34</f>
        <v>1.9564388272615394E-2</v>
      </c>
      <c r="L40">
        <f>Segments!L34</f>
        <v>1.8182455706159655E-2</v>
      </c>
      <c r="M40">
        <f>K40*(1+M56)</f>
        <v>2.0985692593741119E-2</v>
      </c>
      <c r="N40">
        <f t="shared" si="10"/>
        <v>2.2510251151344977E-2</v>
      </c>
      <c r="O40">
        <f t="shared" si="10"/>
        <v>2.4145565109809721E-2</v>
      </c>
      <c r="P40">
        <f t="shared" si="10"/>
        <v>2.5899680574520204E-2</v>
      </c>
      <c r="Q40">
        <f t="shared" si="10"/>
        <v>2.7781228180476632E-2</v>
      </c>
    </row>
    <row r="41" spans="1:17">
      <c r="A41" t="s">
        <v>198</v>
      </c>
      <c r="B41">
        <f>Segments!B35</f>
        <v>3.8336509009339478E-2</v>
      </c>
      <c r="C41">
        <f>Segments!C35</f>
        <v>4.2156219272737584E-2</v>
      </c>
      <c r="D41">
        <f>Segments!D35</f>
        <v>4.0126995064201344E-2</v>
      </c>
      <c r="E41">
        <f>Segments!E35</f>
        <v>4.1353408025965946E-2</v>
      </c>
      <c r="F41">
        <f>Segments!F35</f>
        <v>4.3337728002237619E-2</v>
      </c>
      <c r="G41">
        <f>Segments!G35</f>
        <v>4.4274660819359428E-2</v>
      </c>
      <c r="H41">
        <f>Segments!H35</f>
        <v>4.4095544193935701E-2</v>
      </c>
      <c r="I41">
        <f>Segments!I35</f>
        <v>4.4874991539269382E-2</v>
      </c>
      <c r="J41">
        <f>Segments!J35</f>
        <v>4.7489737042618024E-2</v>
      </c>
      <c r="K41">
        <f>Segments!K35</f>
        <v>4.7547284167863087E-2</v>
      </c>
      <c r="L41">
        <f>Segments!L35</f>
        <v>4.6383836977327515E-2</v>
      </c>
      <c r="M41">
        <f>K41*(1+M57)</f>
        <v>4.8498229851220348E-2</v>
      </c>
      <c r="N41">
        <f t="shared" si="10"/>
        <v>4.9468194448244754E-2</v>
      </c>
      <c r="O41">
        <f t="shared" si="10"/>
        <v>5.0457558337209649E-2</v>
      </c>
      <c r="P41">
        <f t="shared" si="10"/>
        <v>5.1466709503953843E-2</v>
      </c>
      <c r="Q41">
        <f t="shared" si="10"/>
        <v>5.2496043694032921E-2</v>
      </c>
    </row>
    <row r="42" spans="1:17">
      <c r="A42" t="s">
        <v>199</v>
      </c>
      <c r="B42">
        <f>Segments!B36</f>
        <v>3.3573012737767326E-2</v>
      </c>
      <c r="C42">
        <f>Segments!C36</f>
        <v>3.5554556929998371E-2</v>
      </c>
      <c r="D42">
        <f>Segments!D36</f>
        <v>3.4208154931982648E-2</v>
      </c>
      <c r="E42">
        <f>Segments!E36</f>
        <v>3.8235633029841745E-2</v>
      </c>
      <c r="F42">
        <f>Segments!F36</f>
        <v>4.2011379142967424E-2</v>
      </c>
      <c r="G42">
        <f>Segments!G36</f>
        <v>4.553635712050589E-2</v>
      </c>
      <c r="H42">
        <f>Segments!H36</f>
        <v>4.6233540160307895E-2</v>
      </c>
      <c r="I42">
        <f>Segments!I36</f>
        <v>4.8584490324219763E-2</v>
      </c>
      <c r="J42">
        <f>Segments!J36</f>
        <v>4.8843747152710629E-2</v>
      </c>
      <c r="K42">
        <f>Segments!K36</f>
        <v>4.6872602578791028E-2</v>
      </c>
      <c r="L42">
        <f>Segments!L36</f>
        <v>4.7528668314480015E-2</v>
      </c>
      <c r="M42">
        <f>K42*(1+M58)</f>
        <v>4.7810054630366847E-2</v>
      </c>
      <c r="N42">
        <f t="shared" si="10"/>
        <v>4.8766255722974182E-2</v>
      </c>
      <c r="O42">
        <f t="shared" si="10"/>
        <v>4.9741580837433665E-2</v>
      </c>
      <c r="P42">
        <f t="shared" si="10"/>
        <v>5.0736412454182339E-2</v>
      </c>
      <c r="Q42">
        <f t="shared" si="10"/>
        <v>5.1751140703265988E-2</v>
      </c>
    </row>
    <row r="43" spans="1:17">
      <c r="B43" s="18"/>
      <c r="C43" s="18"/>
      <c r="D43" s="18"/>
      <c r="E43" s="18"/>
      <c r="F43" s="18"/>
      <c r="G43" s="18"/>
      <c r="H43" s="18"/>
      <c r="I43" s="18"/>
      <c r="J43" s="18"/>
      <c r="K43" s="18"/>
      <c r="L43" s="18"/>
    </row>
    <row r="44" spans="1:17">
      <c r="A44" s="169" t="s">
        <v>227</v>
      </c>
      <c r="B44" s="170"/>
      <c r="C44" s="170"/>
      <c r="D44" s="170"/>
      <c r="E44" s="170"/>
      <c r="F44" s="170"/>
      <c r="G44" s="170"/>
      <c r="H44" s="170"/>
      <c r="I44" s="170"/>
      <c r="J44" s="170"/>
      <c r="K44" s="170"/>
      <c r="L44" s="170"/>
      <c r="M44" s="170"/>
      <c r="N44" s="170"/>
      <c r="O44" s="170"/>
      <c r="P44" s="170"/>
      <c r="Q44" s="170"/>
    </row>
    <row r="45" spans="1:17">
      <c r="A45" t="s">
        <v>194</v>
      </c>
      <c r="B45">
        <f t="shared" ref="B45:L50" si="11">B37</f>
        <v>2.9716771092486105E-2</v>
      </c>
      <c r="C45">
        <f t="shared" si="11"/>
        <v>3.1699964199372224E-2</v>
      </c>
      <c r="D45">
        <f t="shared" si="11"/>
        <v>3.1567129685636443E-2</v>
      </c>
      <c r="E45">
        <f t="shared" si="11"/>
        <v>3.1826321056742428E-2</v>
      </c>
      <c r="F45">
        <f t="shared" si="11"/>
        <v>3.3691253699894244E-2</v>
      </c>
      <c r="G45">
        <f t="shared" si="11"/>
        <v>3.5302035351529995E-2</v>
      </c>
      <c r="H45">
        <f t="shared" si="11"/>
        <v>3.54367451051208E-2</v>
      </c>
      <c r="I45">
        <f t="shared" si="11"/>
        <v>3.4970148086859727E-2</v>
      </c>
      <c r="J45">
        <f t="shared" si="11"/>
        <v>3.7531789625889315E-2</v>
      </c>
      <c r="K45">
        <f t="shared" si="11"/>
        <v>3.8025623584499013E-2</v>
      </c>
      <c r="L45">
        <f>L37</f>
        <v>3.8921597754061815E-2</v>
      </c>
      <c r="M45">
        <f>K45*(1+M61)</f>
        <v>3.8786136056188997E-2</v>
      </c>
      <c r="N45">
        <f t="shared" ref="N45:Q50" si="12">M45*(1+N61)</f>
        <v>3.9561858777312775E-2</v>
      </c>
      <c r="O45">
        <f t="shared" si="12"/>
        <v>4.0353095952859033E-2</v>
      </c>
      <c r="P45">
        <f t="shared" si="12"/>
        <v>4.1160157871916216E-2</v>
      </c>
      <c r="Q45">
        <f t="shared" si="12"/>
        <v>4.1983361029354543E-2</v>
      </c>
    </row>
    <row r="46" spans="1:17">
      <c r="A46" t="s">
        <v>195</v>
      </c>
      <c r="B46">
        <f t="shared" si="11"/>
        <v>8.0769449877069938E-2</v>
      </c>
      <c r="C46">
        <f t="shared" si="11"/>
        <v>9.1994771247248447E-2</v>
      </c>
      <c r="D46">
        <f t="shared" si="11"/>
        <v>8.6417118973285731E-2</v>
      </c>
      <c r="E46">
        <f t="shared" si="11"/>
        <v>9.8962481603702412E-2</v>
      </c>
      <c r="F46">
        <f t="shared" si="11"/>
        <v>0.11207694901680834</v>
      </c>
      <c r="G46">
        <f t="shared" si="11"/>
        <v>0.11594493912994182</v>
      </c>
      <c r="H46">
        <f t="shared" si="11"/>
        <v>0.12339999643412403</v>
      </c>
      <c r="I46">
        <f t="shared" si="11"/>
        <v>0.12010658327879252</v>
      </c>
      <c r="J46">
        <f t="shared" si="11"/>
        <v>0.11571696677750416</v>
      </c>
      <c r="K46">
        <f t="shared" si="11"/>
        <v>0.10866610914310525</v>
      </c>
      <c r="L46">
        <f t="shared" si="11"/>
        <v>0.10718220948302301</v>
      </c>
      <c r="M46">
        <f>K46*(1+M62)</f>
        <v>0.10649278696024314</v>
      </c>
      <c r="N46">
        <f t="shared" si="12"/>
        <v>0.1054278590906407</v>
      </c>
      <c r="O46">
        <f t="shared" si="12"/>
        <v>0.1054278590906407</v>
      </c>
      <c r="P46">
        <f t="shared" si="12"/>
        <v>0.1054278590906407</v>
      </c>
      <c r="Q46">
        <f t="shared" si="12"/>
        <v>0.1054278590906407</v>
      </c>
    </row>
    <row r="47" spans="1:17">
      <c r="A47" t="s">
        <v>196</v>
      </c>
      <c r="B47">
        <f t="shared" si="11"/>
        <v>3.7832218056750418E-2</v>
      </c>
      <c r="C47">
        <f t="shared" si="11"/>
        <v>4.137631998287393E-2</v>
      </c>
      <c r="D47">
        <f t="shared" si="11"/>
        <v>4.2478993660422328E-2</v>
      </c>
      <c r="E47">
        <f t="shared" si="11"/>
        <v>4.2337455059292164E-2</v>
      </c>
      <c r="F47">
        <f t="shared" si="11"/>
        <v>4.3236383494616247E-2</v>
      </c>
      <c r="G47">
        <f t="shared" si="11"/>
        <v>4.2561875131024267E-2</v>
      </c>
      <c r="H47">
        <f t="shared" si="11"/>
        <v>4.2278787675870198E-2</v>
      </c>
      <c r="I47">
        <f t="shared" si="11"/>
        <v>4.3423246140983036E-2</v>
      </c>
      <c r="J47">
        <f t="shared" si="11"/>
        <v>4.6729183197146258E-2</v>
      </c>
      <c r="K47">
        <f t="shared" si="11"/>
        <v>5.0606296015196624E-2</v>
      </c>
      <c r="L47">
        <f t="shared" si="11"/>
        <v>5.2046931975188282E-2</v>
      </c>
      <c r="M47">
        <f>K47*(1+M63)</f>
        <v>5.0821732242812084E-2</v>
      </c>
      <c r="N47">
        <f t="shared" si="12"/>
        <v>5.103808560469391E-2</v>
      </c>
      <c r="O47">
        <f t="shared" si="12"/>
        <v>5.1255360005177372E-2</v>
      </c>
      <c r="P47">
        <f t="shared" si="12"/>
        <v>5.1473559365218899E-2</v>
      </c>
      <c r="Q47">
        <f t="shared" si="12"/>
        <v>5.1692687622466836E-2</v>
      </c>
    </row>
    <row r="48" spans="1:17">
      <c r="A48" t="s">
        <v>197</v>
      </c>
      <c r="B48">
        <f t="shared" si="11"/>
        <v>9.8351738908008784E-3</v>
      </c>
      <c r="C48">
        <f t="shared" si="11"/>
        <v>1.0617934460794671E-2</v>
      </c>
      <c r="D48">
        <f t="shared" si="11"/>
        <v>1.3025322068024908E-2</v>
      </c>
      <c r="E48">
        <f t="shared" si="11"/>
        <v>1.3089573332138763E-2</v>
      </c>
      <c r="F48">
        <f t="shared" si="11"/>
        <v>1.3077712164381692E-2</v>
      </c>
      <c r="G48">
        <f t="shared" si="11"/>
        <v>1.3866761639676969E-2</v>
      </c>
      <c r="H48">
        <f t="shared" si="11"/>
        <v>1.6228191018421927E-2</v>
      </c>
      <c r="I48">
        <f t="shared" si="11"/>
        <v>1.6472447846248905E-2</v>
      </c>
      <c r="J48">
        <f t="shared" si="11"/>
        <v>1.8741262087030353E-2</v>
      </c>
      <c r="K48">
        <f t="shared" si="11"/>
        <v>1.9564388272615394E-2</v>
      </c>
      <c r="L48">
        <f t="shared" si="11"/>
        <v>1.8182455706159655E-2</v>
      </c>
      <c r="M48">
        <f>K48*(1+M64)</f>
        <v>2.0537736257924811E-2</v>
      </c>
      <c r="N48">
        <f t="shared" si="12"/>
        <v>2.1559509284043297E-2</v>
      </c>
      <c r="O48">
        <f t="shared" si="12"/>
        <v>2.2632116545434452E-2</v>
      </c>
      <c r="P48">
        <f t="shared" si="12"/>
        <v>2.3758087096408479E-2</v>
      </c>
      <c r="Q48">
        <f t="shared" si="12"/>
        <v>2.494007581427006E-2</v>
      </c>
    </row>
    <row r="49" spans="1:27">
      <c r="A49" t="s">
        <v>198</v>
      </c>
      <c r="B49">
        <f t="shared" si="11"/>
        <v>3.8336509009339478E-2</v>
      </c>
      <c r="C49">
        <f t="shared" si="11"/>
        <v>4.2156219272737584E-2</v>
      </c>
      <c r="D49">
        <f t="shared" si="11"/>
        <v>4.0126995064201344E-2</v>
      </c>
      <c r="E49">
        <f t="shared" si="11"/>
        <v>4.1353408025965946E-2</v>
      </c>
      <c r="F49">
        <f t="shared" si="11"/>
        <v>4.3337728002237619E-2</v>
      </c>
      <c r="G49">
        <f t="shared" si="11"/>
        <v>4.4274660819359428E-2</v>
      </c>
      <c r="H49">
        <f t="shared" si="11"/>
        <v>4.4095544193935701E-2</v>
      </c>
      <c r="I49">
        <f t="shared" si="11"/>
        <v>4.4874991539269382E-2</v>
      </c>
      <c r="J49">
        <f t="shared" si="11"/>
        <v>4.7489737042618024E-2</v>
      </c>
      <c r="K49">
        <f t="shared" si="11"/>
        <v>4.7547284167863087E-2</v>
      </c>
      <c r="L49">
        <f t="shared" si="11"/>
        <v>4.6383836977327515E-2</v>
      </c>
      <c r="M49">
        <f>K49*(1+M65)</f>
        <v>4.7983781515732286E-2</v>
      </c>
      <c r="N49">
        <f t="shared" si="12"/>
        <v>4.8424286031161765E-2</v>
      </c>
      <c r="O49">
        <f t="shared" si="12"/>
        <v>4.8868834501068867E-2</v>
      </c>
      <c r="P49">
        <f t="shared" si="12"/>
        <v>4.9317464050085108E-2</v>
      </c>
      <c r="Q49">
        <f t="shared" si="12"/>
        <v>4.9770212143656491E-2</v>
      </c>
    </row>
    <row r="50" spans="1:27">
      <c r="A50" t="s">
        <v>199</v>
      </c>
      <c r="B50">
        <f t="shared" si="11"/>
        <v>3.3573012737767326E-2</v>
      </c>
      <c r="C50">
        <f t="shared" si="11"/>
        <v>3.5554556929998371E-2</v>
      </c>
      <c r="D50">
        <f t="shared" si="11"/>
        <v>3.4208154931982648E-2</v>
      </c>
      <c r="E50">
        <f t="shared" si="11"/>
        <v>3.8235633029841745E-2</v>
      </c>
      <c r="F50">
        <f t="shared" si="11"/>
        <v>4.2011379142967424E-2</v>
      </c>
      <c r="G50">
        <f t="shared" si="11"/>
        <v>4.553635712050589E-2</v>
      </c>
      <c r="H50">
        <f t="shared" si="11"/>
        <v>4.6233540160307895E-2</v>
      </c>
      <c r="I50">
        <f t="shared" si="11"/>
        <v>4.8584490324219763E-2</v>
      </c>
      <c r="J50">
        <f t="shared" si="11"/>
        <v>4.8843747152710629E-2</v>
      </c>
      <c r="K50">
        <f t="shared" si="11"/>
        <v>4.6872602578791028E-2</v>
      </c>
      <c r="L50">
        <f t="shared" si="11"/>
        <v>4.7528668314480015E-2</v>
      </c>
      <c r="M50">
        <f>K50*(1+M66)</f>
        <v>4.7268182360775193E-2</v>
      </c>
      <c r="N50">
        <f t="shared" si="12"/>
        <v>4.7667100625269514E-2</v>
      </c>
      <c r="O50">
        <f t="shared" si="12"/>
        <v>4.8069385547286916E-2</v>
      </c>
      <c r="P50">
        <f t="shared" si="12"/>
        <v>4.8475065539622414E-2</v>
      </c>
      <c r="Q50">
        <f t="shared" si="12"/>
        <v>4.8884169254859867E-2</v>
      </c>
    </row>
    <row r="52" spans="1:27">
      <c r="A52" s="167" t="s">
        <v>226</v>
      </c>
      <c r="B52" s="168"/>
      <c r="C52" s="168"/>
      <c r="D52" s="168"/>
      <c r="E52" s="168"/>
      <c r="F52" s="168"/>
      <c r="G52" s="168"/>
      <c r="H52" s="168"/>
      <c r="I52" s="168"/>
      <c r="J52" s="168"/>
      <c r="K52" s="168"/>
      <c r="L52" s="168"/>
      <c r="M52" s="168"/>
      <c r="N52" s="168"/>
      <c r="O52" s="168"/>
      <c r="P52" s="168"/>
      <c r="Q52" s="168"/>
    </row>
    <row r="53" spans="1:27">
      <c r="A53" t="s">
        <v>194</v>
      </c>
      <c r="B53" s="18"/>
      <c r="C53" s="18"/>
      <c r="D53" s="18"/>
      <c r="E53" s="18"/>
      <c r="F53" s="18"/>
      <c r="G53" s="20">
        <f t="shared" ref="G53:L58" si="13">SUM(C45:G45)/SUM(B45:F45)-1</f>
        <v>3.5237940225732567E-2</v>
      </c>
      <c r="H53" s="20">
        <f t="shared" si="13"/>
        <v>2.2773209619129098E-2</v>
      </c>
      <c r="I53" s="20">
        <f t="shared" si="13"/>
        <v>2.0277367039975625E-2</v>
      </c>
      <c r="J53" s="20">
        <f t="shared" si="13"/>
        <v>3.3321176682243214E-2</v>
      </c>
      <c r="K53" s="20">
        <f t="shared" si="13"/>
        <v>2.4497380766245858E-2</v>
      </c>
      <c r="L53" s="20">
        <f>SUM(H45:L45)/SUM(G45:K45)-1</f>
        <v>1.9968199101441542E-2</v>
      </c>
      <c r="M53" s="171">
        <v>0.03</v>
      </c>
      <c r="N53" s="171">
        <f>M53</f>
        <v>0.03</v>
      </c>
      <c r="O53" s="171">
        <f t="shared" ref="O53:Q54" si="14">N53</f>
        <v>0.03</v>
      </c>
      <c r="P53" s="171">
        <f t="shared" si="14"/>
        <v>0.03</v>
      </c>
      <c r="Q53" s="171">
        <f t="shared" si="14"/>
        <v>0.03</v>
      </c>
      <c r="S53" s="163"/>
      <c r="T53" s="163"/>
      <c r="U53" s="163"/>
      <c r="V53" s="163"/>
      <c r="W53" s="163"/>
      <c r="X53" s="163"/>
      <c r="Y53" s="135"/>
      <c r="Z53" s="135"/>
      <c r="AA53" s="135"/>
    </row>
    <row r="54" spans="1:27">
      <c r="A54" t="s">
        <v>195</v>
      </c>
      <c r="B54" s="18"/>
      <c r="C54" s="18"/>
      <c r="D54" s="18"/>
      <c r="E54" s="18"/>
      <c r="F54" s="18"/>
      <c r="G54" s="20">
        <f t="shared" si="13"/>
        <v>7.4806328098081298E-2</v>
      </c>
      <c r="H54" s="20">
        <f t="shared" si="13"/>
        <v>6.2139805286011596E-2</v>
      </c>
      <c r="I54" s="20">
        <f t="shared" si="13"/>
        <v>6.2759633192146058E-2</v>
      </c>
      <c r="J54" s="20">
        <f t="shared" si="13"/>
        <v>2.9368538080335682E-2</v>
      </c>
      <c r="K54" s="20">
        <f t="shared" si="13"/>
        <v>-5.8082016011082871E-3</v>
      </c>
      <c r="L54" s="20">
        <f t="shared" si="13"/>
        <v>-1.5008925002926388E-2</v>
      </c>
      <c r="M54" s="171">
        <v>-0.01</v>
      </c>
      <c r="N54" s="171">
        <v>0</v>
      </c>
      <c r="O54" s="171">
        <v>0.02</v>
      </c>
      <c r="P54" s="171">
        <f t="shared" si="14"/>
        <v>0.02</v>
      </c>
      <c r="Q54" s="171">
        <f t="shared" si="14"/>
        <v>0.02</v>
      </c>
      <c r="S54" s="163"/>
      <c r="T54" s="163"/>
      <c r="U54" s="163"/>
      <c r="V54" s="163"/>
      <c r="W54" s="163"/>
      <c r="X54" s="163"/>
      <c r="Y54" s="135"/>
      <c r="Z54" s="135"/>
      <c r="AA54" s="135"/>
    </row>
    <row r="55" spans="1:27">
      <c r="A55" t="s">
        <v>196</v>
      </c>
      <c r="B55" s="18"/>
      <c r="C55" s="18"/>
      <c r="D55" s="18"/>
      <c r="E55" s="18"/>
      <c r="F55" s="18"/>
      <c r="G55" s="20">
        <f t="shared" si="13"/>
        <v>2.2819771327762028E-2</v>
      </c>
      <c r="H55" s="20">
        <f t="shared" si="13"/>
        <v>4.2571032574834078E-3</v>
      </c>
      <c r="I55" s="20">
        <f t="shared" si="13"/>
        <v>4.4353280050504207E-3</v>
      </c>
      <c r="J55" s="20">
        <f t="shared" si="13"/>
        <v>2.0537665539230421E-2</v>
      </c>
      <c r="K55" s="20">
        <f t="shared" si="13"/>
        <v>3.3771389034312982E-2</v>
      </c>
      <c r="L55" s="20">
        <f t="shared" si="13"/>
        <v>4.2043805710269666E-2</v>
      </c>
      <c r="M55" s="171">
        <v>0.03</v>
      </c>
      <c r="N55" s="171">
        <f t="shared" ref="N55:Q58" si="15">M55</f>
        <v>0.03</v>
      </c>
      <c r="O55" s="171">
        <f t="shared" si="15"/>
        <v>0.03</v>
      </c>
      <c r="P55" s="171">
        <f t="shared" si="15"/>
        <v>0.03</v>
      </c>
      <c r="Q55" s="171">
        <f t="shared" si="15"/>
        <v>0.03</v>
      </c>
      <c r="S55" s="163"/>
      <c r="T55" s="163"/>
      <c r="U55" s="163"/>
      <c r="V55" s="163"/>
      <c r="W55" s="163"/>
      <c r="X55" s="163"/>
      <c r="Y55" s="135"/>
      <c r="Z55" s="135"/>
      <c r="AA55" s="135"/>
    </row>
    <row r="56" spans="1:27">
      <c r="A56" t="s">
        <v>197</v>
      </c>
      <c r="B56" s="18"/>
      <c r="C56" s="18"/>
      <c r="D56" s="18"/>
      <c r="E56" s="18"/>
      <c r="F56" s="18"/>
      <c r="G56" s="20">
        <f t="shared" si="13"/>
        <v>6.759224341517367E-2</v>
      </c>
      <c r="H56" s="20">
        <f t="shared" si="13"/>
        <v>8.8104493041049059E-2</v>
      </c>
      <c r="I56" s="20">
        <f t="shared" si="13"/>
        <v>4.9751005334106368E-2</v>
      </c>
      <c r="J56" s="20">
        <f t="shared" si="13"/>
        <v>7.7702799938177192E-2</v>
      </c>
      <c r="K56" s="20">
        <f t="shared" si="13"/>
        <v>8.2752597354389668E-2</v>
      </c>
      <c r="L56" s="20">
        <f t="shared" si="13"/>
        <v>5.0848815054362229E-2</v>
      </c>
      <c r="M56" s="171">
        <f>Segments!M58</f>
        <v>7.2647521676675431E-2</v>
      </c>
      <c r="N56" s="171">
        <f t="shared" si="15"/>
        <v>7.2647521676675431E-2</v>
      </c>
      <c r="O56" s="171">
        <f t="shared" si="15"/>
        <v>7.2647521676675431E-2</v>
      </c>
      <c r="P56" s="171">
        <f t="shared" si="15"/>
        <v>7.2647521676675431E-2</v>
      </c>
      <c r="Q56" s="171">
        <f t="shared" si="15"/>
        <v>7.2647521676675431E-2</v>
      </c>
      <c r="S56" s="163"/>
      <c r="T56" s="163"/>
      <c r="U56" s="163"/>
      <c r="V56" s="163"/>
      <c r="W56" s="163"/>
      <c r="X56" s="163"/>
      <c r="Y56" s="135"/>
      <c r="Z56" s="135"/>
      <c r="AA56" s="135"/>
    </row>
    <row r="57" spans="1:27">
      <c r="A57" t="s">
        <v>198</v>
      </c>
      <c r="B57" s="18"/>
      <c r="C57" s="18"/>
      <c r="D57" s="18"/>
      <c r="E57" s="18"/>
      <c r="F57" s="18"/>
      <c r="G57" s="20">
        <f t="shared" si="13"/>
        <v>2.8922736128579096E-2</v>
      </c>
      <c r="H57" s="20">
        <f t="shared" si="13"/>
        <v>9.1802792842630154E-3</v>
      </c>
      <c r="I57" s="20">
        <f t="shared" si="13"/>
        <v>2.2271370759767706E-2</v>
      </c>
      <c r="J57" s="20">
        <f t="shared" si="13"/>
        <v>2.815652142066738E-2</v>
      </c>
      <c r="K57" s="20">
        <f t="shared" si="13"/>
        <v>1.8786567426902545E-2</v>
      </c>
      <c r="L57" s="20">
        <f t="shared" si="13"/>
        <v>9.2393361981326638E-3</v>
      </c>
      <c r="M57" s="171">
        <v>0.02</v>
      </c>
      <c r="N57" s="171">
        <f t="shared" si="15"/>
        <v>0.02</v>
      </c>
      <c r="O57" s="171">
        <f t="shared" si="15"/>
        <v>0.02</v>
      </c>
      <c r="P57" s="171">
        <f t="shared" si="15"/>
        <v>0.02</v>
      </c>
      <c r="Q57" s="171">
        <f t="shared" si="15"/>
        <v>0.02</v>
      </c>
      <c r="S57" s="163"/>
      <c r="T57" s="163"/>
      <c r="U57" s="163"/>
      <c r="V57" s="163"/>
      <c r="W57" s="163"/>
      <c r="X57" s="163"/>
      <c r="Y57" s="135"/>
      <c r="Z57" s="135"/>
      <c r="AA57" s="135"/>
    </row>
    <row r="58" spans="1:27">
      <c r="A58" t="s">
        <v>199</v>
      </c>
      <c r="B58" s="18"/>
      <c r="C58" s="18"/>
      <c r="D58" s="18"/>
      <c r="E58" s="18"/>
      <c r="F58" s="18"/>
      <c r="G58" s="20">
        <f t="shared" si="13"/>
        <v>6.5165955105898732E-2</v>
      </c>
      <c r="H58" s="20">
        <f t="shared" si="13"/>
        <v>5.4611082805738453E-2</v>
      </c>
      <c r="I58" s="20">
        <f t="shared" si="13"/>
        <v>6.97118724877972E-2</v>
      </c>
      <c r="J58" s="20">
        <f t="shared" si="13"/>
        <v>4.8087247558500579E-2</v>
      </c>
      <c r="K58" s="20">
        <f t="shared" si="13"/>
        <v>2.1025187734753592E-2</v>
      </c>
      <c r="L58" s="20">
        <f t="shared" si="13"/>
        <v>8.4394669854146454E-3</v>
      </c>
      <c r="M58" s="171">
        <v>0.02</v>
      </c>
      <c r="N58" s="171">
        <f t="shared" si="15"/>
        <v>0.02</v>
      </c>
      <c r="O58" s="171">
        <f t="shared" si="15"/>
        <v>0.02</v>
      </c>
      <c r="P58" s="171">
        <f t="shared" si="15"/>
        <v>0.02</v>
      </c>
      <c r="Q58" s="171">
        <f t="shared" si="15"/>
        <v>0.02</v>
      </c>
      <c r="S58" s="163"/>
      <c r="T58" s="163"/>
      <c r="U58" s="163"/>
      <c r="V58" s="163"/>
      <c r="W58" s="163"/>
      <c r="X58" s="163"/>
      <c r="Y58" s="135"/>
      <c r="Z58" s="135"/>
      <c r="AA58" s="135"/>
    </row>
    <row r="59" spans="1:27">
      <c r="B59" s="18"/>
      <c r="C59" s="18"/>
      <c r="D59" s="18"/>
      <c r="E59" s="18"/>
      <c r="F59" s="18"/>
      <c r="G59" s="18"/>
      <c r="H59" s="18"/>
      <c r="I59" s="18"/>
      <c r="J59" s="18"/>
      <c r="K59" s="18"/>
      <c r="L59" s="18"/>
    </row>
    <row r="60" spans="1:27">
      <c r="A60" s="169" t="s">
        <v>227</v>
      </c>
      <c r="B60" s="170"/>
      <c r="C60" s="170"/>
      <c r="D60" s="170"/>
      <c r="E60" s="170"/>
      <c r="F60" s="170"/>
      <c r="G60" s="170"/>
      <c r="H60" s="170"/>
      <c r="I60" s="170"/>
      <c r="J60" s="170"/>
      <c r="K60" s="170"/>
      <c r="L60" s="170"/>
      <c r="M60" s="170"/>
      <c r="N60" s="170"/>
      <c r="O60" s="170"/>
      <c r="P60" s="170"/>
      <c r="Q60" s="170"/>
    </row>
    <row r="61" spans="1:27">
      <c r="A61" t="s">
        <v>194</v>
      </c>
      <c r="B61" s="18"/>
      <c r="C61" s="18"/>
      <c r="D61" s="18"/>
      <c r="E61" s="18"/>
      <c r="F61" s="18"/>
      <c r="G61" s="20">
        <f>G53</f>
        <v>3.5237940225732567E-2</v>
      </c>
      <c r="H61" s="20">
        <f t="shared" ref="H61:L61" si="16">H53</f>
        <v>2.2773209619129098E-2</v>
      </c>
      <c r="I61" s="20">
        <f t="shared" si="16"/>
        <v>2.0277367039975625E-2</v>
      </c>
      <c r="J61" s="20">
        <f t="shared" si="16"/>
        <v>3.3321176682243214E-2</v>
      </c>
      <c r="K61" s="20">
        <f t="shared" si="16"/>
        <v>2.4497380766245858E-2</v>
      </c>
      <c r="L61" s="20">
        <f t="shared" si="16"/>
        <v>1.9968199101441542E-2</v>
      </c>
      <c r="M61" s="171">
        <v>0.02</v>
      </c>
      <c r="N61" s="172">
        <f>M61</f>
        <v>0.02</v>
      </c>
      <c r="O61" s="172">
        <f t="shared" ref="O61:Q62" si="17">N61</f>
        <v>0.02</v>
      </c>
      <c r="P61" s="172">
        <f t="shared" si="17"/>
        <v>0.02</v>
      </c>
      <c r="Q61" s="172">
        <f t="shared" si="17"/>
        <v>0.02</v>
      </c>
    </row>
    <row r="62" spans="1:27">
      <c r="A62" t="s">
        <v>195</v>
      </c>
      <c r="B62" s="18"/>
      <c r="C62" s="18"/>
      <c r="D62" s="18"/>
      <c r="E62" s="18"/>
      <c r="F62" s="18"/>
      <c r="G62" s="20">
        <f t="shared" ref="G62:L66" si="18">G54</f>
        <v>7.4806328098081298E-2</v>
      </c>
      <c r="H62" s="20">
        <f t="shared" si="18"/>
        <v>6.2139805286011596E-2</v>
      </c>
      <c r="I62" s="20">
        <f t="shared" si="18"/>
        <v>6.2759633192146058E-2</v>
      </c>
      <c r="J62" s="20">
        <f t="shared" si="18"/>
        <v>2.9368538080335682E-2</v>
      </c>
      <c r="K62" s="20">
        <f t="shared" si="18"/>
        <v>-5.8082016011082871E-3</v>
      </c>
      <c r="L62" s="20">
        <f t="shared" si="18"/>
        <v>-1.5008925002926388E-2</v>
      </c>
      <c r="M62" s="171">
        <v>-0.02</v>
      </c>
      <c r="N62" s="172">
        <v>-0.01</v>
      </c>
      <c r="O62" s="172">
        <v>0</v>
      </c>
      <c r="P62" s="172">
        <f t="shared" si="17"/>
        <v>0</v>
      </c>
      <c r="Q62" s="172">
        <f t="shared" si="17"/>
        <v>0</v>
      </c>
    </row>
    <row r="63" spans="1:27">
      <c r="A63" t="s">
        <v>196</v>
      </c>
      <c r="B63" s="18"/>
      <c r="C63" s="18"/>
      <c r="D63" s="18"/>
      <c r="E63" s="18"/>
      <c r="F63" s="18"/>
      <c r="G63" s="20">
        <f t="shared" si="18"/>
        <v>2.2819771327762028E-2</v>
      </c>
      <c r="H63" s="20">
        <f t="shared" si="18"/>
        <v>4.2571032574834078E-3</v>
      </c>
      <c r="I63" s="20">
        <f t="shared" si="18"/>
        <v>4.4353280050504207E-3</v>
      </c>
      <c r="J63" s="20">
        <f t="shared" si="18"/>
        <v>2.0537665539230421E-2</v>
      </c>
      <c r="K63" s="20">
        <f t="shared" si="18"/>
        <v>3.3771389034312982E-2</v>
      </c>
      <c r="L63" s="20">
        <f t="shared" si="18"/>
        <v>4.2043805710269666E-2</v>
      </c>
      <c r="M63" s="171">
        <f>Segments!O57</f>
        <v>4.2571032574834078E-3</v>
      </c>
      <c r="N63" s="172">
        <f t="shared" ref="N63:Q66" si="19">M63</f>
        <v>4.2571032574834078E-3</v>
      </c>
      <c r="O63" s="172">
        <f t="shared" si="19"/>
        <v>4.2571032574834078E-3</v>
      </c>
      <c r="P63" s="172">
        <f t="shared" si="19"/>
        <v>4.2571032574834078E-3</v>
      </c>
      <c r="Q63" s="172">
        <f t="shared" si="19"/>
        <v>4.2571032574834078E-3</v>
      </c>
    </row>
    <row r="64" spans="1:27">
      <c r="A64" t="s">
        <v>197</v>
      </c>
      <c r="B64" s="18"/>
      <c r="C64" s="18"/>
      <c r="D64" s="18"/>
      <c r="E64" s="18"/>
      <c r="F64" s="18"/>
      <c r="G64" s="20">
        <f t="shared" si="18"/>
        <v>6.759224341517367E-2</v>
      </c>
      <c r="H64" s="20">
        <f t="shared" si="18"/>
        <v>8.8104493041049059E-2</v>
      </c>
      <c r="I64" s="20">
        <f t="shared" si="18"/>
        <v>4.9751005334106368E-2</v>
      </c>
      <c r="J64" s="20">
        <f t="shared" si="18"/>
        <v>7.7702799938177192E-2</v>
      </c>
      <c r="K64" s="20">
        <f t="shared" si="18"/>
        <v>8.2752597354389668E-2</v>
      </c>
      <c r="L64" s="20">
        <f t="shared" si="18"/>
        <v>5.0848815054362229E-2</v>
      </c>
      <c r="M64" s="171">
        <f>Segments!O58</f>
        <v>4.9751005334106368E-2</v>
      </c>
      <c r="N64" s="172">
        <f t="shared" si="19"/>
        <v>4.9751005334106368E-2</v>
      </c>
      <c r="O64" s="172">
        <f t="shared" si="19"/>
        <v>4.9751005334106368E-2</v>
      </c>
      <c r="P64" s="172">
        <f t="shared" si="19"/>
        <v>4.9751005334106368E-2</v>
      </c>
      <c r="Q64" s="172">
        <f t="shared" si="19"/>
        <v>4.9751005334106368E-2</v>
      </c>
    </row>
    <row r="65" spans="1:21">
      <c r="A65" t="s">
        <v>198</v>
      </c>
      <c r="B65" s="18"/>
      <c r="C65" s="18"/>
      <c r="D65" s="18"/>
      <c r="E65" s="18"/>
      <c r="F65" s="18"/>
      <c r="G65" s="20">
        <f t="shared" si="18"/>
        <v>2.8922736128579096E-2</v>
      </c>
      <c r="H65" s="20">
        <f t="shared" si="18"/>
        <v>9.1802792842630154E-3</v>
      </c>
      <c r="I65" s="20">
        <f t="shared" si="18"/>
        <v>2.2271370759767706E-2</v>
      </c>
      <c r="J65" s="20">
        <f t="shared" si="18"/>
        <v>2.815652142066738E-2</v>
      </c>
      <c r="K65" s="20">
        <f t="shared" si="18"/>
        <v>1.8786567426902545E-2</v>
      </c>
      <c r="L65" s="20">
        <f t="shared" si="18"/>
        <v>9.2393361981326638E-3</v>
      </c>
      <c r="M65" s="171">
        <f>Segments!O59</f>
        <v>9.1802792842630154E-3</v>
      </c>
      <c r="N65" s="172">
        <f t="shared" si="19"/>
        <v>9.1802792842630154E-3</v>
      </c>
      <c r="O65" s="172">
        <f t="shared" si="19"/>
        <v>9.1802792842630154E-3</v>
      </c>
      <c r="P65" s="172">
        <f t="shared" si="19"/>
        <v>9.1802792842630154E-3</v>
      </c>
      <c r="Q65" s="172">
        <f t="shared" si="19"/>
        <v>9.1802792842630154E-3</v>
      </c>
    </row>
    <row r="66" spans="1:21">
      <c r="A66" t="s">
        <v>199</v>
      </c>
      <c r="B66" s="18"/>
      <c r="C66" s="18"/>
      <c r="D66" s="18"/>
      <c r="E66" s="18"/>
      <c r="F66" s="18"/>
      <c r="G66" s="20">
        <f t="shared" si="18"/>
        <v>6.5165955105898732E-2</v>
      </c>
      <c r="H66" s="20">
        <f t="shared" si="18"/>
        <v>5.4611082805738453E-2</v>
      </c>
      <c r="I66" s="20">
        <f t="shared" si="18"/>
        <v>6.97118724877972E-2</v>
      </c>
      <c r="J66" s="20">
        <f t="shared" si="18"/>
        <v>4.8087247558500579E-2</v>
      </c>
      <c r="K66" s="20">
        <f t="shared" si="18"/>
        <v>2.1025187734753592E-2</v>
      </c>
      <c r="L66" s="20">
        <f t="shared" si="18"/>
        <v>8.4394669854146454E-3</v>
      </c>
      <c r="M66" s="171">
        <f>Segments!O60</f>
        <v>8.4394669854146454E-3</v>
      </c>
      <c r="N66" s="172">
        <f t="shared" si="19"/>
        <v>8.4394669854146454E-3</v>
      </c>
      <c r="O66" s="172">
        <f t="shared" si="19"/>
        <v>8.4394669854146454E-3</v>
      </c>
      <c r="P66" s="172">
        <f t="shared" si="19"/>
        <v>8.4394669854146454E-3</v>
      </c>
      <c r="Q66" s="172">
        <f t="shared" si="19"/>
        <v>8.4394669854146454E-3</v>
      </c>
    </row>
    <row r="67" spans="1:21">
      <c r="B67" s="18"/>
      <c r="C67" s="18"/>
      <c r="D67" s="18"/>
      <c r="E67" s="18"/>
      <c r="F67" s="18"/>
      <c r="G67" s="18"/>
      <c r="H67" s="18"/>
      <c r="I67" s="18"/>
      <c r="J67" s="18"/>
      <c r="K67" s="18"/>
      <c r="L67" s="18"/>
    </row>
    <row r="68" spans="1:21">
      <c r="A68" s="165" t="s">
        <v>229</v>
      </c>
      <c r="B68" s="166"/>
      <c r="C68" s="166"/>
      <c r="D68" s="166"/>
      <c r="E68" s="166"/>
      <c r="F68" s="166"/>
      <c r="G68" s="166"/>
      <c r="H68" s="166"/>
      <c r="I68" s="166"/>
      <c r="J68" s="166"/>
      <c r="K68" s="166"/>
      <c r="L68" s="166"/>
      <c r="M68" s="166"/>
      <c r="N68" s="166"/>
      <c r="O68" s="166"/>
      <c r="P68" s="166"/>
      <c r="Q68" s="166"/>
    </row>
    <row r="69" spans="1:21">
      <c r="A69" s="167" t="s">
        <v>226</v>
      </c>
      <c r="B69" s="168"/>
      <c r="C69" s="168"/>
      <c r="D69" s="168"/>
      <c r="E69" s="168"/>
      <c r="F69" s="168"/>
      <c r="G69" s="168"/>
      <c r="H69" s="168"/>
      <c r="I69" s="168"/>
      <c r="J69" s="168"/>
      <c r="K69" s="168"/>
      <c r="L69" s="168"/>
      <c r="M69" s="168">
        <v>1</v>
      </c>
      <c r="N69" s="168">
        <v>2</v>
      </c>
      <c r="O69" s="168">
        <v>3</v>
      </c>
      <c r="P69" s="168">
        <v>4</v>
      </c>
      <c r="Q69" s="168">
        <v>5</v>
      </c>
      <c r="U69" s="10"/>
    </row>
    <row r="70" spans="1:21">
      <c r="A70" t="s">
        <v>194</v>
      </c>
      <c r="B70" s="18">
        <f>Segments!B23</f>
        <v>2393.1510096200909</v>
      </c>
      <c r="C70" s="18">
        <f>Segments!C23</f>
        <v>2808.2364284939863</v>
      </c>
      <c r="D70" s="18">
        <f>Segments!D23</f>
        <v>2563.4719003814785</v>
      </c>
      <c r="E70" s="18">
        <f>Segments!E23</f>
        <v>2808.2590910837816</v>
      </c>
      <c r="F70" s="18">
        <f>Segments!F23</f>
        <v>2967.9973034384834</v>
      </c>
      <c r="G70" s="18">
        <f>Segments!G23</f>
        <v>2873.8327918620025</v>
      </c>
      <c r="H70" s="18">
        <f>Segments!H23</f>
        <v>2866.974425984693</v>
      </c>
      <c r="I70" s="18">
        <f>Segments!I23</f>
        <v>3296.740770592527</v>
      </c>
      <c r="J70" s="18">
        <f>Segments!J23</f>
        <v>3342.3184615543209</v>
      </c>
      <c r="K70" s="18">
        <f>Segments!K23</f>
        <v>3507.6356219285271</v>
      </c>
      <c r="L70" s="18">
        <f>Segments!L23</f>
        <v>3498.9348732968947</v>
      </c>
      <c r="M70" s="18">
        <f>M4*M37</f>
        <v>3725.2996137306595</v>
      </c>
      <c r="N70" s="18">
        <f t="shared" ref="N70:Q70" si="20">N4*N37</f>
        <v>3956.4705995406798</v>
      </c>
      <c r="O70" s="18">
        <f t="shared" si="20"/>
        <v>4201.9867468736566</v>
      </c>
      <c r="P70" s="18">
        <f t="shared" si="20"/>
        <v>4462.7382351714386</v>
      </c>
      <c r="Q70" s="18">
        <f t="shared" si="20"/>
        <v>4739.6704833681179</v>
      </c>
      <c r="R70" s="20"/>
      <c r="U70" s="163"/>
    </row>
    <row r="71" spans="1:21">
      <c r="A71" t="s">
        <v>195</v>
      </c>
      <c r="B71" s="18">
        <f>Segments!B24</f>
        <v>1412.0115227509366</v>
      </c>
      <c r="C71" s="18">
        <f>Segments!C24</f>
        <v>1286.2708915790279</v>
      </c>
      <c r="D71" s="18">
        <f>Segments!D24</f>
        <v>841.702738799803</v>
      </c>
      <c r="E71" s="18">
        <f>Segments!E24</f>
        <v>1241.1874442736357</v>
      </c>
      <c r="F71" s="18">
        <f>Segments!F24</f>
        <v>1457.4486450145757</v>
      </c>
      <c r="G71" s="18">
        <f>Segments!G24</f>
        <v>1732.4492804795907</v>
      </c>
      <c r="H71" s="18">
        <f>Segments!H24</f>
        <v>1995.2545423433514</v>
      </c>
      <c r="I71" s="18">
        <f>Segments!I24</f>
        <v>2017.4302793338779</v>
      </c>
      <c r="J71" s="18">
        <f>Segments!J24</f>
        <v>2105.2387765831331</v>
      </c>
      <c r="K71" s="18">
        <f>Segments!K24</f>
        <v>1976.8538575313707</v>
      </c>
      <c r="L71" s="18">
        <f>Segments!L24</f>
        <v>1960.1482470255248</v>
      </c>
      <c r="M71" s="18">
        <f t="shared" ref="M71:Q75" si="21">M5*M38</f>
        <v>2060.1049120410971</v>
      </c>
      <c r="N71" s="18">
        <f t="shared" si="21"/>
        <v>2168.5473839636675</v>
      </c>
      <c r="O71" s="18">
        <f t="shared" si="21"/>
        <v>2328.3521550721348</v>
      </c>
      <c r="P71" s="18">
        <f t="shared" si="21"/>
        <v>2499.9332724379533</v>
      </c>
      <c r="Q71" s="18">
        <f t="shared" si="21"/>
        <v>2684.1585595322945</v>
      </c>
      <c r="R71" s="20"/>
      <c r="U71" s="163"/>
    </row>
    <row r="72" spans="1:21">
      <c r="A72" t="s">
        <v>196</v>
      </c>
      <c r="B72" s="18">
        <f>Segments!B25</f>
        <v>2138.3147967855903</v>
      </c>
      <c r="C72" s="18">
        <f>Segments!C25</f>
        <v>2267.7119693013715</v>
      </c>
      <c r="D72" s="18">
        <f>Segments!D25</f>
        <v>2041.3280403515948</v>
      </c>
      <c r="E72" s="18">
        <f>Segments!E25</f>
        <v>2296.0872002305919</v>
      </c>
      <c r="F72" s="18">
        <f>Segments!F25</f>
        <v>2574.3807460364405</v>
      </c>
      <c r="G72" s="18">
        <f>Segments!G25</f>
        <v>2898.2508870470974</v>
      </c>
      <c r="H72" s="18">
        <f>Segments!H25</f>
        <v>3127.0659728703877</v>
      </c>
      <c r="I72" s="18">
        <f>Segments!I25</f>
        <v>3279.2801253208982</v>
      </c>
      <c r="J72" s="18">
        <f>Segments!J25</f>
        <v>3350.8095395177666</v>
      </c>
      <c r="K72" s="18">
        <f>Segments!K25</f>
        <v>3388.8000063616269</v>
      </c>
      <c r="L72" s="18">
        <f>Segments!L25</f>
        <v>3458.466582819286</v>
      </c>
      <c r="M72" s="18">
        <f t="shared" si="21"/>
        <v>3656.4469865159845</v>
      </c>
      <c r="N72" s="18">
        <f t="shared" si="21"/>
        <v>3945.2326900683806</v>
      </c>
      <c r="O72" s="18">
        <f t="shared" si="21"/>
        <v>4256.8266506210275</v>
      </c>
      <c r="P72" s="18">
        <f t="shared" si="21"/>
        <v>4593.0302613211297</v>
      </c>
      <c r="Q72" s="18">
        <f t="shared" si="21"/>
        <v>4955.7871891104523</v>
      </c>
      <c r="R72" s="20"/>
      <c r="U72" s="163"/>
    </row>
    <row r="73" spans="1:21">
      <c r="A73" t="s">
        <v>197</v>
      </c>
      <c r="B73" s="18">
        <f>Segments!B26</f>
        <v>2472.6413975384671</v>
      </c>
      <c r="C73" s="18">
        <f>Segments!C26</f>
        <v>2743.2707831598327</v>
      </c>
      <c r="D73" s="18">
        <f>Segments!D26</f>
        <v>2842.4769589388716</v>
      </c>
      <c r="E73" s="18">
        <f>Segments!E26</f>
        <v>2952.7852209838584</v>
      </c>
      <c r="F73" s="18">
        <f>Segments!F26</f>
        <v>3119.9105579200473</v>
      </c>
      <c r="G73" s="18">
        <f>Segments!G26</f>
        <v>2876.881570337222</v>
      </c>
      <c r="H73" s="18">
        <f>Segments!H26</f>
        <v>3033.0813577250947</v>
      </c>
      <c r="I73" s="18">
        <f>Segments!I26</f>
        <v>3152.151147410344</v>
      </c>
      <c r="J73" s="18">
        <f>Segments!J26</f>
        <v>2831.9921139711569</v>
      </c>
      <c r="K73" s="18">
        <f>Segments!K26</f>
        <v>2291.0094311115354</v>
      </c>
      <c r="L73" s="18">
        <f>Segments!L26</f>
        <v>2374.6832625915695</v>
      </c>
      <c r="M73" s="18">
        <f t="shared" si="21"/>
        <v>2260.8499413461045</v>
      </c>
      <c r="N73" s="18">
        <f t="shared" si="21"/>
        <v>2231.0874795503355</v>
      </c>
      <c r="O73" s="18">
        <f t="shared" si="21"/>
        <v>2201.716819136846</v>
      </c>
      <c r="P73" s="18">
        <f t="shared" si="21"/>
        <v>2172.7328023225118</v>
      </c>
      <c r="Q73" s="18">
        <f t="shared" si="21"/>
        <v>2144.1303392227119</v>
      </c>
      <c r="R73" s="20"/>
      <c r="U73" s="163"/>
    </row>
    <row r="74" spans="1:21">
      <c r="A74" t="s">
        <v>198</v>
      </c>
      <c r="B74" s="18">
        <f>Segments!B27</f>
        <v>2879.4168551824791</v>
      </c>
      <c r="C74" s="18">
        <f>Segments!C27</f>
        <v>2981.0348896523656</v>
      </c>
      <c r="D74" s="18">
        <f>Segments!D27</f>
        <v>2081.5076149653164</v>
      </c>
      <c r="E74" s="18">
        <f>Segments!E27</f>
        <v>2495.5541141429671</v>
      </c>
      <c r="F74" s="18">
        <f>Segments!F27</f>
        <v>2895.9569982935245</v>
      </c>
      <c r="G74" s="18">
        <f>Segments!G27</f>
        <v>3140.1360439522482</v>
      </c>
      <c r="H74" s="18">
        <f>Segments!H27</f>
        <v>3428.8695165204404</v>
      </c>
      <c r="I74" s="18">
        <f>Segments!I27</f>
        <v>3951.4225049988263</v>
      </c>
      <c r="J74" s="18">
        <f>Segments!J27</f>
        <v>3604.5660210087931</v>
      </c>
      <c r="K74" s="18">
        <f>Segments!K27</f>
        <v>3260.7452009478825</v>
      </c>
      <c r="L74" s="18">
        <f>Segments!L27</f>
        <v>3903.8028715228156</v>
      </c>
      <c r="M74" s="18">
        <f t="shared" si="21"/>
        <v>3859.5987109386278</v>
      </c>
      <c r="N74" s="18">
        <f t="shared" si="21"/>
        <v>4268.7299346097689</v>
      </c>
      <c r="O74" s="18">
        <f t="shared" si="21"/>
        <v>4754.4616210932536</v>
      </c>
      <c r="P74" s="18">
        <f t="shared" si="21"/>
        <v>5588.6128910387406</v>
      </c>
      <c r="Q74" s="18">
        <f t="shared" si="21"/>
        <v>5985.4044063024912</v>
      </c>
      <c r="R74" s="20"/>
      <c r="U74" s="163"/>
    </row>
    <row r="75" spans="1:21">
      <c r="A75" t="s">
        <v>199</v>
      </c>
      <c r="B75" s="18">
        <f>Segments!B28</f>
        <v>2712.4644181224357</v>
      </c>
      <c r="C75" s="18">
        <f>Segments!C28</f>
        <v>2708.4750378134158</v>
      </c>
      <c r="D75" s="18">
        <f>Segments!D28</f>
        <v>2397.5127465629357</v>
      </c>
      <c r="E75" s="18">
        <f>Segments!E28</f>
        <v>3038.1269292851653</v>
      </c>
      <c r="F75" s="18">
        <f>Segments!F28</f>
        <v>3292.3057492969283</v>
      </c>
      <c r="G75" s="18">
        <f>Segments!G28</f>
        <v>3564.4494263218394</v>
      </c>
      <c r="H75" s="18">
        <f>Segments!H28</f>
        <v>3632.7541845560327</v>
      </c>
      <c r="I75" s="18">
        <f>Segments!I28</f>
        <v>4062.9751723435261</v>
      </c>
      <c r="J75" s="18">
        <f>Segments!J28</f>
        <v>3862.0750873648294</v>
      </c>
      <c r="K75" s="18">
        <f>Segments!K28</f>
        <v>3611.9558821190576</v>
      </c>
      <c r="L75" s="18">
        <f>Segments!L28</f>
        <v>3674.9641627439091</v>
      </c>
      <c r="M75" s="18">
        <f t="shared" si="21"/>
        <v>3684.1949997614388</v>
      </c>
      <c r="N75" s="18">
        <f t="shared" si="21"/>
        <v>3757.8788997566676</v>
      </c>
      <c r="O75" s="18">
        <f t="shared" si="21"/>
        <v>3833.0364777518007</v>
      </c>
      <c r="P75" s="18">
        <f t="shared" si="21"/>
        <v>3909.6972073068368</v>
      </c>
      <c r="Q75" s="18">
        <f t="shared" si="21"/>
        <v>3987.8911514529736</v>
      </c>
      <c r="R75" s="20"/>
      <c r="U75" s="163"/>
    </row>
    <row r="76" spans="1:21">
      <c r="B76" s="18"/>
      <c r="C76" s="18"/>
      <c r="D76" s="18"/>
      <c r="E76" s="18"/>
      <c r="F76" s="18"/>
      <c r="G76" s="18"/>
      <c r="H76" s="18"/>
      <c r="I76" s="18"/>
      <c r="J76" s="18"/>
      <c r="K76" s="18"/>
      <c r="L76" s="18"/>
    </row>
    <row r="77" spans="1:21">
      <c r="A77" t="s">
        <v>204</v>
      </c>
      <c r="B77" s="17">
        <f>Segments!B19</f>
        <v>1478</v>
      </c>
      <c r="C77" s="17">
        <f>Segments!C19</f>
        <v>2323</v>
      </c>
      <c r="D77" s="17">
        <f>Segments!D19</f>
        <v>605</v>
      </c>
      <c r="E77" s="17">
        <f>Segments!E19</f>
        <v>1237</v>
      </c>
      <c r="F77" s="17">
        <f>Segments!F19</f>
        <v>2200</v>
      </c>
      <c r="G77" s="17">
        <f>Segments!G19</f>
        <v>2600</v>
      </c>
      <c r="H77" s="17">
        <f>Segments!H19</f>
        <v>2600</v>
      </c>
      <c r="I77" s="17">
        <f>Segments!I19</f>
        <v>2800</v>
      </c>
      <c r="J77" s="17">
        <f>Segments!J19</f>
        <v>1300</v>
      </c>
      <c r="K77" s="17">
        <f>Segments!K19</f>
        <v>560</v>
      </c>
      <c r="L77" s="17">
        <f>Segments!L19</f>
        <v>966</v>
      </c>
      <c r="M77" s="173">
        <v>1000</v>
      </c>
      <c r="N77" s="173">
        <f>Segments!M20</f>
        <v>2300</v>
      </c>
      <c r="O77" s="173">
        <f t="shared" ref="O77:Q77" si="22">N77</f>
        <v>2300</v>
      </c>
      <c r="P77" s="173">
        <f t="shared" si="22"/>
        <v>2300</v>
      </c>
      <c r="Q77" s="173">
        <f t="shared" si="22"/>
        <v>2300</v>
      </c>
    </row>
    <row r="78" spans="1:21">
      <c r="A78" t="s">
        <v>213</v>
      </c>
      <c r="B78" s="17">
        <f>Segments!B71</f>
        <v>797</v>
      </c>
      <c r="C78" s="17">
        <f>Segments!C71</f>
        <v>852</v>
      </c>
      <c r="D78" s="17">
        <f>Segments!D71</f>
        <v>770</v>
      </c>
      <c r="E78" s="17">
        <f>Segments!E71</f>
        <v>896</v>
      </c>
      <c r="F78" s="17">
        <f>Segments!F71</f>
        <v>1049</v>
      </c>
      <c r="G78" s="17">
        <f>Segments!G71</f>
        <v>1240</v>
      </c>
      <c r="H78" s="17">
        <f>Segments!H71</f>
        <v>1279</v>
      </c>
      <c r="I78" s="17">
        <f>Segments!I71</f>
        <v>1428</v>
      </c>
      <c r="J78" s="17">
        <f>Segments!J71</f>
        <v>1416</v>
      </c>
      <c r="K78" s="17">
        <f>Segments!K71</f>
        <v>1340</v>
      </c>
      <c r="L78" s="17">
        <f>Segments!L71</f>
        <v>1403</v>
      </c>
      <c r="M78" s="17">
        <f>K78*(1+M79)</f>
        <v>1407</v>
      </c>
      <c r="N78" s="17">
        <f t="shared" ref="N78:Q78" si="23">M78*(1+N79)</f>
        <v>1477.3500000000001</v>
      </c>
      <c r="O78" s="17">
        <f t="shared" si="23"/>
        <v>1551.2175000000002</v>
      </c>
      <c r="P78" s="17">
        <f t="shared" si="23"/>
        <v>1628.7783750000003</v>
      </c>
      <c r="Q78" s="17">
        <f t="shared" si="23"/>
        <v>1710.2172937500004</v>
      </c>
    </row>
    <row r="79" spans="1:21">
      <c r="G79" s="20">
        <f t="shared" ref="G79:K79" si="24">SUM(C78:G78)/SUM(B78:F78)-1</f>
        <v>0.10151237396883594</v>
      </c>
      <c r="H79" s="20">
        <f t="shared" si="24"/>
        <v>8.8828791345953784E-2</v>
      </c>
      <c r="I79" s="20">
        <f t="shared" si="24"/>
        <v>0.12571646923958735</v>
      </c>
      <c r="J79" s="20">
        <f t="shared" si="24"/>
        <v>8.8255261371350979E-2</v>
      </c>
      <c r="K79" s="20">
        <f t="shared" si="24"/>
        <v>4.5383655645664378E-2</v>
      </c>
      <c r="L79" s="20">
        <f>SUM(H78:L78)/SUM(G78:K78)-1</f>
        <v>2.431746978964644E-2</v>
      </c>
      <c r="M79" s="172">
        <v>0.05</v>
      </c>
      <c r="N79" s="172">
        <v>0.05</v>
      </c>
      <c r="O79" s="172">
        <v>0.05</v>
      </c>
      <c r="P79" s="172">
        <v>0.05</v>
      </c>
      <c r="Q79" s="172">
        <v>0.05</v>
      </c>
    </row>
    <row r="81" spans="1:28">
      <c r="A81" t="s">
        <v>230</v>
      </c>
      <c r="B81" s="18">
        <f t="shared" ref="B81:J81" si="25">SUM(B70:B75)</f>
        <v>14008</v>
      </c>
      <c r="C81" s="18">
        <f t="shared" si="25"/>
        <v>14795</v>
      </c>
      <c r="D81" s="18">
        <f t="shared" si="25"/>
        <v>12768</v>
      </c>
      <c r="E81" s="18">
        <f t="shared" si="25"/>
        <v>14832</v>
      </c>
      <c r="F81" s="18">
        <f t="shared" si="25"/>
        <v>16308</v>
      </c>
      <c r="G81" s="18">
        <f t="shared" si="25"/>
        <v>17086</v>
      </c>
      <c r="H81" s="18">
        <f t="shared" si="25"/>
        <v>18084</v>
      </c>
      <c r="I81" s="18">
        <f t="shared" si="25"/>
        <v>19760</v>
      </c>
      <c r="J81" s="18">
        <f t="shared" si="25"/>
        <v>19097</v>
      </c>
      <c r="K81" s="18">
        <f>SUM(K70:K75)</f>
        <v>18037</v>
      </c>
      <c r="L81" s="18">
        <f>SUM(L70:L75)</f>
        <v>18871</v>
      </c>
      <c r="M81" s="18">
        <f>SUM(M70:M75)</f>
        <v>19246.495164333912</v>
      </c>
      <c r="N81" s="18">
        <f t="shared" ref="N81:Q81" si="26">SUM(N70:N75)</f>
        <v>20327.946987489497</v>
      </c>
      <c r="O81" s="18">
        <f t="shared" si="26"/>
        <v>21576.38047054872</v>
      </c>
      <c r="P81" s="18">
        <f t="shared" si="26"/>
        <v>23226.744669598611</v>
      </c>
      <c r="Q81" s="18">
        <f t="shared" si="26"/>
        <v>24497.042128989044</v>
      </c>
    </row>
    <row r="82" spans="1:28">
      <c r="B82" s="18"/>
      <c r="C82" s="20">
        <f>C81/B81-1</f>
        <v>5.6182181610508364E-2</v>
      </c>
      <c r="D82" s="20">
        <f t="shared" ref="D82:L82" si="27">D81/C81-1</f>
        <v>-0.13700574518418385</v>
      </c>
      <c r="E82" s="20">
        <f t="shared" si="27"/>
        <v>0.16165413533834583</v>
      </c>
      <c r="F82" s="20">
        <f t="shared" si="27"/>
        <v>9.9514563106796183E-2</v>
      </c>
      <c r="G82" s="20">
        <f t="shared" si="27"/>
        <v>4.7706647044395423E-2</v>
      </c>
      <c r="H82" s="20">
        <f t="shared" si="27"/>
        <v>5.8410394475008731E-2</v>
      </c>
      <c r="I82" s="20">
        <f t="shared" si="27"/>
        <v>9.2678610926786087E-2</v>
      </c>
      <c r="J82" s="20">
        <f t="shared" si="27"/>
        <v>-3.3552631578947389E-2</v>
      </c>
      <c r="K82" s="20">
        <f t="shared" si="27"/>
        <v>-5.5506100434623229E-2</v>
      </c>
      <c r="L82" s="20">
        <f t="shared" si="27"/>
        <v>4.6238287963630276E-2</v>
      </c>
      <c r="M82" s="20">
        <f>M81/K81-1</f>
        <v>6.7056337768692797E-2</v>
      </c>
      <c r="N82" s="20">
        <f t="shared" ref="N82:Q82" si="28">N81/M81-1</f>
        <v>5.6189545884678616E-2</v>
      </c>
      <c r="O82" s="20">
        <f t="shared" si="28"/>
        <v>6.1414636895085861E-2</v>
      </c>
      <c r="P82" s="20">
        <f t="shared" si="28"/>
        <v>7.6489390855088102E-2</v>
      </c>
      <c r="Q82" s="20">
        <f t="shared" si="28"/>
        <v>5.4691153558557914E-2</v>
      </c>
    </row>
    <row r="83" spans="1:28" ht="14.65" thickBot="1">
      <c r="A83" t="s">
        <v>231</v>
      </c>
      <c r="B83" s="18">
        <f>B81+B77+B78</f>
        <v>16283</v>
      </c>
      <c r="C83" s="18">
        <f t="shared" ref="C83:Q83" si="29">C81+C77+C78</f>
        <v>17970</v>
      </c>
      <c r="D83" s="18">
        <f t="shared" si="29"/>
        <v>14143</v>
      </c>
      <c r="E83" s="18">
        <f t="shared" si="29"/>
        <v>16965</v>
      </c>
      <c r="F83" s="18">
        <f t="shared" si="29"/>
        <v>19557</v>
      </c>
      <c r="G83" s="18">
        <f t="shared" si="29"/>
        <v>20926</v>
      </c>
      <c r="H83" s="18">
        <f t="shared" si="29"/>
        <v>21963</v>
      </c>
      <c r="I83" s="18">
        <f t="shared" si="29"/>
        <v>23988</v>
      </c>
      <c r="J83" s="18">
        <f t="shared" si="29"/>
        <v>21813</v>
      </c>
      <c r="K83" s="18">
        <f>K81+K77+K78</f>
        <v>19937</v>
      </c>
      <c r="L83" s="18">
        <f>L81+L77+L78</f>
        <v>21240</v>
      </c>
      <c r="M83" s="18">
        <f t="shared" si="29"/>
        <v>21653.495164333912</v>
      </c>
      <c r="N83" s="18">
        <f t="shared" si="29"/>
        <v>24105.296987489495</v>
      </c>
      <c r="O83" s="18">
        <f t="shared" si="29"/>
        <v>25427.597970548719</v>
      </c>
      <c r="P83" s="18">
        <f t="shared" si="29"/>
        <v>27155.523044598613</v>
      </c>
      <c r="Q83" s="18">
        <f t="shared" si="29"/>
        <v>28507.259422739044</v>
      </c>
    </row>
    <row r="84" spans="1:28" ht="14.65" thickBot="1">
      <c r="B84" s="18"/>
      <c r="C84" s="20">
        <f>C83/B83-1</f>
        <v>0.10360498679604491</v>
      </c>
      <c r="D84" s="20">
        <f t="shared" ref="D84:L84" si="30">D83/C83-1</f>
        <v>-0.21296605453533668</v>
      </c>
      <c r="E84" s="20">
        <f t="shared" si="30"/>
        <v>0.1995333380470905</v>
      </c>
      <c r="F84" s="20">
        <f t="shared" si="30"/>
        <v>0.15278514588859426</v>
      </c>
      <c r="G84" s="20">
        <f t="shared" si="30"/>
        <v>7.0000511325867931E-2</v>
      </c>
      <c r="H84" s="20">
        <f t="shared" si="30"/>
        <v>4.9555576794418466E-2</v>
      </c>
      <c r="I84" s="20">
        <f t="shared" si="30"/>
        <v>9.2200519054773888E-2</v>
      </c>
      <c r="J84" s="20">
        <f t="shared" si="30"/>
        <v>-9.0670335167583826E-2</v>
      </c>
      <c r="K84" s="20">
        <f t="shared" si="30"/>
        <v>-8.6003759226149556E-2</v>
      </c>
      <c r="L84" s="20">
        <f t="shared" si="30"/>
        <v>6.5355870993629939E-2</v>
      </c>
      <c r="M84" s="174">
        <f t="shared" ref="M84" si="31">M83/K83-1</f>
        <v>8.6095960492246215E-2</v>
      </c>
      <c r="N84" s="175">
        <f t="shared" ref="N84:Q84" si="32">N83/M83-1</f>
        <v>0.11322891775892208</v>
      </c>
      <c r="O84" s="175">
        <f t="shared" si="32"/>
        <v>5.4855203972201227E-2</v>
      </c>
      <c r="P84" s="175">
        <f t="shared" si="32"/>
        <v>6.7954711099776244E-2</v>
      </c>
      <c r="Q84" s="176">
        <f t="shared" si="32"/>
        <v>4.9777585794257062E-2</v>
      </c>
    </row>
    <row r="86" spans="1:28">
      <c r="A86" s="169" t="s">
        <v>227</v>
      </c>
      <c r="B86" s="170"/>
      <c r="C86" s="170"/>
      <c r="D86" s="170"/>
      <c r="E86" s="170"/>
      <c r="F86" s="170"/>
      <c r="G86" s="170"/>
      <c r="H86" s="170"/>
      <c r="I86" s="170"/>
      <c r="J86" s="170"/>
      <c r="K86" s="170"/>
      <c r="L86" s="170"/>
      <c r="M86" s="170">
        <v>1</v>
      </c>
      <c r="N86" s="170">
        <v>2</v>
      </c>
      <c r="O86" s="170">
        <v>3</v>
      </c>
      <c r="P86" s="170">
        <v>4</v>
      </c>
      <c r="Q86" s="170">
        <v>5</v>
      </c>
    </row>
    <row r="87" spans="1:28">
      <c r="A87" t="s">
        <v>194</v>
      </c>
      <c r="B87" s="18">
        <f>B70</f>
        <v>2393.1510096200909</v>
      </c>
      <c r="C87" s="18">
        <f t="shared" ref="C87:L92" si="33">C70</f>
        <v>2808.2364284939863</v>
      </c>
      <c r="D87" s="18">
        <f t="shared" si="33"/>
        <v>2563.4719003814785</v>
      </c>
      <c r="E87" s="18">
        <f t="shared" si="33"/>
        <v>2808.2590910837816</v>
      </c>
      <c r="F87" s="18">
        <f t="shared" si="33"/>
        <v>2967.9973034384834</v>
      </c>
      <c r="G87" s="18">
        <f t="shared" si="33"/>
        <v>2873.8327918620025</v>
      </c>
      <c r="H87" s="18">
        <f t="shared" si="33"/>
        <v>2866.974425984693</v>
      </c>
      <c r="I87" s="18">
        <f t="shared" si="33"/>
        <v>3296.740770592527</v>
      </c>
      <c r="J87" s="18">
        <f t="shared" si="33"/>
        <v>3342.3184615543209</v>
      </c>
      <c r="K87" s="18">
        <f t="shared" si="33"/>
        <v>3507.6356219285271</v>
      </c>
      <c r="L87" s="18">
        <f t="shared" si="33"/>
        <v>3498.9348732968947</v>
      </c>
      <c r="M87" s="18">
        <f>M45*M12</f>
        <v>3513.4851681523805</v>
      </c>
      <c r="N87" s="18">
        <f t="shared" ref="N87:Q87" si="34">N45*N12</f>
        <v>3519.3444694348295</v>
      </c>
      <c r="O87" s="18">
        <f t="shared" si="34"/>
        <v>3525.2135420440031</v>
      </c>
      <c r="P87" s="18">
        <f t="shared" si="34"/>
        <v>3531.0924022751592</v>
      </c>
      <c r="Q87" s="18">
        <f t="shared" si="34"/>
        <v>3536.9810664507299</v>
      </c>
      <c r="S87" s="18"/>
      <c r="V87" s="18"/>
      <c r="W87" s="18"/>
      <c r="X87" s="18"/>
      <c r="AA87" s="18"/>
      <c r="AB87" s="18"/>
    </row>
    <row r="88" spans="1:28">
      <c r="A88" t="s">
        <v>195</v>
      </c>
      <c r="B88" s="18">
        <f t="shared" ref="B88:K92" si="35">B71</f>
        <v>1412.0115227509366</v>
      </c>
      <c r="C88" s="18">
        <f t="shared" si="35"/>
        <v>1286.2708915790279</v>
      </c>
      <c r="D88" s="18">
        <f t="shared" si="35"/>
        <v>841.702738799803</v>
      </c>
      <c r="E88" s="18">
        <f t="shared" si="35"/>
        <v>1241.1874442736357</v>
      </c>
      <c r="F88" s="18">
        <f t="shared" si="35"/>
        <v>1457.4486450145757</v>
      </c>
      <c r="G88" s="18">
        <f t="shared" si="35"/>
        <v>1732.4492804795907</v>
      </c>
      <c r="H88" s="18">
        <f t="shared" si="35"/>
        <v>1995.2545423433514</v>
      </c>
      <c r="I88" s="18">
        <f t="shared" si="35"/>
        <v>2017.4302793338779</v>
      </c>
      <c r="J88" s="18">
        <f t="shared" si="35"/>
        <v>2105.2387765831331</v>
      </c>
      <c r="K88" s="18">
        <f t="shared" si="35"/>
        <v>1976.8538575313707</v>
      </c>
      <c r="L88" s="18">
        <f t="shared" si="33"/>
        <v>1960.1482470255248</v>
      </c>
      <c r="M88" s="18">
        <f t="shared" ref="M88:Q92" si="36">M46*M13</f>
        <v>1937.3167803807432</v>
      </c>
      <c r="N88" s="18">
        <f t="shared" si="36"/>
        <v>1917.9436125769357</v>
      </c>
      <c r="O88" s="18">
        <f t="shared" si="36"/>
        <v>1917.9436125769357</v>
      </c>
      <c r="P88" s="18">
        <f t="shared" si="36"/>
        <v>1917.9436125769357</v>
      </c>
      <c r="Q88" s="18">
        <f t="shared" si="36"/>
        <v>1917.9436125769357</v>
      </c>
      <c r="S88" s="18"/>
      <c r="V88" s="18"/>
      <c r="W88" s="18"/>
      <c r="X88" s="18"/>
      <c r="AA88" s="18"/>
      <c r="AB88" s="18"/>
    </row>
    <row r="89" spans="1:28">
      <c r="A89" t="s">
        <v>196</v>
      </c>
      <c r="B89" s="18">
        <f t="shared" si="35"/>
        <v>2138.3147967855903</v>
      </c>
      <c r="C89" s="18">
        <f t="shared" si="35"/>
        <v>2267.7119693013715</v>
      </c>
      <c r="D89" s="18">
        <f t="shared" si="35"/>
        <v>2041.3280403515948</v>
      </c>
      <c r="E89" s="18">
        <f t="shared" si="35"/>
        <v>2296.0872002305919</v>
      </c>
      <c r="F89" s="18">
        <f t="shared" si="35"/>
        <v>2574.3807460364405</v>
      </c>
      <c r="G89" s="18">
        <f t="shared" si="35"/>
        <v>2898.2508870470974</v>
      </c>
      <c r="H89" s="18">
        <f t="shared" si="35"/>
        <v>3127.0659728703877</v>
      </c>
      <c r="I89" s="18">
        <f t="shared" si="35"/>
        <v>3279.2801253208982</v>
      </c>
      <c r="J89" s="18">
        <f t="shared" si="35"/>
        <v>3350.8095395177666</v>
      </c>
      <c r="K89" s="18">
        <f t="shared" si="35"/>
        <v>3388.8000063616269</v>
      </c>
      <c r="L89" s="18">
        <f t="shared" si="33"/>
        <v>3458.466582819286</v>
      </c>
      <c r="M89" s="18">
        <f t="shared" si="36"/>
        <v>3387.5022891890344</v>
      </c>
      <c r="N89" s="18">
        <f t="shared" si="36"/>
        <v>3386.2050689681228</v>
      </c>
      <c r="O89" s="18">
        <f t="shared" si="36"/>
        <v>3384.9083455085884</v>
      </c>
      <c r="P89" s="18">
        <f t="shared" si="36"/>
        <v>3383.6121186201999</v>
      </c>
      <c r="Q89" s="18">
        <f t="shared" si="36"/>
        <v>3382.316388112798</v>
      </c>
      <c r="S89" s="18"/>
      <c r="V89" s="18"/>
      <c r="W89" s="18"/>
      <c r="X89" s="18"/>
      <c r="AA89" s="18"/>
      <c r="AB89" s="18"/>
    </row>
    <row r="90" spans="1:28">
      <c r="A90" t="s">
        <v>197</v>
      </c>
      <c r="B90" s="18">
        <f t="shared" si="35"/>
        <v>2472.6413975384671</v>
      </c>
      <c r="C90" s="18">
        <f t="shared" si="35"/>
        <v>2743.2707831598327</v>
      </c>
      <c r="D90" s="18">
        <f t="shared" si="35"/>
        <v>2842.4769589388716</v>
      </c>
      <c r="E90" s="18">
        <f t="shared" si="35"/>
        <v>2952.7852209838584</v>
      </c>
      <c r="F90" s="18">
        <f t="shared" si="35"/>
        <v>3119.9105579200473</v>
      </c>
      <c r="G90" s="18">
        <f t="shared" si="35"/>
        <v>2876.881570337222</v>
      </c>
      <c r="H90" s="18">
        <f t="shared" si="35"/>
        <v>3033.0813577250947</v>
      </c>
      <c r="I90" s="18">
        <f t="shared" si="35"/>
        <v>3152.151147410344</v>
      </c>
      <c r="J90" s="18">
        <f t="shared" si="35"/>
        <v>2831.9921139711569</v>
      </c>
      <c r="K90" s="18">
        <f t="shared" si="35"/>
        <v>2291.0094311115354</v>
      </c>
      <c r="L90" s="18">
        <f t="shared" si="33"/>
        <v>2374.6832625915695</v>
      </c>
      <c r="M90" s="18">
        <f t="shared" si="36"/>
        <v>2105.49873075813</v>
      </c>
      <c r="N90" s="18">
        <f t="shared" si="36"/>
        <v>1935.0094526120149</v>
      </c>
      <c r="O90" s="18">
        <f t="shared" si="36"/>
        <v>1778.3252618488391</v>
      </c>
      <c r="P90" s="18">
        <f t="shared" si="36"/>
        <v>1634.328314345365</v>
      </c>
      <c r="Q90" s="18">
        <f t="shared" si="36"/>
        <v>1501.991281557808</v>
      </c>
      <c r="S90" s="18"/>
      <c r="V90" s="18"/>
      <c r="W90" s="18"/>
      <c r="X90" s="18"/>
      <c r="AA90" s="18"/>
      <c r="AB90" s="18"/>
    </row>
    <row r="91" spans="1:28">
      <c r="A91" t="s">
        <v>198</v>
      </c>
      <c r="B91" s="18">
        <f t="shared" si="35"/>
        <v>2879.4168551824791</v>
      </c>
      <c r="C91" s="18">
        <f t="shared" si="35"/>
        <v>2981.0348896523656</v>
      </c>
      <c r="D91" s="18">
        <f t="shared" si="35"/>
        <v>2081.5076149653164</v>
      </c>
      <c r="E91" s="18">
        <f t="shared" si="35"/>
        <v>2495.5541141429671</v>
      </c>
      <c r="F91" s="18">
        <f t="shared" si="35"/>
        <v>2895.9569982935245</v>
      </c>
      <c r="G91" s="18">
        <f t="shared" si="35"/>
        <v>3140.1360439522482</v>
      </c>
      <c r="H91" s="18">
        <f t="shared" si="35"/>
        <v>3428.8695165204404</v>
      </c>
      <c r="I91" s="18">
        <f t="shared" si="35"/>
        <v>3951.4225049988263</v>
      </c>
      <c r="J91" s="18">
        <f t="shared" si="35"/>
        <v>3604.5660210087931</v>
      </c>
      <c r="K91" s="18">
        <f t="shared" si="35"/>
        <v>3260.7452009478825</v>
      </c>
      <c r="L91" s="18">
        <f t="shared" si="33"/>
        <v>3903.8028715228156</v>
      </c>
      <c r="M91" s="18">
        <f t="shared" si="36"/>
        <v>3817.188512978189</v>
      </c>
      <c r="N91" s="18">
        <f t="shared" si="36"/>
        <v>3967.7983106962502</v>
      </c>
      <c r="O91" s="18">
        <f t="shared" si="36"/>
        <v>4124.3505215520308</v>
      </c>
      <c r="P91" s="18">
        <f t="shared" si="36"/>
        <v>4287.0796075422568</v>
      </c>
      <c r="Q91" s="18">
        <f t="shared" si="36"/>
        <v>4456.2292815229648</v>
      </c>
      <c r="S91" s="18"/>
      <c r="V91" s="18"/>
      <c r="W91" s="18"/>
      <c r="X91" s="18"/>
      <c r="AA91" s="18"/>
      <c r="AB91" s="18"/>
    </row>
    <row r="92" spans="1:28">
      <c r="A92" t="s">
        <v>199</v>
      </c>
      <c r="B92" s="18">
        <f t="shared" si="35"/>
        <v>2712.4644181224357</v>
      </c>
      <c r="C92" s="18">
        <f t="shared" si="35"/>
        <v>2708.4750378134158</v>
      </c>
      <c r="D92" s="18">
        <f t="shared" si="35"/>
        <v>2397.5127465629357</v>
      </c>
      <c r="E92" s="18">
        <f t="shared" si="35"/>
        <v>3038.1269292851653</v>
      </c>
      <c r="F92" s="18">
        <f t="shared" si="35"/>
        <v>3292.3057492969283</v>
      </c>
      <c r="G92" s="18">
        <f t="shared" si="35"/>
        <v>3564.4494263218394</v>
      </c>
      <c r="H92" s="18">
        <f t="shared" si="35"/>
        <v>3632.7541845560327</v>
      </c>
      <c r="I92" s="18">
        <f t="shared" si="35"/>
        <v>4062.9751723435261</v>
      </c>
      <c r="J92" s="18">
        <f t="shared" si="35"/>
        <v>3862.0750873648294</v>
      </c>
      <c r="K92" s="18">
        <f t="shared" si="35"/>
        <v>3611.9558821190576</v>
      </c>
      <c r="L92" s="18">
        <f t="shared" si="33"/>
        <v>3674.9641627439091</v>
      </c>
      <c r="M92" s="18">
        <f t="shared" si="36"/>
        <v>3618.6279921594405</v>
      </c>
      <c r="N92" s="18">
        <f t="shared" si="36"/>
        <v>3625.3124271156985</v>
      </c>
      <c r="O92" s="18">
        <f t="shared" si="36"/>
        <v>3632.0092097547758</v>
      </c>
      <c r="P92" s="18">
        <f t="shared" si="36"/>
        <v>3638.7183628856696</v>
      </c>
      <c r="Q92" s="18">
        <f t="shared" si="36"/>
        <v>3645.4399093595134</v>
      </c>
      <c r="S92" s="18"/>
      <c r="V92" s="18"/>
      <c r="W92" s="18"/>
      <c r="X92" s="18"/>
      <c r="AA92" s="18"/>
      <c r="AB92" s="18"/>
    </row>
    <row r="93" spans="1:28">
      <c r="B93" s="18"/>
      <c r="C93" s="18"/>
      <c r="D93" s="18"/>
      <c r="E93" s="18"/>
      <c r="F93" s="18"/>
      <c r="G93" s="18"/>
      <c r="H93" s="18"/>
      <c r="I93" s="18"/>
      <c r="J93" s="18"/>
      <c r="K93" s="18"/>
      <c r="L93" s="18"/>
      <c r="V93" s="18"/>
      <c r="X93" s="18"/>
      <c r="AA93" s="18"/>
      <c r="AB93" s="18"/>
    </row>
    <row r="94" spans="1:28">
      <c r="A94" t="s">
        <v>204</v>
      </c>
      <c r="B94" s="18">
        <f t="shared" ref="B94:L95" si="37">B77</f>
        <v>1478</v>
      </c>
      <c r="C94" s="18">
        <f t="shared" si="37"/>
        <v>2323</v>
      </c>
      <c r="D94" s="18">
        <f t="shared" si="37"/>
        <v>605</v>
      </c>
      <c r="E94" s="18">
        <f t="shared" si="37"/>
        <v>1237</v>
      </c>
      <c r="F94" s="18">
        <f t="shared" si="37"/>
        <v>2200</v>
      </c>
      <c r="G94" s="18">
        <f t="shared" si="37"/>
        <v>2600</v>
      </c>
      <c r="H94" s="18">
        <f t="shared" si="37"/>
        <v>2600</v>
      </c>
      <c r="I94" s="18">
        <f t="shared" si="37"/>
        <v>2800</v>
      </c>
      <c r="J94" s="18">
        <f t="shared" si="37"/>
        <v>1300</v>
      </c>
      <c r="K94" s="18">
        <f t="shared" si="37"/>
        <v>560</v>
      </c>
      <c r="L94" s="18">
        <f t="shared" si="37"/>
        <v>966</v>
      </c>
      <c r="M94" s="173">
        <v>1000</v>
      </c>
      <c r="N94" s="173">
        <f>Segments!N20</f>
        <v>1568.6</v>
      </c>
      <c r="O94" s="173">
        <f t="shared" ref="O94:Q94" si="38">N94</f>
        <v>1568.6</v>
      </c>
      <c r="P94" s="173">
        <f t="shared" si="38"/>
        <v>1568.6</v>
      </c>
      <c r="Q94" s="173">
        <f t="shared" si="38"/>
        <v>1568.6</v>
      </c>
      <c r="V94" s="18"/>
      <c r="W94" s="18"/>
      <c r="X94" s="18"/>
      <c r="AA94" s="18"/>
      <c r="AB94" s="18"/>
    </row>
    <row r="95" spans="1:28">
      <c r="A95" t="s">
        <v>213</v>
      </c>
      <c r="B95" s="18">
        <f t="shared" si="37"/>
        <v>797</v>
      </c>
      <c r="C95" s="18">
        <f t="shared" si="37"/>
        <v>852</v>
      </c>
      <c r="D95" s="18">
        <f t="shared" si="37"/>
        <v>770</v>
      </c>
      <c r="E95" s="18">
        <f t="shared" si="37"/>
        <v>896</v>
      </c>
      <c r="F95" s="18">
        <f t="shared" si="37"/>
        <v>1049</v>
      </c>
      <c r="G95" s="18">
        <f t="shared" si="37"/>
        <v>1240</v>
      </c>
      <c r="H95" s="18">
        <f t="shared" si="37"/>
        <v>1279</v>
      </c>
      <c r="I95" s="18">
        <f t="shared" si="37"/>
        <v>1428</v>
      </c>
      <c r="J95" s="18">
        <f t="shared" si="37"/>
        <v>1416</v>
      </c>
      <c r="K95" s="18">
        <f t="shared" si="37"/>
        <v>1340</v>
      </c>
      <c r="L95" s="18">
        <f t="shared" si="37"/>
        <v>1403</v>
      </c>
      <c r="M95" s="17">
        <f>K95*(1+M96)</f>
        <v>1366.8</v>
      </c>
      <c r="N95" s="17">
        <f t="shared" ref="N95:Q95" si="39">M95*(1+N96)</f>
        <v>1394.136</v>
      </c>
      <c r="O95" s="17">
        <f t="shared" si="39"/>
        <v>1422.01872</v>
      </c>
      <c r="P95" s="17">
        <f t="shared" si="39"/>
        <v>1450.4590944000001</v>
      </c>
      <c r="Q95" s="17">
        <f t="shared" si="39"/>
        <v>1479.4682762880002</v>
      </c>
      <c r="AA95" s="18"/>
    </row>
    <row r="96" spans="1:28">
      <c r="G96" s="20">
        <f t="shared" ref="G96:K96" si="40">SUM(C95:G95)/SUM(B95:F95)-1</f>
        <v>0.10151237396883594</v>
      </c>
      <c r="H96" s="20">
        <f t="shared" si="40"/>
        <v>8.8828791345953784E-2</v>
      </c>
      <c r="I96" s="20">
        <f t="shared" si="40"/>
        <v>0.12571646923958735</v>
      </c>
      <c r="J96" s="20">
        <f t="shared" si="40"/>
        <v>8.8255261371350979E-2</v>
      </c>
      <c r="K96" s="20">
        <f t="shared" si="40"/>
        <v>4.5383655645664378E-2</v>
      </c>
      <c r="L96" s="20">
        <f>SUM(H95:L95)/SUM(G95:K95)-1</f>
        <v>2.431746978964644E-2</v>
      </c>
      <c r="M96" s="172">
        <v>0.02</v>
      </c>
      <c r="N96" s="172">
        <f>M96</f>
        <v>0.02</v>
      </c>
      <c r="O96" s="172">
        <f t="shared" ref="O96:Q96" si="41">N96</f>
        <v>0.02</v>
      </c>
      <c r="P96" s="172">
        <f t="shared" si="41"/>
        <v>0.02</v>
      </c>
      <c r="Q96" s="172">
        <f t="shared" si="41"/>
        <v>0.02</v>
      </c>
    </row>
    <row r="97" spans="1:17">
      <c r="B97" s="18"/>
      <c r="C97" s="18"/>
      <c r="D97" s="18"/>
      <c r="E97" s="18"/>
      <c r="F97" s="18"/>
      <c r="G97" s="18"/>
      <c r="H97" s="18"/>
      <c r="I97" s="18"/>
      <c r="J97" s="18"/>
      <c r="K97" s="18"/>
      <c r="L97" s="18"/>
    </row>
    <row r="98" spans="1:17">
      <c r="A98" t="s">
        <v>232</v>
      </c>
      <c r="B98" s="18">
        <f t="shared" ref="B98:J98" si="42">SUM(B87:B92)</f>
        <v>14008</v>
      </c>
      <c r="C98" s="18">
        <f t="shared" si="42"/>
        <v>14795</v>
      </c>
      <c r="D98" s="18">
        <f t="shared" si="42"/>
        <v>12768</v>
      </c>
      <c r="E98" s="18">
        <f t="shared" si="42"/>
        <v>14832</v>
      </c>
      <c r="F98" s="18">
        <f t="shared" si="42"/>
        <v>16308</v>
      </c>
      <c r="G98" s="18">
        <f t="shared" si="42"/>
        <v>17086</v>
      </c>
      <c r="H98" s="18">
        <f t="shared" si="42"/>
        <v>18084</v>
      </c>
      <c r="I98" s="18">
        <f t="shared" si="42"/>
        <v>19760</v>
      </c>
      <c r="J98" s="18">
        <f t="shared" si="42"/>
        <v>19097</v>
      </c>
      <c r="K98" s="18">
        <f>SUM(K87:K92)</f>
        <v>18037</v>
      </c>
      <c r="L98" s="18">
        <f>SUM(L87:L92)</f>
        <v>18871</v>
      </c>
      <c r="M98" s="18">
        <f>SUM(M87:M92)</f>
        <v>18379.61947361792</v>
      </c>
      <c r="N98" s="18">
        <f t="shared" ref="N98:Q98" si="43">SUM(N87:N92)</f>
        <v>18351.613341403852</v>
      </c>
      <c r="O98" s="18">
        <f t="shared" si="43"/>
        <v>18362.750493285173</v>
      </c>
      <c r="P98" s="18">
        <f t="shared" si="43"/>
        <v>18392.774418245586</v>
      </c>
      <c r="Q98" s="18">
        <f t="shared" si="43"/>
        <v>18440.901539580751</v>
      </c>
    </row>
    <row r="99" spans="1:17">
      <c r="B99" s="18"/>
      <c r="C99" s="20">
        <f>C98/B98-1</f>
        <v>5.6182181610508364E-2</v>
      </c>
      <c r="D99" s="20">
        <f t="shared" ref="D99:L99" si="44">D98/C98-1</f>
        <v>-0.13700574518418385</v>
      </c>
      <c r="E99" s="20">
        <f t="shared" si="44"/>
        <v>0.16165413533834583</v>
      </c>
      <c r="F99" s="20">
        <f t="shared" si="44"/>
        <v>9.9514563106796183E-2</v>
      </c>
      <c r="G99" s="20">
        <f t="shared" si="44"/>
        <v>4.7706647044395423E-2</v>
      </c>
      <c r="H99" s="20">
        <f t="shared" si="44"/>
        <v>5.8410394475008731E-2</v>
      </c>
      <c r="I99" s="20">
        <f t="shared" si="44"/>
        <v>9.2678610926786087E-2</v>
      </c>
      <c r="J99" s="20">
        <f t="shared" si="44"/>
        <v>-3.3552631578947389E-2</v>
      </c>
      <c r="K99" s="20">
        <f t="shared" si="44"/>
        <v>-5.5506100434623229E-2</v>
      </c>
      <c r="L99" s="20">
        <f t="shared" si="44"/>
        <v>4.6238287963630276E-2</v>
      </c>
      <c r="M99" s="20">
        <f t="shared" ref="M99" si="45">M98/K98-1</f>
        <v>1.8995369164379827E-2</v>
      </c>
      <c r="N99" s="20">
        <f t="shared" ref="N99:Q99" si="46">N98/M98-1</f>
        <v>-1.5237601765514253E-3</v>
      </c>
      <c r="O99" s="20">
        <f t="shared" si="46"/>
        <v>6.0687590099739452E-4</v>
      </c>
      <c r="P99" s="20">
        <f t="shared" si="46"/>
        <v>1.6350450860502797E-3</v>
      </c>
      <c r="Q99" s="20">
        <f t="shared" si="46"/>
        <v>2.6166319577878294E-3</v>
      </c>
    </row>
    <row r="100" spans="1:17" ht="14.65" thickBot="1">
      <c r="A100" t="s">
        <v>227</v>
      </c>
      <c r="B100" s="18">
        <f>B98+B94+B95</f>
        <v>16283</v>
      </c>
      <c r="C100" s="18">
        <f t="shared" ref="C100:J100" si="47">C98+C94+C95</f>
        <v>17970</v>
      </c>
      <c r="D100" s="18">
        <f t="shared" si="47"/>
        <v>14143</v>
      </c>
      <c r="E100" s="18">
        <f t="shared" si="47"/>
        <v>16965</v>
      </c>
      <c r="F100" s="18">
        <f t="shared" si="47"/>
        <v>19557</v>
      </c>
      <c r="G100" s="18">
        <f t="shared" si="47"/>
        <v>20926</v>
      </c>
      <c r="H100" s="18">
        <f t="shared" si="47"/>
        <v>21963</v>
      </c>
      <c r="I100" s="18">
        <f t="shared" si="47"/>
        <v>23988</v>
      </c>
      <c r="J100" s="18">
        <f t="shared" si="47"/>
        <v>21813</v>
      </c>
      <c r="K100" s="18">
        <f>K98+K94+K95</f>
        <v>19937</v>
      </c>
      <c r="L100" s="18">
        <f>L98+L94+L95</f>
        <v>21240</v>
      </c>
      <c r="M100" s="18">
        <f t="shared" ref="M100:Q100" si="48">M98+M94+M95</f>
        <v>20746.41947361792</v>
      </c>
      <c r="N100" s="18">
        <f t="shared" si="48"/>
        <v>21314.349341403849</v>
      </c>
      <c r="O100" s="18">
        <f t="shared" si="48"/>
        <v>21353.369213285172</v>
      </c>
      <c r="P100" s="18">
        <f t="shared" si="48"/>
        <v>21411.833512645586</v>
      </c>
      <c r="Q100" s="18">
        <f t="shared" si="48"/>
        <v>21488.96981586875</v>
      </c>
    </row>
    <row r="101" spans="1:17" ht="14.65" thickBot="1">
      <c r="B101" s="18"/>
      <c r="C101" s="20">
        <f>C100/B100-1</f>
        <v>0.10360498679604491</v>
      </c>
      <c r="D101" s="20">
        <f t="shared" ref="D101:L101" si="49">D100/C100-1</f>
        <v>-0.21296605453533668</v>
      </c>
      <c r="E101" s="20">
        <f t="shared" si="49"/>
        <v>0.1995333380470905</v>
      </c>
      <c r="F101" s="20">
        <f t="shared" si="49"/>
        <v>0.15278514588859426</v>
      </c>
      <c r="G101" s="20">
        <f t="shared" si="49"/>
        <v>7.0000511325867931E-2</v>
      </c>
      <c r="H101" s="20">
        <f t="shared" si="49"/>
        <v>4.9555576794418466E-2</v>
      </c>
      <c r="I101" s="20">
        <f t="shared" si="49"/>
        <v>9.2200519054773888E-2</v>
      </c>
      <c r="J101" s="20">
        <f t="shared" si="49"/>
        <v>-9.0670335167583826E-2</v>
      </c>
      <c r="K101" s="20">
        <f t="shared" si="49"/>
        <v>-8.6003759226149556E-2</v>
      </c>
      <c r="L101" s="20">
        <f t="shared" si="49"/>
        <v>6.5355870993629939E-2</v>
      </c>
      <c r="M101" s="177">
        <f t="shared" ref="M101" si="50">M100/K100-1</f>
        <v>4.05988600901801E-2</v>
      </c>
      <c r="N101" s="178">
        <f t="shared" ref="N101:Q101" si="51">N100/M100-1</f>
        <v>2.7374837788666895E-2</v>
      </c>
      <c r="O101" s="178">
        <f t="shared" si="51"/>
        <v>1.8306855750704898E-3</v>
      </c>
      <c r="P101" s="178">
        <f t="shared" si="51"/>
        <v>2.7379426064548795E-3</v>
      </c>
      <c r="Q101" s="179">
        <f t="shared" si="51"/>
        <v>3.6025080793575803E-3</v>
      </c>
    </row>
    <row r="102" spans="1:17">
      <c r="B102" s="18"/>
      <c r="C102" s="18"/>
      <c r="D102" s="18"/>
      <c r="E102" s="18"/>
      <c r="F102" s="18"/>
      <c r="G102" s="18"/>
      <c r="H102" s="18"/>
      <c r="I102" s="18"/>
      <c r="J102" s="18"/>
      <c r="K102" s="18"/>
      <c r="L102" s="18"/>
    </row>
    <row r="103" spans="1:17" ht="18">
      <c r="A103" s="180" t="s">
        <v>233</v>
      </c>
      <c r="B103" s="180"/>
      <c r="C103" s="180"/>
      <c r="D103" s="180"/>
      <c r="E103" s="180"/>
      <c r="F103" s="180"/>
      <c r="G103" s="180"/>
      <c r="H103" s="180"/>
      <c r="I103" s="180"/>
      <c r="J103" s="180"/>
      <c r="K103" s="180"/>
      <c r="L103" s="180"/>
      <c r="M103" s="180"/>
      <c r="N103" s="180"/>
      <c r="O103" s="180"/>
      <c r="P103" s="180"/>
      <c r="Q103" s="180"/>
    </row>
    <row r="104" spans="1:17">
      <c r="A104" t="s">
        <v>234</v>
      </c>
      <c r="B104" s="18">
        <f>B70</f>
        <v>2393.1510096200909</v>
      </c>
      <c r="C104" s="18">
        <f t="shared" ref="C104:L104" si="52">C70</f>
        <v>2808.2364284939863</v>
      </c>
      <c r="D104" s="18">
        <f t="shared" si="52"/>
        <v>2563.4719003814785</v>
      </c>
      <c r="E104" s="18">
        <f t="shared" si="52"/>
        <v>2808.2590910837816</v>
      </c>
      <c r="F104" s="18">
        <f t="shared" si="52"/>
        <v>2967.9973034384834</v>
      </c>
      <c r="G104" s="18">
        <f t="shared" si="52"/>
        <v>2873.8327918620025</v>
      </c>
      <c r="H104" s="18">
        <f t="shared" si="52"/>
        <v>2866.974425984693</v>
      </c>
      <c r="I104" s="18">
        <f t="shared" si="52"/>
        <v>3296.740770592527</v>
      </c>
      <c r="J104" s="18">
        <f t="shared" si="52"/>
        <v>3342.3184615543209</v>
      </c>
      <c r="K104" s="18">
        <f t="shared" si="52"/>
        <v>3507.6356219285271</v>
      </c>
      <c r="L104" s="18">
        <f t="shared" si="52"/>
        <v>3498.9348732968947</v>
      </c>
    </row>
    <row r="105" spans="1:17">
      <c r="A105" t="s">
        <v>226</v>
      </c>
      <c r="B105" s="18"/>
      <c r="C105" s="18"/>
      <c r="D105" s="18"/>
      <c r="E105" s="18"/>
      <c r="F105" s="18"/>
      <c r="G105" s="18"/>
      <c r="H105" s="18"/>
      <c r="I105" s="18"/>
      <c r="J105" s="18"/>
      <c r="K105" s="18"/>
      <c r="L105" s="18"/>
      <c r="M105" s="18">
        <f>M70</f>
        <v>3725.2996137306595</v>
      </c>
      <c r="N105" s="18">
        <f t="shared" ref="N105:Q105" si="53">N70</f>
        <v>3956.4705995406798</v>
      </c>
      <c r="O105" s="18">
        <f t="shared" si="53"/>
        <v>4201.9867468736566</v>
      </c>
      <c r="P105" s="18">
        <f t="shared" si="53"/>
        <v>4462.7382351714386</v>
      </c>
      <c r="Q105" s="18">
        <f t="shared" si="53"/>
        <v>4739.6704833681179</v>
      </c>
    </row>
    <row r="106" spans="1:17">
      <c r="A106" t="s">
        <v>227</v>
      </c>
      <c r="B106" s="18"/>
      <c r="C106" s="18"/>
      <c r="D106" s="18"/>
      <c r="E106" s="18"/>
      <c r="F106" s="18"/>
      <c r="G106" s="18"/>
      <c r="H106" s="18"/>
      <c r="I106" s="18"/>
      <c r="J106" s="18"/>
      <c r="K106" s="18"/>
      <c r="L106" s="18"/>
      <c r="M106" s="18">
        <f>M87</f>
        <v>3513.4851681523805</v>
      </c>
      <c r="N106" s="18">
        <f t="shared" ref="N106:Q106" si="54">N87</f>
        <v>3519.3444694348295</v>
      </c>
      <c r="O106" s="18">
        <f t="shared" si="54"/>
        <v>3525.2135420440031</v>
      </c>
      <c r="P106" s="18">
        <f t="shared" si="54"/>
        <v>3531.0924022751592</v>
      </c>
      <c r="Q106" s="18">
        <f t="shared" si="54"/>
        <v>3536.9810664507299</v>
      </c>
    </row>
    <row r="107" spans="1:17">
      <c r="A107" t="s">
        <v>235</v>
      </c>
      <c r="B107" s="18"/>
      <c r="C107" s="20">
        <f>C104/B104-1</f>
        <v>0.17344723220779512</v>
      </c>
      <c r="D107" s="20">
        <f t="shared" ref="D107:L107" si="55">D104/C104-1</f>
        <v>-8.7159516068157861E-2</v>
      </c>
      <c r="E107" s="20">
        <f t="shared" si="55"/>
        <v>9.5490491105393316E-2</v>
      </c>
      <c r="F107" s="20">
        <f t="shared" si="55"/>
        <v>5.6881579360633205E-2</v>
      </c>
      <c r="G107" s="20">
        <f t="shared" si="55"/>
        <v>-3.17266162834412E-2</v>
      </c>
      <c r="H107" s="20">
        <f t="shared" si="55"/>
        <v>-2.3864874451745566E-3</v>
      </c>
      <c r="I107" s="20">
        <f t="shared" si="55"/>
        <v>0.14990239909804082</v>
      </c>
      <c r="J107" s="20">
        <f t="shared" si="55"/>
        <v>1.382507577433878E-2</v>
      </c>
      <c r="K107" s="20">
        <f t="shared" si="55"/>
        <v>4.9461821868801437E-2</v>
      </c>
      <c r="L107" s="20">
        <f t="shared" si="55"/>
        <v>-2.4805166697584591E-3</v>
      </c>
    </row>
    <row r="108" spans="1:17">
      <c r="A108" t="s">
        <v>236</v>
      </c>
      <c r="B108" s="18"/>
      <c r="C108" s="18"/>
      <c r="D108" s="18"/>
      <c r="E108" s="18"/>
      <c r="F108" s="18"/>
      <c r="G108" s="18"/>
      <c r="H108" s="18"/>
      <c r="I108" s="18"/>
      <c r="J108" s="18"/>
      <c r="K108" s="20">
        <f>K107</f>
        <v>4.9461821868801437E-2</v>
      </c>
      <c r="L108" s="20">
        <f>L107</f>
        <v>-2.4805166697584591E-3</v>
      </c>
      <c r="M108" s="20">
        <f>M105/K104-1</f>
        <v>6.2054333820016128E-2</v>
      </c>
      <c r="N108" s="20">
        <f>N105/M105-1</f>
        <v>6.205433382001635E-2</v>
      </c>
      <c r="O108" s="20">
        <f t="shared" ref="O108:Q109" si="56">O105/N105-1</f>
        <v>6.2054333820016128E-2</v>
      </c>
      <c r="P108" s="20">
        <f t="shared" si="56"/>
        <v>6.205433382001635E-2</v>
      </c>
      <c r="Q108" s="20">
        <f t="shared" si="56"/>
        <v>6.205433382001635E-2</v>
      </c>
    </row>
    <row r="109" spans="1:17">
      <c r="A109" t="s">
        <v>237</v>
      </c>
      <c r="B109" s="18"/>
      <c r="C109" s="18"/>
      <c r="D109" s="18"/>
      <c r="E109" s="18"/>
      <c r="F109" s="18"/>
      <c r="G109" s="18"/>
      <c r="H109" s="18"/>
      <c r="I109" s="18"/>
      <c r="J109" s="18"/>
      <c r="K109" s="20">
        <f>K108</f>
        <v>4.9461821868801437E-2</v>
      </c>
      <c r="L109" s="20">
        <f>L108</f>
        <v>-2.4805166697584591E-3</v>
      </c>
      <c r="M109" s="20">
        <f>M106/K104-1</f>
        <v>1.6676607419778833E-3</v>
      </c>
      <c r="N109" s="20">
        <f>N106/M106-1</f>
        <v>1.6676607419778833E-3</v>
      </c>
      <c r="O109" s="20">
        <f t="shared" si="56"/>
        <v>1.6676607419778833E-3</v>
      </c>
      <c r="P109" s="20">
        <f t="shared" si="56"/>
        <v>1.6676607419781053E-3</v>
      </c>
      <c r="Q109" s="20">
        <f t="shared" si="56"/>
        <v>1.6676607419778833E-3</v>
      </c>
    </row>
    <row r="110" spans="1:17">
      <c r="B110" s="18"/>
      <c r="C110" s="18"/>
      <c r="D110" s="18"/>
      <c r="E110" s="18"/>
      <c r="F110" s="18"/>
      <c r="G110" s="20">
        <f>MEDIAN(C107:G107)</f>
        <v>5.6881579360633205E-2</v>
      </c>
      <c r="H110" s="20">
        <f t="shared" ref="H110:K110" si="57">MEDIAN(D107:H107)</f>
        <v>-2.3864874451745566E-3</v>
      </c>
      <c r="I110" s="20">
        <f t="shared" si="57"/>
        <v>5.6881579360633205E-2</v>
      </c>
      <c r="J110" s="20">
        <f t="shared" si="57"/>
        <v>1.382507577433878E-2</v>
      </c>
      <c r="K110" s="20">
        <f t="shared" si="57"/>
        <v>1.382507577433878E-2</v>
      </c>
      <c r="L110" s="20"/>
    </row>
    <row r="111" spans="1:17">
      <c r="A111" t="s">
        <v>238</v>
      </c>
      <c r="B111" s="18">
        <f t="shared" ref="B111:L111" si="58">B71</f>
        <v>1412.0115227509366</v>
      </c>
      <c r="C111" s="18">
        <f t="shared" si="58"/>
        <v>1286.2708915790279</v>
      </c>
      <c r="D111" s="18">
        <f t="shared" si="58"/>
        <v>841.702738799803</v>
      </c>
      <c r="E111" s="18">
        <f t="shared" si="58"/>
        <v>1241.1874442736357</v>
      </c>
      <c r="F111" s="18">
        <f t="shared" si="58"/>
        <v>1457.4486450145757</v>
      </c>
      <c r="G111" s="18">
        <f t="shared" si="58"/>
        <v>1732.4492804795907</v>
      </c>
      <c r="H111" s="18">
        <f t="shared" si="58"/>
        <v>1995.2545423433514</v>
      </c>
      <c r="I111" s="18">
        <f t="shared" si="58"/>
        <v>2017.4302793338779</v>
      </c>
      <c r="J111" s="18">
        <f t="shared" si="58"/>
        <v>2105.2387765831331</v>
      </c>
      <c r="K111" s="18">
        <f t="shared" si="58"/>
        <v>1976.8538575313707</v>
      </c>
      <c r="L111" s="18">
        <f t="shared" si="58"/>
        <v>1960.1482470255248</v>
      </c>
    </row>
    <row r="112" spans="1:17">
      <c r="A112" t="s">
        <v>226</v>
      </c>
      <c r="B112" s="18"/>
      <c r="C112" s="18"/>
      <c r="D112" s="18"/>
      <c r="E112" s="18"/>
      <c r="F112" s="18"/>
      <c r="G112" s="18"/>
      <c r="H112" s="18"/>
      <c r="I112" s="18"/>
      <c r="J112" s="18"/>
      <c r="K112" s="18"/>
      <c r="L112" s="18"/>
      <c r="M112" s="18">
        <f>M71</f>
        <v>2060.1049120410971</v>
      </c>
      <c r="N112" s="18">
        <f>N71</f>
        <v>2168.5473839636675</v>
      </c>
      <c r="O112" s="18">
        <f>O71</f>
        <v>2328.3521550721348</v>
      </c>
      <c r="P112" s="18">
        <f>P71</f>
        <v>2499.9332724379533</v>
      </c>
      <c r="Q112" s="18">
        <f>Q71</f>
        <v>2684.1585595322945</v>
      </c>
    </row>
    <row r="113" spans="1:17">
      <c r="A113" t="s">
        <v>227</v>
      </c>
      <c r="B113" s="18"/>
      <c r="C113" s="18"/>
      <c r="D113" s="18"/>
      <c r="E113" s="18"/>
      <c r="F113" s="18"/>
      <c r="G113" s="18"/>
      <c r="H113" s="18"/>
      <c r="I113" s="18"/>
      <c r="J113" s="18"/>
      <c r="K113" s="18"/>
      <c r="L113" s="18"/>
      <c r="M113" s="18">
        <f>M88</f>
        <v>1937.3167803807432</v>
      </c>
      <c r="N113" s="18">
        <f>N88</f>
        <v>1917.9436125769357</v>
      </c>
      <c r="O113" s="18">
        <f>O88</f>
        <v>1917.9436125769357</v>
      </c>
      <c r="P113" s="18">
        <f>P88</f>
        <v>1917.9436125769357</v>
      </c>
      <c r="Q113" s="18">
        <f>Q88</f>
        <v>1917.9436125769357</v>
      </c>
    </row>
    <row r="114" spans="1:17">
      <c r="A114" t="s">
        <v>235</v>
      </c>
      <c r="B114" s="18"/>
      <c r="C114" s="20">
        <f>C111/B111-1</f>
        <v>-8.9050711800804483E-2</v>
      </c>
      <c r="D114" s="20">
        <f t="shared" ref="D114:K114" si="59">D111/C111-1</f>
        <v>-0.34562560319892832</v>
      </c>
      <c r="E114" s="20">
        <f t="shared" si="59"/>
        <v>0.47461495259414765</v>
      </c>
      <c r="F114" s="20">
        <f t="shared" si="59"/>
        <v>0.17423734161885585</v>
      </c>
      <c r="G114" s="20">
        <f t="shared" si="59"/>
        <v>0.18868632963891829</v>
      </c>
      <c r="H114" s="20">
        <f t="shared" si="59"/>
        <v>0.15169578978439646</v>
      </c>
      <c r="I114" s="20">
        <f t="shared" si="59"/>
        <v>1.1114239571900386E-2</v>
      </c>
      <c r="J114" s="20">
        <f t="shared" si="59"/>
        <v>4.3524922843057645E-2</v>
      </c>
      <c r="K114" s="20">
        <f t="shared" si="59"/>
        <v>-6.098354280749807E-2</v>
      </c>
      <c r="L114" s="20"/>
    </row>
    <row r="115" spans="1:17">
      <c r="A115" t="s">
        <v>236</v>
      </c>
      <c r="B115" s="18"/>
      <c r="C115" s="18"/>
      <c r="D115" s="18"/>
      <c r="E115" s="18"/>
      <c r="F115" s="18"/>
      <c r="G115" s="18"/>
      <c r="H115" s="18"/>
      <c r="I115" s="18"/>
      <c r="J115" s="18"/>
      <c r="K115" s="20">
        <f>K114</f>
        <v>-6.098354280749807E-2</v>
      </c>
      <c r="L115" s="20">
        <f>L114</f>
        <v>0</v>
      </c>
      <c r="M115" s="20">
        <f>M112/K111-1</f>
        <v>4.211290287977465E-2</v>
      </c>
      <c r="N115" s="20">
        <f>N112/M112-1</f>
        <v>5.2639295838156297E-2</v>
      </c>
      <c r="O115" s="20">
        <f t="shared" ref="O115:Q116" si="60">O112/N112-1</f>
        <v>7.369208175491937E-2</v>
      </c>
      <c r="P115" s="20">
        <f t="shared" si="60"/>
        <v>7.369208175491937E-2</v>
      </c>
      <c r="Q115" s="20">
        <f t="shared" si="60"/>
        <v>7.3692081754919592E-2</v>
      </c>
    </row>
    <row r="116" spans="1:17">
      <c r="A116" t="s">
        <v>237</v>
      </c>
      <c r="B116" s="18"/>
      <c r="C116" s="18"/>
      <c r="D116" s="18"/>
      <c r="E116" s="18"/>
      <c r="F116" s="18"/>
      <c r="G116" s="18"/>
      <c r="H116" s="18"/>
      <c r="I116" s="18"/>
      <c r="J116" s="18"/>
      <c r="K116" s="20">
        <f>K115</f>
        <v>-6.098354280749807E-2</v>
      </c>
      <c r="L116" s="20">
        <f>L115</f>
        <v>0</v>
      </c>
      <c r="M116" s="20">
        <f>M113/K111-1</f>
        <v>-2.0000000000000018E-2</v>
      </c>
      <c r="N116" s="20">
        <f>N113/M113-1</f>
        <v>-1.0000000000000009E-2</v>
      </c>
      <c r="O116" s="20">
        <f t="shared" si="60"/>
        <v>0</v>
      </c>
      <c r="P116" s="20">
        <f t="shared" si="60"/>
        <v>0</v>
      </c>
      <c r="Q116" s="20">
        <f t="shared" si="60"/>
        <v>0</v>
      </c>
    </row>
    <row r="117" spans="1:17">
      <c r="G117" s="20">
        <f>MEDIAN(C114:G114)</f>
        <v>0.17423734161885585</v>
      </c>
      <c r="H117" s="20">
        <f t="shared" ref="H117:K117" si="61">MEDIAN(D114:H114)</f>
        <v>0.17423734161885585</v>
      </c>
      <c r="I117" s="20">
        <f t="shared" si="61"/>
        <v>0.17423734161885585</v>
      </c>
      <c r="J117" s="20">
        <f t="shared" si="61"/>
        <v>0.15169578978439646</v>
      </c>
      <c r="K117" s="20">
        <f t="shared" si="61"/>
        <v>4.3524922843057645E-2</v>
      </c>
      <c r="L117" s="20"/>
    </row>
    <row r="118" spans="1:17">
      <c r="A118" t="s">
        <v>239</v>
      </c>
      <c r="B118" s="18">
        <f t="shared" ref="B118:L118" si="62">B72</f>
        <v>2138.3147967855903</v>
      </c>
      <c r="C118" s="18">
        <f t="shared" si="62"/>
        <v>2267.7119693013715</v>
      </c>
      <c r="D118" s="18">
        <f t="shared" si="62"/>
        <v>2041.3280403515948</v>
      </c>
      <c r="E118" s="18">
        <f t="shared" si="62"/>
        <v>2296.0872002305919</v>
      </c>
      <c r="F118" s="18">
        <f t="shared" si="62"/>
        <v>2574.3807460364405</v>
      </c>
      <c r="G118" s="18">
        <f t="shared" si="62"/>
        <v>2898.2508870470974</v>
      </c>
      <c r="H118" s="18">
        <f t="shared" si="62"/>
        <v>3127.0659728703877</v>
      </c>
      <c r="I118" s="18">
        <f t="shared" si="62"/>
        <v>3279.2801253208982</v>
      </c>
      <c r="J118" s="18">
        <f t="shared" si="62"/>
        <v>3350.8095395177666</v>
      </c>
      <c r="K118" s="18">
        <f t="shared" si="62"/>
        <v>3388.8000063616269</v>
      </c>
      <c r="L118" s="18">
        <f t="shared" si="62"/>
        <v>3458.466582819286</v>
      </c>
    </row>
    <row r="119" spans="1:17">
      <c r="A119" t="s">
        <v>226</v>
      </c>
      <c r="G119" s="20"/>
      <c r="H119" s="20"/>
      <c r="I119" s="20"/>
      <c r="J119" s="20"/>
      <c r="K119" s="20">
        <f t="shared" ref="K119:L119" si="63">MEDIAN(G116:K116)</f>
        <v>-6.098354280749807E-2</v>
      </c>
      <c r="L119" s="20">
        <f t="shared" si="63"/>
        <v>-3.0491771403749035E-2</v>
      </c>
      <c r="M119" s="18">
        <f>M72</f>
        <v>3656.4469865159845</v>
      </c>
      <c r="N119" s="18">
        <f>N72</f>
        <v>3945.2326900683806</v>
      </c>
      <c r="O119" s="18">
        <f>O72</f>
        <v>4256.8266506210275</v>
      </c>
      <c r="P119" s="18">
        <f>P72</f>
        <v>4593.0302613211297</v>
      </c>
      <c r="Q119" s="18">
        <f>Q72</f>
        <v>4955.7871891104523</v>
      </c>
    </row>
    <row r="120" spans="1:17">
      <c r="A120" t="s">
        <v>227</v>
      </c>
      <c r="M120" s="18">
        <f>M89</f>
        <v>3387.5022891890344</v>
      </c>
      <c r="N120" s="18">
        <f>N89</f>
        <v>3386.2050689681228</v>
      </c>
      <c r="O120" s="18">
        <f>O89</f>
        <v>3384.9083455085884</v>
      </c>
      <c r="P120" s="18">
        <f>P89</f>
        <v>3383.6121186201999</v>
      </c>
      <c r="Q120" s="18">
        <f>Q89</f>
        <v>3382.316388112798</v>
      </c>
    </row>
    <row r="121" spans="1:17">
      <c r="A121" t="s">
        <v>235</v>
      </c>
      <c r="B121" s="18"/>
      <c r="C121" s="20">
        <f>C118/B118-1</f>
        <v>6.0513621619369129E-2</v>
      </c>
      <c r="D121" s="20">
        <f t="shared" ref="D121:L121" si="64">D118/C118-1</f>
        <v>-9.9829225234243535E-2</v>
      </c>
      <c r="E121" s="20">
        <f t="shared" si="64"/>
        <v>0.12480069584265241</v>
      </c>
      <c r="F121" s="20">
        <f t="shared" si="64"/>
        <v>0.12120338712654299</v>
      </c>
      <c r="G121" s="20">
        <f t="shared" si="64"/>
        <v>0.12580506652300461</v>
      </c>
      <c r="H121" s="20">
        <f t="shared" si="64"/>
        <v>7.8949371445347971E-2</v>
      </c>
      <c r="I121" s="20">
        <f t="shared" si="64"/>
        <v>4.8676348299358185E-2</v>
      </c>
      <c r="J121" s="20">
        <f t="shared" si="64"/>
        <v>2.1812535514900144E-2</v>
      </c>
      <c r="K121" s="20">
        <f t="shared" si="64"/>
        <v>1.1337698068427882E-2</v>
      </c>
      <c r="L121" s="20">
        <f t="shared" si="64"/>
        <v>2.0557889614871705E-2</v>
      </c>
    </row>
    <row r="122" spans="1:17">
      <c r="A122" t="s">
        <v>236</v>
      </c>
      <c r="B122" s="18"/>
      <c r="C122" s="18"/>
      <c r="D122" s="18"/>
      <c r="E122" s="18"/>
      <c r="F122" s="18"/>
      <c r="G122" s="18"/>
      <c r="H122" s="18"/>
      <c r="I122" s="18"/>
      <c r="J122" s="18"/>
      <c r="K122" s="20">
        <f>K121</f>
        <v>1.1337698068427882E-2</v>
      </c>
      <c r="L122" s="20">
        <f>L121</f>
        <v>2.0557889614871705E-2</v>
      </c>
      <c r="M122" s="20">
        <f>M119/K118-1</f>
        <v>7.897986887745434E-2</v>
      </c>
      <c r="N122" s="20">
        <f>N119/M119-1</f>
        <v>7.8979868877454562E-2</v>
      </c>
      <c r="O122" s="20">
        <f t="shared" ref="O122:Q123" si="65">O119/N119-1</f>
        <v>7.897986887745434E-2</v>
      </c>
      <c r="P122" s="20">
        <f t="shared" si="65"/>
        <v>7.897986887745434E-2</v>
      </c>
      <c r="Q122" s="20">
        <f t="shared" si="65"/>
        <v>7.897986887745434E-2</v>
      </c>
    </row>
    <row r="123" spans="1:17">
      <c r="A123" t="s">
        <v>237</v>
      </c>
      <c r="B123" s="18"/>
      <c r="C123" s="18"/>
      <c r="D123" s="18"/>
      <c r="E123" s="18"/>
      <c r="F123" s="18"/>
      <c r="G123" s="18"/>
      <c r="H123" s="18"/>
      <c r="I123" s="18"/>
      <c r="J123" s="18"/>
      <c r="K123" s="20">
        <f>K122</f>
        <v>1.1337698068427882E-2</v>
      </c>
      <c r="L123" s="20">
        <f>L122</f>
        <v>2.0557889614871705E-2</v>
      </c>
      <c r="M123" s="20">
        <f>M120/K118-1</f>
        <v>-3.8294297986196657E-4</v>
      </c>
      <c r="N123" s="20">
        <f>N120/M120-1</f>
        <v>-3.8294297986207759E-4</v>
      </c>
      <c r="O123" s="20">
        <f t="shared" si="65"/>
        <v>-3.8294297986196657E-4</v>
      </c>
      <c r="P123" s="20">
        <f t="shared" si="65"/>
        <v>-3.8294297986185555E-4</v>
      </c>
      <c r="Q123" s="20">
        <f t="shared" si="65"/>
        <v>-3.8294297986207759E-4</v>
      </c>
    </row>
    <row r="124" spans="1:17">
      <c r="G124" s="20">
        <f>MEDIAN(C121:G121)</f>
        <v>0.12120338712654299</v>
      </c>
      <c r="H124" s="20">
        <f t="shared" ref="H124:K124" si="66">MEDIAN(D121:H121)</f>
        <v>0.12120338712654299</v>
      </c>
      <c r="I124" s="20">
        <f t="shared" si="66"/>
        <v>0.12120338712654299</v>
      </c>
      <c r="J124" s="20">
        <f t="shared" si="66"/>
        <v>7.8949371445347971E-2</v>
      </c>
      <c r="K124" s="20">
        <f t="shared" si="66"/>
        <v>4.8676348299358185E-2</v>
      </c>
      <c r="L124" s="20"/>
    </row>
    <row r="125" spans="1:17">
      <c r="A125" t="s">
        <v>240</v>
      </c>
      <c r="B125" s="18">
        <f t="shared" ref="B125:L125" si="67">B73</f>
        <v>2472.6413975384671</v>
      </c>
      <c r="C125" s="18">
        <f t="shared" si="67"/>
        <v>2743.2707831598327</v>
      </c>
      <c r="D125" s="18">
        <f t="shared" si="67"/>
        <v>2842.4769589388716</v>
      </c>
      <c r="E125" s="18">
        <f t="shared" si="67"/>
        <v>2952.7852209838584</v>
      </c>
      <c r="F125" s="18">
        <f t="shared" si="67"/>
        <v>3119.9105579200473</v>
      </c>
      <c r="G125" s="18">
        <f t="shared" si="67"/>
        <v>2876.881570337222</v>
      </c>
      <c r="H125" s="18">
        <f t="shared" si="67"/>
        <v>3033.0813577250947</v>
      </c>
      <c r="I125" s="18">
        <f t="shared" si="67"/>
        <v>3152.151147410344</v>
      </c>
      <c r="J125" s="18">
        <f t="shared" si="67"/>
        <v>2831.9921139711569</v>
      </c>
      <c r="K125" s="18">
        <f t="shared" si="67"/>
        <v>2291.0094311115354</v>
      </c>
      <c r="L125" s="18">
        <f t="shared" si="67"/>
        <v>2374.6832625915695</v>
      </c>
    </row>
    <row r="126" spans="1:17">
      <c r="A126" t="s">
        <v>226</v>
      </c>
      <c r="M126" s="18">
        <f>M73</f>
        <v>2260.8499413461045</v>
      </c>
      <c r="N126" s="18">
        <f>N73</f>
        <v>2231.0874795503355</v>
      </c>
      <c r="O126" s="18">
        <f>O73</f>
        <v>2201.716819136846</v>
      </c>
      <c r="P126" s="18">
        <f>P73</f>
        <v>2172.7328023225118</v>
      </c>
      <c r="Q126" s="18">
        <f>Q73</f>
        <v>2144.1303392227119</v>
      </c>
    </row>
    <row r="127" spans="1:17">
      <c r="A127" t="s">
        <v>227</v>
      </c>
      <c r="M127" s="18">
        <f>M90</f>
        <v>2105.49873075813</v>
      </c>
      <c r="N127" s="18">
        <f>N90</f>
        <v>1935.0094526120149</v>
      </c>
      <c r="O127" s="18">
        <f>O90</f>
        <v>1778.3252618488391</v>
      </c>
      <c r="P127" s="18">
        <f>P90</f>
        <v>1634.328314345365</v>
      </c>
      <c r="Q127" s="18">
        <f>Q90</f>
        <v>1501.991281557808</v>
      </c>
    </row>
    <row r="128" spans="1:17">
      <c r="A128" t="s">
        <v>235</v>
      </c>
      <c r="B128" s="18"/>
      <c r="C128" s="20">
        <f>C125/B125-1</f>
        <v>0.10944950848545165</v>
      </c>
      <c r="D128" s="20">
        <f t="shared" ref="D128:L128" si="68">D125/C125-1</f>
        <v>3.6163464572304571E-2</v>
      </c>
      <c r="E128" s="20">
        <f t="shared" si="68"/>
        <v>3.8807091011976436E-2</v>
      </c>
      <c r="F128" s="20">
        <f t="shared" si="68"/>
        <v>5.6599218848874866E-2</v>
      </c>
      <c r="G128" s="20">
        <f t="shared" si="68"/>
        <v>-7.7896139351137483E-2</v>
      </c>
      <c r="H128" s="20">
        <f t="shared" si="68"/>
        <v>5.4294827078878782E-2</v>
      </c>
      <c r="I128" s="20">
        <f t="shared" si="68"/>
        <v>3.925703785755208E-2</v>
      </c>
      <c r="J128" s="20">
        <f t="shared" si="68"/>
        <v>-0.10156842691449441</v>
      </c>
      <c r="K128" s="20">
        <f t="shared" si="68"/>
        <v>-0.19102549056926199</v>
      </c>
      <c r="L128" s="20">
        <f t="shared" si="68"/>
        <v>3.6522691850918276E-2</v>
      </c>
    </row>
    <row r="129" spans="1:17">
      <c r="A129" t="s">
        <v>236</v>
      </c>
      <c r="B129" s="18"/>
      <c r="C129" s="18"/>
      <c r="D129" s="18"/>
      <c r="E129" s="18"/>
      <c r="F129" s="18"/>
      <c r="G129" s="18"/>
      <c r="H129" s="18"/>
      <c r="I129" s="18"/>
      <c r="J129" s="18"/>
      <c r="K129" s="20">
        <f>K128</f>
        <v>-0.19102549056926199</v>
      </c>
      <c r="L129" s="20">
        <f>L128</f>
        <v>3.6522691850918276E-2</v>
      </c>
      <c r="M129" s="20">
        <f>M126/K125-1</f>
        <v>-1.3164280057458511E-2</v>
      </c>
      <c r="N129" s="20">
        <f>N126/M126-1</f>
        <v>-1.3164280057458622E-2</v>
      </c>
      <c r="O129" s="20">
        <f t="shared" ref="O129:Q130" si="69">O126/N126-1</f>
        <v>-1.31642800574584E-2</v>
      </c>
      <c r="P129" s="20">
        <f t="shared" si="69"/>
        <v>-1.3164280057458511E-2</v>
      </c>
      <c r="Q129" s="20">
        <f t="shared" si="69"/>
        <v>-1.31642800574584E-2</v>
      </c>
    </row>
    <row r="130" spans="1:17">
      <c r="A130" t="s">
        <v>237</v>
      </c>
      <c r="B130" s="18"/>
      <c r="C130" s="18"/>
      <c r="D130" s="18"/>
      <c r="E130" s="18"/>
      <c r="F130" s="18"/>
      <c r="G130" s="18"/>
      <c r="H130" s="18"/>
      <c r="I130" s="18"/>
      <c r="J130" s="18"/>
      <c r="K130" s="20">
        <f>K129</f>
        <v>-0.19102549056926199</v>
      </c>
      <c r="L130" s="20">
        <f>L129</f>
        <v>3.6522691850918276E-2</v>
      </c>
      <c r="M130" s="20">
        <f>M127/K125-1</f>
        <v>-8.0973346435942228E-2</v>
      </c>
      <c r="N130" s="20">
        <f>N127/M127-1</f>
        <v>-8.097334643594245E-2</v>
      </c>
      <c r="O130" s="20">
        <f t="shared" si="69"/>
        <v>-8.0973346435942339E-2</v>
      </c>
      <c r="P130" s="20">
        <f t="shared" si="69"/>
        <v>-8.097334643594245E-2</v>
      </c>
      <c r="Q130" s="20">
        <f t="shared" si="69"/>
        <v>-8.097334643594245E-2</v>
      </c>
    </row>
    <row r="131" spans="1:17">
      <c r="G131" s="20">
        <f>MEDIAN(C128:G128)</f>
        <v>3.8807091011976436E-2</v>
      </c>
      <c r="H131" s="20">
        <f t="shared" ref="H131:K131" si="70">MEDIAN(D128:H128)</f>
        <v>3.8807091011976436E-2</v>
      </c>
      <c r="I131" s="20">
        <f t="shared" si="70"/>
        <v>3.925703785755208E-2</v>
      </c>
      <c r="J131" s="20">
        <f t="shared" si="70"/>
        <v>3.925703785755208E-2</v>
      </c>
      <c r="K131" s="20">
        <f t="shared" si="70"/>
        <v>-7.7896139351137483E-2</v>
      </c>
      <c r="L131" s="20"/>
    </row>
    <row r="132" spans="1:17">
      <c r="A132" t="s">
        <v>241</v>
      </c>
      <c r="B132" s="18">
        <f t="shared" ref="B132:L132" si="71">B91</f>
        <v>2879.4168551824791</v>
      </c>
      <c r="C132" s="18">
        <f t="shared" si="71"/>
        <v>2981.0348896523656</v>
      </c>
      <c r="D132" s="18">
        <f t="shared" si="71"/>
        <v>2081.5076149653164</v>
      </c>
      <c r="E132" s="18">
        <f t="shared" si="71"/>
        <v>2495.5541141429671</v>
      </c>
      <c r="F132" s="18">
        <f t="shared" si="71"/>
        <v>2895.9569982935245</v>
      </c>
      <c r="G132" s="18">
        <f t="shared" si="71"/>
        <v>3140.1360439522482</v>
      </c>
      <c r="H132" s="18">
        <f t="shared" si="71"/>
        <v>3428.8695165204404</v>
      </c>
      <c r="I132" s="18">
        <f t="shared" si="71"/>
        <v>3951.4225049988263</v>
      </c>
      <c r="J132" s="18">
        <f t="shared" si="71"/>
        <v>3604.5660210087931</v>
      </c>
      <c r="K132" s="18">
        <f t="shared" si="71"/>
        <v>3260.7452009478825</v>
      </c>
      <c r="L132" s="18">
        <f t="shared" si="71"/>
        <v>3903.8028715228156</v>
      </c>
    </row>
    <row r="133" spans="1:17">
      <c r="A133" t="s">
        <v>226</v>
      </c>
      <c r="M133" s="18">
        <f>M74</f>
        <v>3859.5987109386278</v>
      </c>
      <c r="N133" s="18">
        <f>N74</f>
        <v>4268.7299346097689</v>
      </c>
      <c r="O133" s="18">
        <f>O74</f>
        <v>4754.4616210932536</v>
      </c>
      <c r="P133" s="18">
        <f>P74</f>
        <v>5588.6128910387406</v>
      </c>
      <c r="Q133" s="18">
        <f>Q74</f>
        <v>5985.4044063024912</v>
      </c>
    </row>
    <row r="134" spans="1:17">
      <c r="A134" t="s">
        <v>227</v>
      </c>
      <c r="M134" s="18">
        <f>M91</f>
        <v>3817.188512978189</v>
      </c>
      <c r="N134" s="18">
        <f>N91</f>
        <v>3967.7983106962502</v>
      </c>
      <c r="O134" s="18">
        <f>O91</f>
        <v>4124.3505215520308</v>
      </c>
      <c r="P134" s="18">
        <f>P91</f>
        <v>4287.0796075422568</v>
      </c>
      <c r="Q134" s="18">
        <f>Q91</f>
        <v>4456.2292815229648</v>
      </c>
    </row>
    <row r="135" spans="1:17">
      <c r="A135" t="s">
        <v>235</v>
      </c>
      <c r="B135" s="18"/>
      <c r="C135" s="20">
        <f>C132/B132-1</f>
        <v>3.5291185535359482E-2</v>
      </c>
      <c r="D135" s="20">
        <f t="shared" ref="D135:L135" si="72">D132/C132-1</f>
        <v>-0.30174999890455756</v>
      </c>
      <c r="E135" s="20">
        <f t="shared" si="72"/>
        <v>0.19891663917095492</v>
      </c>
      <c r="F135" s="20">
        <f t="shared" si="72"/>
        <v>0.16044648436247799</v>
      </c>
      <c r="G135" s="20">
        <f t="shared" si="72"/>
        <v>8.4317220802176518E-2</v>
      </c>
      <c r="H135" s="20">
        <f t="shared" si="72"/>
        <v>9.1949351406057422E-2</v>
      </c>
      <c r="I135" s="20">
        <f t="shared" si="72"/>
        <v>0.15239803846740241</v>
      </c>
      <c r="J135" s="20">
        <f t="shared" si="72"/>
        <v>-8.7780156020075162E-2</v>
      </c>
      <c r="K135" s="20">
        <f t="shared" si="72"/>
        <v>-9.5384803068383595E-2</v>
      </c>
      <c r="L135" s="20">
        <f t="shared" si="72"/>
        <v>0.19721187365023174</v>
      </c>
    </row>
    <row r="136" spans="1:17">
      <c r="A136" t="s">
        <v>236</v>
      </c>
      <c r="B136" s="18"/>
      <c r="C136" s="18"/>
      <c r="D136" s="18"/>
      <c r="E136" s="18"/>
      <c r="F136" s="18"/>
      <c r="G136" s="18"/>
      <c r="H136" s="18"/>
      <c r="I136" s="18"/>
      <c r="J136" s="18"/>
      <c r="K136" s="20">
        <f>K135</f>
        <v>-9.5384803068383595E-2</v>
      </c>
      <c r="L136" s="20">
        <f>L135</f>
        <v>0.19721187365023174</v>
      </c>
      <c r="M136" s="20">
        <f>M133/K132-1</f>
        <v>0.18365541404972752</v>
      </c>
      <c r="N136" s="20">
        <f>N133/M133-1</f>
        <v>0.10600356521822007</v>
      </c>
      <c r="O136" s="20">
        <f t="shared" ref="O136:Q137" si="73">O133/N133-1</f>
        <v>0.11378833843417846</v>
      </c>
      <c r="P136" s="20">
        <f t="shared" si="73"/>
        <v>0.17544599923675053</v>
      </c>
      <c r="Q136" s="20">
        <f t="shared" si="73"/>
        <v>7.0999999999999952E-2</v>
      </c>
    </row>
    <row r="137" spans="1:17">
      <c r="A137" t="s">
        <v>237</v>
      </c>
      <c r="B137" s="18"/>
      <c r="C137" s="18"/>
      <c r="D137" s="18"/>
      <c r="E137" s="18"/>
      <c r="F137" s="18"/>
      <c r="G137" s="18"/>
      <c r="H137" s="18"/>
      <c r="I137" s="18"/>
      <c r="J137" s="18"/>
      <c r="K137" s="20">
        <f>K136</f>
        <v>-9.5384803068383595E-2</v>
      </c>
      <c r="L137" s="20">
        <f>L136</f>
        <v>0.19721187365023174</v>
      </c>
      <c r="M137" s="20">
        <f>M134/K132-1</f>
        <v>0.17064912396974496</v>
      </c>
      <c r="N137" s="20">
        <f>N134/M134-1</f>
        <v>3.945568766279095E-2</v>
      </c>
      <c r="O137" s="20">
        <f t="shared" si="73"/>
        <v>3.945568766279095E-2</v>
      </c>
      <c r="P137" s="20">
        <f t="shared" si="73"/>
        <v>3.945568766279095E-2</v>
      </c>
      <c r="Q137" s="20">
        <f t="shared" si="73"/>
        <v>3.945568766279095E-2</v>
      </c>
    </row>
    <row r="138" spans="1:17">
      <c r="G138" s="20">
        <f>MEDIAN(C135:G135)</f>
        <v>8.4317220802176518E-2</v>
      </c>
      <c r="H138" s="20">
        <f t="shared" ref="H138:K138" si="74">MEDIAN(D135:H135)</f>
        <v>9.1949351406057422E-2</v>
      </c>
      <c r="I138" s="20">
        <f t="shared" si="74"/>
        <v>0.15239803846740241</v>
      </c>
      <c r="J138" s="20">
        <f t="shared" si="74"/>
        <v>9.1949351406057422E-2</v>
      </c>
      <c r="K138" s="20">
        <f t="shared" si="74"/>
        <v>8.4317220802176518E-2</v>
      </c>
      <c r="L138" s="20"/>
    </row>
    <row r="139" spans="1:17">
      <c r="A139" t="s">
        <v>242</v>
      </c>
      <c r="B139" s="18">
        <f t="shared" ref="B139:L139" si="75">B75</f>
        <v>2712.4644181224357</v>
      </c>
      <c r="C139" s="18">
        <f t="shared" si="75"/>
        <v>2708.4750378134158</v>
      </c>
      <c r="D139" s="18">
        <f t="shared" si="75"/>
        <v>2397.5127465629357</v>
      </c>
      <c r="E139" s="18">
        <f t="shared" si="75"/>
        <v>3038.1269292851653</v>
      </c>
      <c r="F139" s="18">
        <f t="shared" si="75"/>
        <v>3292.3057492969283</v>
      </c>
      <c r="G139" s="18">
        <f t="shared" si="75"/>
        <v>3564.4494263218394</v>
      </c>
      <c r="H139" s="18">
        <f t="shared" si="75"/>
        <v>3632.7541845560327</v>
      </c>
      <c r="I139" s="18">
        <f t="shared" si="75"/>
        <v>4062.9751723435261</v>
      </c>
      <c r="J139" s="18">
        <f t="shared" si="75"/>
        <v>3862.0750873648294</v>
      </c>
      <c r="K139" s="18">
        <f t="shared" si="75"/>
        <v>3611.9558821190576</v>
      </c>
      <c r="L139" s="18">
        <f t="shared" si="75"/>
        <v>3674.9641627439091</v>
      </c>
    </row>
    <row r="140" spans="1:17">
      <c r="A140" t="s">
        <v>226</v>
      </c>
      <c r="M140" s="18">
        <f>M75</f>
        <v>3684.1949997614388</v>
      </c>
      <c r="N140" s="18">
        <f>N75</f>
        <v>3757.8788997566676</v>
      </c>
      <c r="O140" s="18">
        <f>O75</f>
        <v>3833.0364777518007</v>
      </c>
      <c r="P140" s="18">
        <f>P75</f>
        <v>3909.6972073068368</v>
      </c>
      <c r="Q140" s="18">
        <f>Q75</f>
        <v>3987.8911514529736</v>
      </c>
    </row>
    <row r="141" spans="1:17">
      <c r="A141" t="s">
        <v>227</v>
      </c>
      <c r="M141" s="18">
        <f>M92</f>
        <v>3618.6279921594405</v>
      </c>
      <c r="N141" s="18">
        <f>N92</f>
        <v>3625.3124271156985</v>
      </c>
      <c r="O141" s="18">
        <f>O92</f>
        <v>3632.0092097547758</v>
      </c>
      <c r="P141" s="18">
        <f>P92</f>
        <v>3638.7183628856696</v>
      </c>
      <c r="Q141" s="18">
        <f>Q92</f>
        <v>3645.4399093595134</v>
      </c>
    </row>
    <row r="142" spans="1:17">
      <c r="A142" t="s">
        <v>235</v>
      </c>
      <c r="B142" s="18"/>
      <c r="C142" s="20">
        <f>C139/B139-1</f>
        <v>-1.4707585774641485E-3</v>
      </c>
      <c r="D142" s="20">
        <f t="shared" ref="D142:L142" si="76">D139/C139-1</f>
        <v>-0.11481083890716737</v>
      </c>
      <c r="E142" s="20">
        <f t="shared" si="76"/>
        <v>0.26719948982152908</v>
      </c>
      <c r="F142" s="20">
        <f t="shared" si="76"/>
        <v>8.3663002214185989E-2</v>
      </c>
      <c r="G142" s="20">
        <f t="shared" si="76"/>
        <v>8.2660511431244643E-2</v>
      </c>
      <c r="H142" s="20">
        <f t="shared" si="76"/>
        <v>1.9162779454743761E-2</v>
      </c>
      <c r="I142" s="20">
        <f t="shared" si="76"/>
        <v>0.11842832350630728</v>
      </c>
      <c r="J142" s="20">
        <f t="shared" si="76"/>
        <v>-4.9446545070276016E-2</v>
      </c>
      <c r="K142" s="20">
        <f t="shared" si="76"/>
        <v>-6.4762905844079066E-2</v>
      </c>
      <c r="L142" s="20">
        <f t="shared" si="76"/>
        <v>1.7444366066809769E-2</v>
      </c>
    </row>
    <row r="143" spans="1:17">
      <c r="A143" t="s">
        <v>236</v>
      </c>
      <c r="B143" s="18"/>
      <c r="C143" s="18"/>
      <c r="D143" s="18"/>
      <c r="E143" s="18"/>
      <c r="F143" s="18"/>
      <c r="G143" s="18"/>
      <c r="H143" s="18"/>
      <c r="I143" s="18"/>
      <c r="J143" s="18"/>
      <c r="K143" s="20">
        <f>K142</f>
        <v>-6.4762905844079066E-2</v>
      </c>
      <c r="L143" s="20">
        <f>L142</f>
        <v>1.7444366066809769E-2</v>
      </c>
      <c r="M143" s="20">
        <f>M140/K139-1</f>
        <v>2.0000000000000018E-2</v>
      </c>
      <c r="N143" s="20">
        <f>N140/M140-1</f>
        <v>2.0000000000000018E-2</v>
      </c>
      <c r="O143" s="20">
        <f t="shared" ref="O143:Q144" si="77">O140/N140-1</f>
        <v>2.0000000000000018E-2</v>
      </c>
      <c r="P143" s="20">
        <f t="shared" si="77"/>
        <v>2.0000000000000018E-2</v>
      </c>
      <c r="Q143" s="20">
        <f t="shared" si="77"/>
        <v>2.0000000000000018E-2</v>
      </c>
    </row>
    <row r="144" spans="1:17">
      <c r="A144" t="s">
        <v>237</v>
      </c>
      <c r="B144" s="18"/>
      <c r="C144" s="18"/>
      <c r="D144" s="18"/>
      <c r="E144" s="18"/>
      <c r="F144" s="18"/>
      <c r="G144" s="18"/>
      <c r="H144" s="18"/>
      <c r="I144" s="18"/>
      <c r="J144" s="18"/>
      <c r="K144" s="20">
        <f>K143</f>
        <v>-6.4762905844079066E-2</v>
      </c>
      <c r="L144" s="20">
        <f>L143</f>
        <v>1.7444366066809769E-2</v>
      </c>
      <c r="M144" s="20">
        <f>M141/K139-1</f>
        <v>1.8472291074798086E-3</v>
      </c>
      <c r="N144" s="20">
        <f>N141/M141-1</f>
        <v>1.8472291074798086E-3</v>
      </c>
      <c r="O144" s="20">
        <f t="shared" si="77"/>
        <v>1.8472291074800307E-3</v>
      </c>
      <c r="P144" s="20">
        <f t="shared" si="77"/>
        <v>1.8472291074798086E-3</v>
      </c>
      <c r="Q144" s="20">
        <f t="shared" si="77"/>
        <v>1.8472291074798086E-3</v>
      </c>
    </row>
    <row r="145" spans="1:17">
      <c r="G145" s="20">
        <f>MEDIAN(C142:G142)</f>
        <v>8.2660511431244643E-2</v>
      </c>
      <c r="H145" s="20">
        <f t="shared" ref="H145:K145" si="78">MEDIAN(D142:H142)</f>
        <v>8.2660511431244643E-2</v>
      </c>
      <c r="I145" s="20">
        <f t="shared" si="78"/>
        <v>8.3663002214185989E-2</v>
      </c>
      <c r="J145" s="20">
        <f t="shared" si="78"/>
        <v>8.2660511431244643E-2</v>
      </c>
      <c r="K145" s="20">
        <f t="shared" si="78"/>
        <v>1.9162779454743761E-2</v>
      </c>
      <c r="L145" s="20"/>
    </row>
    <row r="146" spans="1:17">
      <c r="A146" t="s">
        <v>204</v>
      </c>
      <c r="B146" s="18">
        <f t="shared" ref="B146:L146" si="79">B77</f>
        <v>1478</v>
      </c>
      <c r="C146" s="18">
        <f t="shared" si="79"/>
        <v>2323</v>
      </c>
      <c r="D146" s="18">
        <f t="shared" si="79"/>
        <v>605</v>
      </c>
      <c r="E146" s="18">
        <f t="shared" si="79"/>
        <v>1237</v>
      </c>
      <c r="F146" s="18">
        <f t="shared" si="79"/>
        <v>2200</v>
      </c>
      <c r="G146" s="18">
        <f t="shared" si="79"/>
        <v>2600</v>
      </c>
      <c r="H146" s="18">
        <f t="shared" si="79"/>
        <v>2600</v>
      </c>
      <c r="I146" s="18">
        <f t="shared" si="79"/>
        <v>2800</v>
      </c>
      <c r="J146" s="18">
        <f t="shared" si="79"/>
        <v>1300</v>
      </c>
      <c r="K146" s="18">
        <f t="shared" si="79"/>
        <v>560</v>
      </c>
      <c r="L146" s="18">
        <f t="shared" si="79"/>
        <v>966</v>
      </c>
    </row>
    <row r="147" spans="1:17">
      <c r="A147" t="s">
        <v>226</v>
      </c>
      <c r="M147" s="18">
        <f>M77</f>
        <v>1000</v>
      </c>
      <c r="N147" s="18">
        <f>N77</f>
        <v>2300</v>
      </c>
      <c r="O147" s="18">
        <f>O77</f>
        <v>2300</v>
      </c>
      <c r="P147" s="18">
        <f>P77</f>
        <v>2300</v>
      </c>
      <c r="Q147" s="18">
        <f>Q77</f>
        <v>2300</v>
      </c>
    </row>
    <row r="148" spans="1:17">
      <c r="A148" t="s">
        <v>227</v>
      </c>
      <c r="M148" s="18">
        <f>M94</f>
        <v>1000</v>
      </c>
      <c r="N148" s="18">
        <f>N94</f>
        <v>1568.6</v>
      </c>
      <c r="O148" s="18">
        <f>O94</f>
        <v>1568.6</v>
      </c>
      <c r="P148" s="18">
        <f>P94</f>
        <v>1568.6</v>
      </c>
      <c r="Q148" s="18">
        <f>Q94</f>
        <v>1568.6</v>
      </c>
    </row>
    <row r="150" spans="1:17">
      <c r="A150" t="s">
        <v>223</v>
      </c>
      <c r="B150" s="18">
        <f t="shared" ref="B150:L150" si="80">B78</f>
        <v>797</v>
      </c>
      <c r="C150" s="18">
        <f t="shared" si="80"/>
        <v>852</v>
      </c>
      <c r="D150" s="18">
        <f t="shared" si="80"/>
        <v>770</v>
      </c>
      <c r="E150" s="18">
        <f t="shared" si="80"/>
        <v>896</v>
      </c>
      <c r="F150" s="18">
        <f t="shared" si="80"/>
        <v>1049</v>
      </c>
      <c r="G150" s="18">
        <f t="shared" si="80"/>
        <v>1240</v>
      </c>
      <c r="H150" s="18">
        <f t="shared" si="80"/>
        <v>1279</v>
      </c>
      <c r="I150" s="18">
        <f t="shared" si="80"/>
        <v>1428</v>
      </c>
      <c r="J150" s="18">
        <f t="shared" si="80"/>
        <v>1416</v>
      </c>
      <c r="K150" s="18">
        <f t="shared" si="80"/>
        <v>1340</v>
      </c>
      <c r="L150" s="18">
        <f t="shared" si="80"/>
        <v>1403</v>
      </c>
    </row>
    <row r="151" spans="1:17">
      <c r="A151" t="s">
        <v>226</v>
      </c>
      <c r="M151" s="18">
        <f>M78</f>
        <v>1407</v>
      </c>
      <c r="N151" s="18">
        <f>N78</f>
        <v>1477.3500000000001</v>
      </c>
      <c r="O151" s="18">
        <f>O78</f>
        <v>1551.2175000000002</v>
      </c>
      <c r="P151" s="18">
        <f>P78</f>
        <v>1628.7783750000003</v>
      </c>
      <c r="Q151" s="18">
        <f>Q78</f>
        <v>1710.2172937500004</v>
      </c>
    </row>
    <row r="152" spans="1:17">
      <c r="A152" t="s">
        <v>227</v>
      </c>
      <c r="M152" s="18">
        <f>M95</f>
        <v>1366.8</v>
      </c>
      <c r="N152" s="18">
        <f>N95</f>
        <v>1394.136</v>
      </c>
      <c r="O152" s="18">
        <f>O95</f>
        <v>1422.01872</v>
      </c>
      <c r="P152" s="18">
        <f>P95</f>
        <v>1450.4590944000001</v>
      </c>
      <c r="Q152" s="18">
        <f>Q95</f>
        <v>1479.4682762880002</v>
      </c>
    </row>
    <row r="153" spans="1:17">
      <c r="A153" t="s">
        <v>235</v>
      </c>
      <c r="B153" s="18"/>
      <c r="C153" s="20">
        <f>C150/B150-1</f>
        <v>6.9008782936009982E-2</v>
      </c>
      <c r="D153" s="20">
        <f t="shared" ref="D153:L153" si="81">D150/C150-1</f>
        <v>-9.6244131455399007E-2</v>
      </c>
      <c r="E153" s="20">
        <f t="shared" si="81"/>
        <v>0.16363636363636358</v>
      </c>
      <c r="F153" s="20">
        <f t="shared" si="81"/>
        <v>0.1707589285714286</v>
      </c>
      <c r="G153" s="20">
        <f t="shared" si="81"/>
        <v>0.18207816968541457</v>
      </c>
      <c r="H153" s="20">
        <f t="shared" si="81"/>
        <v>3.1451612903225845E-2</v>
      </c>
      <c r="I153" s="20">
        <f t="shared" si="81"/>
        <v>0.11649726348709932</v>
      </c>
      <c r="J153" s="20">
        <f t="shared" si="81"/>
        <v>-8.4033613445377853E-3</v>
      </c>
      <c r="K153" s="20">
        <f t="shared" si="81"/>
        <v>-5.3672316384180796E-2</v>
      </c>
      <c r="L153" s="20">
        <f t="shared" si="81"/>
        <v>4.7014925373134231E-2</v>
      </c>
    </row>
    <row r="154" spans="1:17">
      <c r="A154" t="s">
        <v>236</v>
      </c>
      <c r="B154" s="18"/>
      <c r="C154" s="18"/>
      <c r="D154" s="18"/>
      <c r="E154" s="18"/>
      <c r="F154" s="18"/>
      <c r="G154" s="18"/>
      <c r="H154" s="18"/>
      <c r="I154" s="18"/>
      <c r="J154" s="18"/>
      <c r="K154" s="20">
        <f>K153</f>
        <v>-5.3672316384180796E-2</v>
      </c>
      <c r="L154" s="20">
        <f>L153</f>
        <v>4.7014925373134231E-2</v>
      </c>
      <c r="M154" s="20">
        <f>M151/K150-1</f>
        <v>5.0000000000000044E-2</v>
      </c>
      <c r="N154" s="20">
        <f>N151/M151-1</f>
        <v>5.0000000000000044E-2</v>
      </c>
      <c r="O154" s="20">
        <f t="shared" ref="O154:Q155" si="82">O151/N151-1</f>
        <v>5.0000000000000044E-2</v>
      </c>
      <c r="P154" s="20">
        <f t="shared" si="82"/>
        <v>5.0000000000000044E-2</v>
      </c>
      <c r="Q154" s="20">
        <f t="shared" si="82"/>
        <v>5.0000000000000044E-2</v>
      </c>
    </row>
    <row r="155" spans="1:17">
      <c r="A155" t="s">
        <v>237</v>
      </c>
      <c r="B155" s="18"/>
      <c r="C155" s="18"/>
      <c r="D155" s="18"/>
      <c r="E155" s="18"/>
      <c r="F155" s="18"/>
      <c r="G155" s="18"/>
      <c r="H155" s="18"/>
      <c r="I155" s="18"/>
      <c r="J155" s="18"/>
      <c r="K155" s="20">
        <f>K154</f>
        <v>-5.3672316384180796E-2</v>
      </c>
      <c r="L155" s="20">
        <f>L154</f>
        <v>4.7014925373134231E-2</v>
      </c>
      <c r="M155" s="20">
        <f>M152/K150-1</f>
        <v>2.0000000000000018E-2</v>
      </c>
      <c r="N155" s="20">
        <f>N152/M152-1</f>
        <v>2.0000000000000018E-2</v>
      </c>
      <c r="O155" s="20">
        <f t="shared" si="82"/>
        <v>2.0000000000000018E-2</v>
      </c>
      <c r="P155" s="20">
        <f t="shared" si="82"/>
        <v>2.0000000000000018E-2</v>
      </c>
      <c r="Q155" s="20">
        <f t="shared" si="82"/>
        <v>2.0000000000000018E-2</v>
      </c>
    </row>
    <row r="156" spans="1:17">
      <c r="G156" s="20">
        <f>MEDIAN(C153:G153)</f>
        <v>0.16363636363636358</v>
      </c>
      <c r="H156" s="20">
        <f t="shared" ref="H156:K156" si="83">MEDIAN(D153:H153)</f>
        <v>0.16363636363636358</v>
      </c>
      <c r="I156" s="20">
        <f t="shared" si="83"/>
        <v>0.16363636363636358</v>
      </c>
      <c r="J156" s="20">
        <f t="shared" si="83"/>
        <v>0.11649726348709932</v>
      </c>
      <c r="K156" s="20">
        <f t="shared" si="83"/>
        <v>3.1451612903225845E-2</v>
      </c>
      <c r="L156" s="20"/>
    </row>
  </sheetData>
  <mergeCells count="1">
    <mergeCell ref="A103:Q10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120" zoomScaleNormal="120" workbookViewId="0">
      <selection activeCell="K22" sqref="K22"/>
    </sheetView>
  </sheetViews>
  <sheetFormatPr defaultRowHeight="14.25"/>
  <cols>
    <col min="1" max="1" width="38.730468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39813</v>
      </c>
      <c r="C2" s="106">
        <f>DATE(YEAR('Valuation Model'!$B3)+C1,MONTH('Valuation Model'!$B3),DAY('Valuation Model'!$B3))</f>
        <v>40178</v>
      </c>
      <c r="D2" s="106">
        <f>DATE(YEAR('Valuation Model'!$B3)+D1,MONTH('Valuation Model'!$B3),DAY('Valuation Model'!$B3))</f>
        <v>40543</v>
      </c>
      <c r="E2" s="106">
        <f>DATE(YEAR('Valuation Model'!$B3)+E1,MONTH('Valuation Model'!$B3),DAY('Valuation Model'!$B3))</f>
        <v>40908</v>
      </c>
      <c r="F2" s="106">
        <f>DATE(YEAR('Valuation Model'!$B3)+F1,MONTH('Valuation Model'!$B3),DAY('Valuation Model'!$B3))</f>
        <v>41274</v>
      </c>
      <c r="G2" s="106">
        <f>DATE(YEAR('Valuation Model'!$B3)+G1,MONTH('Valuation Model'!$B3),DAY('Valuation Model'!$B3))</f>
        <v>41639</v>
      </c>
      <c r="H2" s="106">
        <f>DATE(YEAR('Valuation Model'!$B3)+H1,MONTH('Valuation Model'!$B3),DAY('Valuation Model'!$B3))</f>
        <v>42004</v>
      </c>
      <c r="I2" s="106">
        <f>DATE(YEAR('Valuation Model'!$B3)+I1,MONTH('Valuation Model'!$B3),DAY('Valuation Model'!$B3))</f>
        <v>42369</v>
      </c>
      <c r="J2" s="106">
        <f>DATE(YEAR('Valuation Model'!$B3)+J1,MONTH('Valuation Model'!$B3),DAY('Valuation Model'!$B3))</f>
        <v>42735</v>
      </c>
      <c r="K2" s="106">
        <f>DATE(YEAR('Valuation Model'!$B3)+K1,MONTH('Valuation Model'!$B3),DAY('Valuation Model'!$B3))</f>
        <v>43100</v>
      </c>
    </row>
    <row r="3" spans="1:11">
      <c r="A3" s="1" t="s">
        <v>37</v>
      </c>
      <c r="B3" s="107">
        <v>17970</v>
      </c>
      <c r="C3" s="107">
        <v>14143</v>
      </c>
      <c r="D3" s="107">
        <v>16965</v>
      </c>
      <c r="E3" s="107">
        <v>19557</v>
      </c>
      <c r="F3" s="107">
        <v>20926</v>
      </c>
      <c r="G3" s="107">
        <v>21963</v>
      </c>
      <c r="H3" s="107">
        <v>23988</v>
      </c>
      <c r="I3" s="107">
        <v>21813</v>
      </c>
      <c r="J3" s="107">
        <v>19941</v>
      </c>
      <c r="K3" s="107">
        <v>21240</v>
      </c>
    </row>
    <row r="4" spans="1:11">
      <c r="A4" s="108" t="s">
        <v>131</v>
      </c>
      <c r="B4" s="108"/>
      <c r="C4" s="109">
        <f t="shared" ref="C4:F4" si="0">IFERROR(C3/B3-1,"")</f>
        <v>-0.21296605453533668</v>
      </c>
      <c r="D4" s="109">
        <f t="shared" si="0"/>
        <v>0.1995333380470905</v>
      </c>
      <c r="E4" s="109">
        <f t="shared" si="0"/>
        <v>0.15278514588859426</v>
      </c>
      <c r="F4" s="109">
        <f t="shared" si="0"/>
        <v>7.0000511325867931E-2</v>
      </c>
      <c r="G4" s="109">
        <f>IFERROR(G3/F3-1,"")</f>
        <v>4.9555576794418466E-2</v>
      </c>
      <c r="H4" s="109">
        <f t="shared" ref="H4:K4" si="1">IFERROR(H3/G3-1,"")</f>
        <v>9.2200519054773888E-2</v>
      </c>
      <c r="I4" s="109">
        <f t="shared" si="1"/>
        <v>-9.0670335167583826E-2</v>
      </c>
      <c r="J4" s="109">
        <f t="shared" si="1"/>
        <v>-8.5820382340805912E-2</v>
      </c>
      <c r="K4" s="109">
        <f t="shared" si="1"/>
        <v>6.5142169399729166E-2</v>
      </c>
    </row>
    <row r="5" spans="1:11">
      <c r="A5" s="108" t="s">
        <v>132</v>
      </c>
      <c r="B5" s="108"/>
      <c r="C5" s="108"/>
      <c r="D5" s="108"/>
      <c r="E5" s="109">
        <f>IFERROR(SUM(C3:E3)/SUM(B3:D3)-1,"")</f>
        <v>3.2336281022046443E-2</v>
      </c>
      <c r="F5" s="109">
        <f t="shared" ref="F5:K5" si="2">IFERROR(SUM(D3:F3)/SUM(C3:E3)-1,"")</f>
        <v>0.13387940392776088</v>
      </c>
      <c r="G5" s="109">
        <f t="shared" si="2"/>
        <v>8.7000417769113048E-2</v>
      </c>
      <c r="H5" s="109">
        <f t="shared" si="2"/>
        <v>7.0957307113346024E-2</v>
      </c>
      <c r="I5" s="109">
        <f t="shared" si="2"/>
        <v>1.3263154746773864E-2</v>
      </c>
      <c r="J5" s="109">
        <f t="shared" si="2"/>
        <v>-2.9838852488046741E-2</v>
      </c>
      <c r="K5" s="109">
        <f t="shared" si="2"/>
        <v>-4.1799762708770616E-2</v>
      </c>
    </row>
    <row r="6" spans="1:11">
      <c r="A6" s="108" t="s">
        <v>133</v>
      </c>
      <c r="B6" s="108"/>
      <c r="C6" s="108"/>
      <c r="D6" s="108"/>
      <c r="E6" s="108"/>
      <c r="F6" s="110"/>
      <c r="G6" s="109">
        <f>IFERROR(SUM(C3:G3)/SUM(B3:F3)-1,"")</f>
        <v>4.4584138185147504E-2</v>
      </c>
      <c r="H6" s="109">
        <f t="shared" ref="H6:K6" si="3">IFERROR(SUM(D3:H3)/SUM(C3:G3)-1,"")</f>
        <v>0.1052333411719435</v>
      </c>
      <c r="I6" s="109">
        <f t="shared" si="3"/>
        <v>4.6886333523534995E-2</v>
      </c>
      <c r="J6" s="109">
        <f t="shared" si="3"/>
        <v>3.5474424233465918E-3</v>
      </c>
      <c r="K6" s="109">
        <f t="shared" si="3"/>
        <v>2.8905192808683644E-3</v>
      </c>
    </row>
    <row r="8" spans="1:11" s="9" customFormat="1" ht="14.65" thickBot="1">
      <c r="A8" s="59" t="s">
        <v>134</v>
      </c>
      <c r="B8" s="111">
        <f t="shared" ref="B8:J8" si="4">B2</f>
        <v>39813</v>
      </c>
      <c r="C8" s="111">
        <f t="shared" si="4"/>
        <v>40178</v>
      </c>
      <c r="D8" s="111">
        <f t="shared" si="4"/>
        <v>40543</v>
      </c>
      <c r="E8" s="111">
        <f t="shared" si="4"/>
        <v>40908</v>
      </c>
      <c r="F8" s="111">
        <f t="shared" si="4"/>
        <v>41274</v>
      </c>
      <c r="G8" s="111">
        <f t="shared" si="4"/>
        <v>41639</v>
      </c>
      <c r="H8" s="111">
        <f t="shared" si="4"/>
        <v>42004</v>
      </c>
      <c r="I8" s="111">
        <f t="shared" si="4"/>
        <v>42369</v>
      </c>
      <c r="J8" s="111">
        <f t="shared" si="4"/>
        <v>42735</v>
      </c>
      <c r="K8" s="111">
        <f>K2</f>
        <v>43100</v>
      </c>
    </row>
    <row r="9" spans="1:11">
      <c r="A9" s="112" t="s">
        <v>135</v>
      </c>
      <c r="B9" s="113">
        <v>4044</v>
      </c>
      <c r="C9" s="113">
        <v>3204</v>
      </c>
      <c r="D9" s="113">
        <v>4105</v>
      </c>
      <c r="E9" s="113">
        <v>5873</v>
      </c>
      <c r="F9" s="113">
        <v>6161</v>
      </c>
      <c r="G9" s="113">
        <v>6823</v>
      </c>
      <c r="H9" s="113">
        <v>7525</v>
      </c>
      <c r="I9" s="113">
        <v>7385</v>
      </c>
      <c r="J9" s="113">
        <v>7344</v>
      </c>
      <c r="K9" s="113">
        <v>7230</v>
      </c>
    </row>
    <row r="10" spans="1:11">
      <c r="A10" s="114" t="s">
        <v>136</v>
      </c>
      <c r="B10" s="113">
        <v>-1848</v>
      </c>
      <c r="C10" s="113">
        <v>-1727</v>
      </c>
      <c r="D10" s="113">
        <v>-1803</v>
      </c>
      <c r="E10" s="113">
        <v>-2079</v>
      </c>
      <c r="F10" s="113">
        <v>-2205</v>
      </c>
      <c r="G10" s="113">
        <v>-2315</v>
      </c>
      <c r="H10" s="113">
        <v>-2547</v>
      </c>
      <c r="I10" s="113">
        <v>-2530</v>
      </c>
      <c r="J10" s="113">
        <v>-2346</v>
      </c>
      <c r="K10" s="113">
        <v>-2318</v>
      </c>
    </row>
    <row r="11" spans="1:11">
      <c r="A11" s="115" t="s">
        <v>137</v>
      </c>
      <c r="B11" s="5">
        <f t="shared" ref="B11:K11" si="5">B9+B10</f>
        <v>2196</v>
      </c>
      <c r="C11" s="5">
        <f t="shared" si="5"/>
        <v>1477</v>
      </c>
      <c r="D11" s="5">
        <f t="shared" si="5"/>
        <v>2302</v>
      </c>
      <c r="E11" s="5">
        <f t="shared" si="5"/>
        <v>3794</v>
      </c>
      <c r="F11" s="5">
        <f t="shared" si="5"/>
        <v>3956</v>
      </c>
      <c r="G11" s="5">
        <f t="shared" si="5"/>
        <v>4508</v>
      </c>
      <c r="H11" s="5">
        <f t="shared" si="5"/>
        <v>4978</v>
      </c>
      <c r="I11" s="5">
        <f t="shared" si="5"/>
        <v>4855</v>
      </c>
      <c r="J11" s="5">
        <f t="shared" si="5"/>
        <v>4998</v>
      </c>
      <c r="K11" s="5">
        <f t="shared" si="5"/>
        <v>4912</v>
      </c>
    </row>
    <row r="12" spans="1:11">
      <c r="A12" s="108" t="s">
        <v>127</v>
      </c>
      <c r="B12" s="109">
        <f t="shared" ref="B12:K12" si="6">IFERROR(B11/B$3,"")</f>
        <v>0.12220367278797997</v>
      </c>
      <c r="C12" s="109">
        <f t="shared" si="6"/>
        <v>0.10443328855264088</v>
      </c>
      <c r="D12" s="109">
        <f t="shared" si="6"/>
        <v>0.13569112879457706</v>
      </c>
      <c r="E12" s="109">
        <f t="shared" si="6"/>
        <v>0.19399703430996573</v>
      </c>
      <c r="F12" s="109">
        <f t="shared" si="6"/>
        <v>0.18904711841727995</v>
      </c>
      <c r="G12" s="109">
        <f t="shared" si="6"/>
        <v>0.2052542913081091</v>
      </c>
      <c r="H12" s="109">
        <f t="shared" si="6"/>
        <v>0.20752042688010672</v>
      </c>
      <c r="I12" s="109">
        <f t="shared" si="6"/>
        <v>0.22257369458579745</v>
      </c>
      <c r="J12" s="109">
        <f t="shared" si="6"/>
        <v>0.2506393861892583</v>
      </c>
      <c r="K12" s="109">
        <f t="shared" si="6"/>
        <v>0.23126177024482109</v>
      </c>
    </row>
    <row r="13" spans="1:11">
      <c r="A13" s="108" t="s">
        <v>138</v>
      </c>
      <c r="B13" s="108"/>
      <c r="C13" s="109">
        <f t="shared" ref="C13:F13" si="7">IFERROR(C11/B11-1,"")</f>
        <v>-0.32741347905282336</v>
      </c>
      <c r="D13" s="109">
        <f t="shared" si="7"/>
        <v>0.55856465809072442</v>
      </c>
      <c r="E13" s="109">
        <f t="shared" si="7"/>
        <v>0.6481320590790618</v>
      </c>
      <c r="F13" s="109">
        <f t="shared" si="7"/>
        <v>4.2698998418555512E-2</v>
      </c>
      <c r="G13" s="109">
        <f>IFERROR(G11/F11-1,"")</f>
        <v>0.13953488372093026</v>
      </c>
      <c r="H13" s="109">
        <f t="shared" ref="H13:K13" si="8">IFERROR(H11/G11-1,"")</f>
        <v>0.10425909494232477</v>
      </c>
      <c r="I13" s="109">
        <f t="shared" si="8"/>
        <v>-2.4708718360787474E-2</v>
      </c>
      <c r="J13" s="109">
        <f t="shared" si="8"/>
        <v>2.9454170957775583E-2</v>
      </c>
      <c r="K13" s="109">
        <f t="shared" si="8"/>
        <v>-1.7206882753101227E-2</v>
      </c>
    </row>
    <row r="14" spans="1:11">
      <c r="A14" s="108" t="s">
        <v>139</v>
      </c>
      <c r="B14" s="108"/>
      <c r="C14" s="108"/>
      <c r="D14" s="108"/>
      <c r="E14" s="109">
        <f>IFERROR(SUM(C11:E11)/SUM(B11:D11)-1,"")</f>
        <v>0.26744769874476981</v>
      </c>
      <c r="F14" s="109">
        <f t="shared" ref="F14:K14" si="9">IFERROR(SUM(D11:F11)/SUM(C11:E11)-1,"")</f>
        <v>0.3273471543641886</v>
      </c>
      <c r="G14" s="109">
        <f t="shared" si="9"/>
        <v>0.21945881416633495</v>
      </c>
      <c r="H14" s="109">
        <f t="shared" si="9"/>
        <v>9.6589982052537104E-2</v>
      </c>
      <c r="I14" s="109">
        <f t="shared" si="9"/>
        <v>6.6879928582056269E-2</v>
      </c>
      <c r="J14" s="109">
        <f t="shared" si="9"/>
        <v>3.4167770727285385E-2</v>
      </c>
      <c r="K14" s="109">
        <f t="shared" si="9"/>
        <v>-4.4501382239903187E-3</v>
      </c>
    </row>
    <row r="15" spans="1:11">
      <c r="A15" s="108" t="s">
        <v>133</v>
      </c>
      <c r="B15" s="108"/>
      <c r="C15" s="108"/>
      <c r="D15" s="108"/>
      <c r="E15" s="108"/>
      <c r="F15" s="109"/>
      <c r="G15" s="109">
        <f>IFERROR(SUM(C11:G11)/SUM(B11:F11)-1,"")</f>
        <v>0.16845173041894346</v>
      </c>
      <c r="H15" s="109">
        <f t="shared" ref="H15:K15" si="10">IFERROR(SUM(D11:H11)/SUM(C11:G11)-1,"")</f>
        <v>0.21830766352809139</v>
      </c>
      <c r="I15" s="109">
        <f t="shared" si="10"/>
        <v>0.13066844098679486</v>
      </c>
      <c r="J15" s="109">
        <f t="shared" si="10"/>
        <v>5.4501833325788729E-2</v>
      </c>
      <c r="K15" s="109">
        <f t="shared" si="10"/>
        <v>4.1038849538527655E-2</v>
      </c>
    </row>
    <row r="16" spans="1:11" s="9" customFormat="1">
      <c r="A16"/>
      <c r="B16"/>
      <c r="C16"/>
      <c r="D16"/>
      <c r="E16"/>
      <c r="F16"/>
      <c r="G16"/>
      <c r="H16"/>
      <c r="I16"/>
      <c r="J16"/>
      <c r="K16"/>
    </row>
    <row r="17" spans="1:16" s="9" customFormat="1" ht="14.65" thickBot="1">
      <c r="A17" s="59" t="s">
        <v>140</v>
      </c>
      <c r="B17" s="111">
        <f t="shared" ref="B17:J17" si="11">B2</f>
        <v>39813</v>
      </c>
      <c r="C17" s="111">
        <f t="shared" si="11"/>
        <v>40178</v>
      </c>
      <c r="D17" s="111">
        <f t="shared" si="11"/>
        <v>40543</v>
      </c>
      <c r="E17" s="111">
        <f t="shared" si="11"/>
        <v>40908</v>
      </c>
      <c r="F17" s="111">
        <f t="shared" si="11"/>
        <v>41274</v>
      </c>
      <c r="G17" s="111">
        <f t="shared" si="11"/>
        <v>41639</v>
      </c>
      <c r="H17" s="111">
        <f t="shared" si="11"/>
        <v>42004</v>
      </c>
      <c r="I17" s="111">
        <f t="shared" si="11"/>
        <v>42369</v>
      </c>
      <c r="J17" s="111">
        <f t="shared" si="11"/>
        <v>42735</v>
      </c>
      <c r="K17" s="111">
        <f>K2</f>
        <v>43100</v>
      </c>
    </row>
    <row r="18" spans="1:16">
      <c r="A18" s="112" t="s">
        <v>141</v>
      </c>
      <c r="B18" s="113">
        <v>-3142</v>
      </c>
      <c r="C18" s="113">
        <v>-2454</v>
      </c>
      <c r="D18" s="113">
        <v>-2482</v>
      </c>
      <c r="E18" s="113">
        <v>-3261</v>
      </c>
      <c r="F18" s="113">
        <v>-4012</v>
      </c>
      <c r="G18" s="113">
        <v>-3496</v>
      </c>
      <c r="H18" s="113">
        <v>-4346</v>
      </c>
      <c r="I18" s="113">
        <v>-4650</v>
      </c>
      <c r="J18" s="113">
        <v>-3505</v>
      </c>
      <c r="K18" s="113">
        <v>-3238</v>
      </c>
    </row>
    <row r="19" spans="1:16" s="117" customFormat="1">
      <c r="A19" s="114" t="s">
        <v>178</v>
      </c>
      <c r="B19" s="116">
        <f t="shared" ref="B19:K19" si="12">B18-B10</f>
        <v>-1294</v>
      </c>
      <c r="C19" s="116">
        <f t="shared" si="12"/>
        <v>-727</v>
      </c>
      <c r="D19" s="116">
        <f t="shared" si="12"/>
        <v>-679</v>
      </c>
      <c r="E19" s="116">
        <f t="shared" si="12"/>
        <v>-1182</v>
      </c>
      <c r="F19" s="116">
        <f t="shared" si="12"/>
        <v>-1807</v>
      </c>
      <c r="G19" s="116">
        <f t="shared" si="12"/>
        <v>-1181</v>
      </c>
      <c r="H19" s="116">
        <f t="shared" si="12"/>
        <v>-1799</v>
      </c>
      <c r="I19" s="116">
        <f t="shared" si="12"/>
        <v>-2120</v>
      </c>
      <c r="J19" s="116">
        <f t="shared" si="12"/>
        <v>-1159</v>
      </c>
      <c r="K19" s="116">
        <f t="shared" si="12"/>
        <v>-920</v>
      </c>
    </row>
    <row r="20" spans="1:16" s="117" customFormat="1">
      <c r="A20" s="114" t="s">
        <v>142</v>
      </c>
      <c r="B20" s="113">
        <v>122</v>
      </c>
      <c r="C20" s="113">
        <v>93</v>
      </c>
      <c r="D20" s="113">
        <v>187</v>
      </c>
      <c r="E20" s="113">
        <v>67</v>
      </c>
      <c r="F20" s="113">
        <v>108</v>
      </c>
      <c r="G20" s="113">
        <v>80</v>
      </c>
      <c r="H20" s="113">
        <v>98</v>
      </c>
      <c r="I20" s="113">
        <v>138</v>
      </c>
      <c r="J20" s="113">
        <v>129</v>
      </c>
      <c r="K20" s="113">
        <v>168</v>
      </c>
    </row>
    <row r="21" spans="1:16" s="117" customFormat="1">
      <c r="A21" s="114" t="s">
        <v>143</v>
      </c>
      <c r="B21" s="113">
        <v>0</v>
      </c>
      <c r="C21" s="113">
        <v>0</v>
      </c>
      <c r="D21" s="113">
        <v>0</v>
      </c>
      <c r="E21" s="113">
        <v>0</v>
      </c>
      <c r="F21" s="113">
        <v>0</v>
      </c>
      <c r="G21" s="113">
        <v>0</v>
      </c>
      <c r="H21" s="113">
        <v>0</v>
      </c>
      <c r="I21" s="113">
        <v>0</v>
      </c>
      <c r="J21" s="113">
        <v>0</v>
      </c>
      <c r="K21" s="113">
        <v>0</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33.1717194111</v>
      </c>
      <c r="C24" s="119">
        <v>26.6213492063</v>
      </c>
      <c r="D24" s="119">
        <v>38.2781845238</v>
      </c>
      <c r="E24" s="119">
        <v>48.481746031699998</v>
      </c>
      <c r="F24" s="119">
        <v>58.356635199999999</v>
      </c>
      <c r="G24" s="119">
        <v>75.412143452400002</v>
      </c>
      <c r="H24" s="119">
        <v>100.368025362</v>
      </c>
      <c r="I24" s="119">
        <v>99.436904761899996</v>
      </c>
      <c r="J24" s="119">
        <v>88.520198412698434</v>
      </c>
      <c r="K24" s="119">
        <v>110.9</v>
      </c>
    </row>
    <row r="25" spans="1:16">
      <c r="A25" s="120" t="s">
        <v>146</v>
      </c>
      <c r="B25" s="121">
        <v>3.7</v>
      </c>
      <c r="C25" s="121">
        <v>6.8</v>
      </c>
      <c r="D25" s="121">
        <v>3.2</v>
      </c>
      <c r="E25" s="121">
        <v>3.1</v>
      </c>
      <c r="F25" s="121">
        <v>2.4</v>
      </c>
      <c r="G25" s="121">
        <v>2</v>
      </c>
      <c r="H25" s="121">
        <v>3.4</v>
      </c>
      <c r="I25" s="121">
        <v>1.1000000000000001</v>
      </c>
      <c r="J25" s="121">
        <v>1.7</v>
      </c>
      <c r="K25" s="121">
        <v>1.5</v>
      </c>
      <c r="M25" s="17"/>
      <c r="N25" s="18"/>
      <c r="O25" s="18"/>
      <c r="P25" s="18"/>
    </row>
    <row r="26" spans="1:16">
      <c r="A26" s="122" t="s">
        <v>147</v>
      </c>
      <c r="B26" s="123">
        <v>0</v>
      </c>
      <c r="C26" s="123">
        <v>0</v>
      </c>
      <c r="D26" s="123">
        <v>0</v>
      </c>
      <c r="E26" s="123">
        <v>0</v>
      </c>
      <c r="F26" s="123">
        <v>0</v>
      </c>
      <c r="G26" s="123">
        <v>0</v>
      </c>
      <c r="H26" s="123">
        <v>0</v>
      </c>
      <c r="I26" s="123">
        <v>0</v>
      </c>
      <c r="J26" s="123">
        <v>0</v>
      </c>
      <c r="K26" s="123">
        <v>0</v>
      </c>
    </row>
    <row r="27" spans="1:16">
      <c r="A27" s="112" t="s">
        <v>148</v>
      </c>
      <c r="B27" s="124">
        <f t="shared" ref="B27:E27" si="13">-B24*B25+B26</f>
        <v>-122.73536182107</v>
      </c>
      <c r="C27" s="124">
        <f t="shared" si="13"/>
        <v>-181.02517460284</v>
      </c>
      <c r="D27" s="124">
        <f t="shared" si="13"/>
        <v>-122.49019047616001</v>
      </c>
      <c r="E27" s="124">
        <f t="shared" si="13"/>
        <v>-150.29341269827</v>
      </c>
      <c r="F27" s="124">
        <f>-F24*F25+F26</f>
        <v>-140.05592447999999</v>
      </c>
      <c r="G27" s="124">
        <f t="shared" ref="G27:K27" si="14">-G24*G25+G26</f>
        <v>-150.8242869048</v>
      </c>
      <c r="H27" s="124">
        <f t="shared" si="14"/>
        <v>-341.25128623079996</v>
      </c>
      <c r="I27" s="124">
        <f t="shared" si="14"/>
        <v>-109.38059523809001</v>
      </c>
      <c r="J27" s="124">
        <f t="shared" si="14"/>
        <v>-150.48433730158735</v>
      </c>
      <c r="K27" s="124">
        <f t="shared" si="14"/>
        <v>-166.35000000000002</v>
      </c>
    </row>
    <row r="28" spans="1:16">
      <c r="A28" s="1" t="s">
        <v>149</v>
      </c>
      <c r="B28" s="5">
        <f>B19+B20+B21+B22+B23+B27</f>
        <v>-1294.73536182107</v>
      </c>
      <c r="C28" s="5">
        <f t="shared" ref="C28:K28" si="15">C19+C20+C21+C22+C23+C27</f>
        <v>-815.02517460284002</v>
      </c>
      <c r="D28" s="5">
        <f t="shared" si="15"/>
        <v>-614.49019047616002</v>
      </c>
      <c r="E28" s="5">
        <f t="shared" si="15"/>
        <v>-1265.29341269827</v>
      </c>
      <c r="F28" s="5">
        <f t="shared" si="15"/>
        <v>-1839.0559244799999</v>
      </c>
      <c r="G28" s="5">
        <f t="shared" si="15"/>
        <v>-1251.8242869047999</v>
      </c>
      <c r="H28" s="5">
        <f t="shared" si="15"/>
        <v>-2042.2512862307999</v>
      </c>
      <c r="I28" s="5">
        <f t="shared" si="15"/>
        <v>-2091.3805952380899</v>
      </c>
      <c r="J28" s="5">
        <f t="shared" si="15"/>
        <v>-1180.4843373015874</v>
      </c>
      <c r="K28" s="5">
        <f t="shared" si="15"/>
        <v>-918.35</v>
      </c>
    </row>
    <row r="29" spans="1:16">
      <c r="A29" s="108" t="s">
        <v>150</v>
      </c>
      <c r="B29" s="109">
        <f t="shared" ref="B29:E29" si="16">IFERROR(-B28/B11,"")</f>
        <v>0.58958805183108831</v>
      </c>
      <c r="C29" s="109">
        <f t="shared" si="16"/>
        <v>0.55181122180287068</v>
      </c>
      <c r="D29" s="109">
        <f t="shared" si="16"/>
        <v>0.26693752844316249</v>
      </c>
      <c r="E29" s="109">
        <f t="shared" si="16"/>
        <v>0.3334985273321745</v>
      </c>
      <c r="F29" s="109">
        <f>IFERROR(-F28/F11,"")</f>
        <v>0.46487763510616781</v>
      </c>
      <c r="G29" s="109">
        <f t="shared" ref="G29:K29" si="17">IFERROR(-G28/G11,"")</f>
        <v>0.27768950463726705</v>
      </c>
      <c r="H29" s="109">
        <f t="shared" si="17"/>
        <v>0.41025538092221775</v>
      </c>
      <c r="I29" s="109">
        <f t="shared" si="17"/>
        <v>0.43076840272669203</v>
      </c>
      <c r="J29" s="109">
        <f t="shared" si="17"/>
        <v>0.23619134399791664</v>
      </c>
      <c r="K29" s="109">
        <f t="shared" si="17"/>
        <v>0.1869605048859935</v>
      </c>
    </row>
    <row r="31" spans="1:16" s="9" customFormat="1" ht="14.65" thickBot="1">
      <c r="A31" s="59" t="s">
        <v>151</v>
      </c>
      <c r="B31" s="111">
        <f t="shared" ref="B31:J31" si="18">B2</f>
        <v>39813</v>
      </c>
      <c r="C31" s="111">
        <f t="shared" si="18"/>
        <v>40178</v>
      </c>
      <c r="D31" s="111">
        <f t="shared" si="18"/>
        <v>40543</v>
      </c>
      <c r="E31" s="111">
        <f t="shared" si="18"/>
        <v>40908</v>
      </c>
      <c r="F31" s="111">
        <f t="shared" si="18"/>
        <v>41274</v>
      </c>
      <c r="G31" s="111">
        <f t="shared" si="18"/>
        <v>41639</v>
      </c>
      <c r="H31" s="111">
        <f t="shared" si="18"/>
        <v>42004</v>
      </c>
      <c r="I31" s="111">
        <f t="shared" si="18"/>
        <v>42369</v>
      </c>
      <c r="J31" s="111">
        <f t="shared" si="18"/>
        <v>42735</v>
      </c>
      <c r="K31" s="111">
        <f>K2</f>
        <v>43100</v>
      </c>
    </row>
    <row r="32" spans="1:16" ht="14.65" thickBot="1">
      <c r="A32" s="125" t="s">
        <v>152</v>
      </c>
      <c r="B32" s="4">
        <f t="shared" ref="B32:K32" si="19">B11+B28</f>
        <v>901.26463817893</v>
      </c>
      <c r="C32" s="4">
        <f t="shared" si="19"/>
        <v>661.97482539715998</v>
      </c>
      <c r="D32" s="4">
        <f t="shared" si="19"/>
        <v>1687.50980952384</v>
      </c>
      <c r="E32" s="4">
        <f t="shared" si="19"/>
        <v>2528.70658730173</v>
      </c>
      <c r="F32" s="4">
        <f t="shared" si="19"/>
        <v>2116.9440755200003</v>
      </c>
      <c r="G32" s="4">
        <f t="shared" si="19"/>
        <v>3256.1757130952001</v>
      </c>
      <c r="H32" s="4">
        <f t="shared" si="19"/>
        <v>2935.7487137692001</v>
      </c>
      <c r="I32" s="4">
        <f t="shared" si="19"/>
        <v>2763.6194047619101</v>
      </c>
      <c r="J32" s="4">
        <f t="shared" si="19"/>
        <v>3817.5156626984126</v>
      </c>
      <c r="K32" s="4">
        <f t="shared" si="19"/>
        <v>3993.65</v>
      </c>
    </row>
    <row r="33" spans="1:11" ht="14.65" thickTop="1">
      <c r="A33" s="108" t="s">
        <v>128</v>
      </c>
      <c r="B33" s="109">
        <f t="shared" ref="B33:K33" si="20">IFERROR(B32/B$3,"")</f>
        <v>5.0153847422311076E-2</v>
      </c>
      <c r="C33" s="109">
        <f t="shared" si="20"/>
        <v>4.6805827999516367E-2</v>
      </c>
      <c r="D33" s="109">
        <f t="shared" si="20"/>
        <v>9.9470074242489825E-2</v>
      </c>
      <c r="E33" s="109">
        <f t="shared" si="20"/>
        <v>0.12929930906078285</v>
      </c>
      <c r="F33" s="109">
        <f t="shared" si="20"/>
        <v>0.10116334108381919</v>
      </c>
      <c r="G33" s="109">
        <f t="shared" si="20"/>
        <v>0.14825732883008697</v>
      </c>
      <c r="H33" s="109">
        <f t="shared" si="20"/>
        <v>0.12238405510126731</v>
      </c>
      <c r="I33" s="109">
        <f t="shared" si="20"/>
        <v>0.12669597968009491</v>
      </c>
      <c r="J33" s="109">
        <f t="shared" si="20"/>
        <v>0.19144053270640451</v>
      </c>
      <c r="K33" s="109">
        <f t="shared" si="20"/>
        <v>0.18802495291902072</v>
      </c>
    </row>
    <row r="34" spans="1:11">
      <c r="A34" s="108" t="s">
        <v>138</v>
      </c>
      <c r="B34" s="108"/>
      <c r="C34" s="109">
        <f t="shared" ref="C34:F34" si="21">IFERROR(C32/B32-1,"")</f>
        <v>-0.2655044951783222</v>
      </c>
      <c r="D34" s="109">
        <f t="shared" si="21"/>
        <v>1.5492054150418753</v>
      </c>
      <c r="E34" s="109">
        <f t="shared" si="21"/>
        <v>0.49848408171046321</v>
      </c>
      <c r="F34" s="109">
        <f t="shared" si="21"/>
        <v>-0.16283522724599819</v>
      </c>
      <c r="G34" s="109">
        <f>IFERROR(G32/F32-1,"")</f>
        <v>0.5381491418451203</v>
      </c>
      <c r="H34" s="109">
        <f t="shared" ref="H34:K34" si="22">IFERROR(H32/G32-1,"")</f>
        <v>-9.8405930010888154E-2</v>
      </c>
      <c r="I34" s="109">
        <f t="shared" si="22"/>
        <v>-5.8632167051618556E-2</v>
      </c>
      <c r="J34" s="109">
        <f t="shared" si="22"/>
        <v>0.3813463808079236</v>
      </c>
      <c r="K34" s="109">
        <f t="shared" si="22"/>
        <v>4.613847142072669E-2</v>
      </c>
    </row>
    <row r="35" spans="1:11">
      <c r="A35" s="108" t="s">
        <v>139</v>
      </c>
      <c r="B35" s="108"/>
      <c r="C35" s="108"/>
      <c r="D35" s="108"/>
      <c r="E35" s="109">
        <f>IFERROR(SUM(C32:E32)/SUM(B32:D32)-1,"")</f>
        <v>0.5006359495609034</v>
      </c>
      <c r="F35" s="109">
        <f t="shared" ref="F35" si="23">IFERROR(SUM(D32:F32)/SUM(C32:E32)-1,"")</f>
        <v>0.29825998691783306</v>
      </c>
      <c r="G35" s="109">
        <f t="shared" ref="G35:K35" si="24">IFERROR(SUM(E32:G32)/SUM(D32:F32)-1,"")</f>
        <v>0.24769085047206829</v>
      </c>
      <c r="H35" s="109">
        <f t="shared" si="24"/>
        <v>5.1512410815308218E-2</v>
      </c>
      <c r="I35" s="109">
        <f t="shared" si="24"/>
        <v>7.7829529863943758E-2</v>
      </c>
      <c r="J35" s="109">
        <f t="shared" si="24"/>
        <v>6.2680721590670396E-2</v>
      </c>
      <c r="K35" s="109">
        <f t="shared" si="24"/>
        <v>0.11116047127919471</v>
      </c>
    </row>
    <row r="36" spans="1:11">
      <c r="A36" s="108" t="s">
        <v>133</v>
      </c>
      <c r="B36" s="108"/>
      <c r="C36" s="108"/>
      <c r="D36" s="108"/>
      <c r="E36" s="108"/>
      <c r="F36" s="109"/>
      <c r="G36" s="109">
        <f>IFERROR(SUM(C32:G32)/SUM(B32:F32)-1,"")</f>
        <v>0.29822591231777662</v>
      </c>
      <c r="H36" s="109">
        <f t="shared" ref="H36" si="25">IFERROR(SUM(D32:H32)/SUM(C32:G32)-1,"")</f>
        <v>0.22180322945700826</v>
      </c>
      <c r="I36" s="109">
        <f t="shared" ref="I36:K36" si="26">IFERROR(SUM(E32:I32)/SUM(D32:H32)-1,"")</f>
        <v>8.5916351377861355E-2</v>
      </c>
      <c r="J36" s="109">
        <f t="shared" si="26"/>
        <v>9.4757050634249218E-2</v>
      </c>
      <c r="K36" s="109">
        <f t="shared" si="26"/>
        <v>0.12603797679946238</v>
      </c>
    </row>
    <row r="38" spans="1:11" s="9" customFormat="1" ht="14.65" thickBot="1">
      <c r="A38" s="59" t="s">
        <v>153</v>
      </c>
      <c r="B38" s="126">
        <f t="shared" ref="B38:E38" si="27">B2</f>
        <v>39813</v>
      </c>
      <c r="C38" s="126">
        <f t="shared" si="27"/>
        <v>40178</v>
      </c>
      <c r="D38" s="126">
        <f t="shared" si="27"/>
        <v>40543</v>
      </c>
      <c r="E38" s="126">
        <f t="shared" si="27"/>
        <v>40908</v>
      </c>
      <c r="F38" s="126">
        <f>F2</f>
        <v>41274</v>
      </c>
      <c r="G38" s="126">
        <f t="shared" ref="G38:K38" si="28">G2</f>
        <v>41639</v>
      </c>
      <c r="H38" s="126">
        <f t="shared" si="28"/>
        <v>42004</v>
      </c>
      <c r="I38" s="126">
        <f t="shared" si="28"/>
        <v>42369</v>
      </c>
      <c r="J38" s="126">
        <f t="shared" si="28"/>
        <v>42735</v>
      </c>
      <c r="K38" s="126">
        <f t="shared" si="28"/>
        <v>43100</v>
      </c>
    </row>
    <row r="39" spans="1:11" s="117" customFormat="1" ht="14.65" thickBot="1">
      <c r="A39" s="127" t="s">
        <v>154</v>
      </c>
      <c r="B39" s="128">
        <f>VLOOKUP(B38,'GDP Data'!$A$2:$B$62,2,TRUE)</f>
        <v>14549.9</v>
      </c>
      <c r="C39" s="128">
        <f>VLOOKUP(C38,'GDP Data'!$A$2:$B$62,2,TRUE)</f>
        <v>14566.5</v>
      </c>
      <c r="D39" s="128">
        <f>VLOOKUP(D38,'GDP Data'!$A$2:$B$62,2,TRUE)</f>
        <v>15230.2</v>
      </c>
      <c r="E39" s="128">
        <f>VLOOKUP(E38,'GDP Data'!$A$2:$B$62,2,TRUE)</f>
        <v>15785.3</v>
      </c>
      <c r="F39" s="128">
        <f>VLOOKUP(F38,'GDP Data'!$A$2:$B$62,2,TRUE)</f>
        <v>16332.5</v>
      </c>
      <c r="G39" s="128">
        <f>VLOOKUP(G38,'GDP Data'!$A$2:$B$62,2,TRUE)</f>
        <v>17078.3</v>
      </c>
      <c r="H39" s="128">
        <f>VLOOKUP(H38,'GDP Data'!$A$2:$B$62,2,TRUE)</f>
        <v>17703.7</v>
      </c>
      <c r="I39" s="128">
        <f>VLOOKUP(I38,'GDP Data'!$A$2:$B$62,2,TRUE)</f>
        <v>17665</v>
      </c>
      <c r="J39" s="128">
        <f>VLOOKUP(J38,'GDP Data'!$A$2:$B$62,2,TRUE)</f>
        <v>17665</v>
      </c>
      <c r="K39" s="128">
        <f>VLOOKUP(K38,'GDP Data'!$A$2:$B$62,2,TRUE)</f>
        <v>17665</v>
      </c>
    </row>
    <row r="40" spans="1:11">
      <c r="A40" t="s">
        <v>155</v>
      </c>
      <c r="C40" s="129">
        <f t="shared" ref="C40" si="29">C39/B39-1</f>
        <v>1.1409013120364797E-3</v>
      </c>
      <c r="D40" s="129">
        <f t="shared" ref="D40" si="30">D39/C39-1</f>
        <v>4.5563450382727577E-2</v>
      </c>
      <c r="E40" s="129">
        <f t="shared" ref="E40:F40" si="31">E39/D39-1</f>
        <v>3.6447321768591223E-2</v>
      </c>
      <c r="F40" s="129">
        <f t="shared" si="31"/>
        <v>3.4665163158128287E-2</v>
      </c>
      <c r="G40" s="129">
        <f>G39/F39-1</f>
        <v>4.5663554262972639E-2</v>
      </c>
      <c r="H40" s="129">
        <f t="shared" ref="H40:K40" si="32">H39/G39-1</f>
        <v>3.6619569863511003E-2</v>
      </c>
      <c r="I40" s="129">
        <f t="shared" si="32"/>
        <v>-2.1859837209171618E-3</v>
      </c>
      <c r="J40" s="129">
        <f t="shared" si="32"/>
        <v>0</v>
      </c>
      <c r="K40" s="129">
        <f t="shared" si="32"/>
        <v>0</v>
      </c>
    </row>
    <row r="41" spans="1:11">
      <c r="A41" s="130" t="s">
        <v>156</v>
      </c>
      <c r="B41" s="130"/>
      <c r="C41" s="131">
        <f t="shared" ref="C41:F41" si="33">C13</f>
        <v>-0.32741347905282336</v>
      </c>
      <c r="D41" s="131">
        <f t="shared" si="33"/>
        <v>0.55856465809072442</v>
      </c>
      <c r="E41" s="131">
        <f t="shared" si="33"/>
        <v>0.6481320590790618</v>
      </c>
      <c r="F41" s="131">
        <f t="shared" si="33"/>
        <v>4.2698998418555512E-2</v>
      </c>
      <c r="G41" s="131">
        <f>G13</f>
        <v>0.13953488372093026</v>
      </c>
      <c r="H41" s="131">
        <f t="shared" ref="H41:K41" si="34">H13</f>
        <v>0.10425909494232477</v>
      </c>
      <c r="I41" s="131">
        <f t="shared" si="34"/>
        <v>-2.4708718360787474E-2</v>
      </c>
      <c r="J41" s="131">
        <f t="shared" si="34"/>
        <v>2.9454170957775583E-2</v>
      </c>
      <c r="K41" s="131">
        <f t="shared" si="34"/>
        <v>-1.7206882753101227E-2</v>
      </c>
    </row>
    <row r="42" spans="1:11">
      <c r="A42" t="s">
        <v>157</v>
      </c>
      <c r="D42" s="132"/>
      <c r="E42" s="132">
        <f t="shared" ref="E42" si="35">SUM(C39:E39)/SUM(B39:D39)-1</f>
        <v>2.7857829010566659E-2</v>
      </c>
      <c r="F42" s="132">
        <f t="shared" ref="F42" si="36">SUM(D39:F39)/SUM(C39:E39)-1</f>
        <v>3.8743363608441994E-2</v>
      </c>
      <c r="G42" s="132">
        <f t="shared" ref="G42:J42" si="37">SUM(E39:G39)/SUM(D39:F39)-1</f>
        <v>3.9032271690462084E-2</v>
      </c>
      <c r="H42" s="132">
        <f t="shared" si="37"/>
        <v>3.8994960982679627E-2</v>
      </c>
      <c r="I42" s="132">
        <f t="shared" si="37"/>
        <v>2.606892369092928E-2</v>
      </c>
      <c r="J42" s="132">
        <f t="shared" si="37"/>
        <v>1.1186531164794955E-2</v>
      </c>
      <c r="K42" s="132">
        <f>SUM(I39:K39)/SUM(H39:J39)-1</f>
        <v>-7.2972468449306049E-4</v>
      </c>
    </row>
    <row r="43" spans="1:11">
      <c r="A43" s="130" t="s">
        <v>158</v>
      </c>
      <c r="B43" s="130"/>
      <c r="C43" s="130"/>
      <c r="D43" s="131"/>
      <c r="E43" s="131">
        <f t="shared" ref="E43:J43" si="38">E14</f>
        <v>0.26744769874476981</v>
      </c>
      <c r="F43" s="131">
        <f t="shared" si="38"/>
        <v>0.3273471543641886</v>
      </c>
      <c r="G43" s="131">
        <f t="shared" si="38"/>
        <v>0.21945881416633495</v>
      </c>
      <c r="H43" s="131">
        <f t="shared" si="38"/>
        <v>9.6589982052537104E-2</v>
      </c>
      <c r="I43" s="131">
        <f t="shared" si="38"/>
        <v>6.6879928582056269E-2</v>
      </c>
      <c r="J43" s="131">
        <f t="shared" si="38"/>
        <v>3.4167770727285385E-2</v>
      </c>
      <c r="K43" s="131">
        <f>K14</f>
        <v>-4.4501382239903187E-3</v>
      </c>
    </row>
    <row r="44" spans="1:11">
      <c r="A44" t="s">
        <v>159</v>
      </c>
      <c r="G44" s="132">
        <f t="shared" ref="G44:J44" si="39">SUM(C39:G39)/SUM(B39:F39)-1</f>
        <v>3.3066368139944791E-2</v>
      </c>
      <c r="H44" s="132">
        <f t="shared" si="39"/>
        <v>3.9715012001093841E-2</v>
      </c>
      <c r="I44" s="132">
        <f t="shared" si="39"/>
        <v>2.9645683672226975E-2</v>
      </c>
      <c r="J44" s="132">
        <f t="shared" si="39"/>
        <v>2.2227924621119E-2</v>
      </c>
      <c r="K44" s="132">
        <f>SUM(G39:K39)/SUM(F39:J39)-1</f>
        <v>1.5414514515093458E-2</v>
      </c>
    </row>
    <row r="45" spans="1:11">
      <c r="A45" s="130" t="s">
        <v>160</v>
      </c>
      <c r="B45" s="130"/>
      <c r="C45" s="130"/>
      <c r="D45" s="130"/>
      <c r="E45" s="131"/>
      <c r="F45" s="131"/>
      <c r="G45" s="131">
        <f t="shared" ref="G45:J45" si="40">G15</f>
        <v>0.16845173041894346</v>
      </c>
      <c r="H45" s="131">
        <f t="shared" si="40"/>
        <v>0.21830766352809139</v>
      </c>
      <c r="I45" s="131">
        <f t="shared" si="40"/>
        <v>0.13066844098679486</v>
      </c>
      <c r="J45" s="131">
        <f t="shared" si="40"/>
        <v>5.4501833325788729E-2</v>
      </c>
      <c r="K45" s="131">
        <f>K15</f>
        <v>4.1038849538527655E-2</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D28" sqref="D28"/>
    </sheetView>
  </sheetViews>
  <sheetFormatPr defaultRowHeight="14.25"/>
  <cols>
    <col min="1" max="1" width="37.3984375" bestFit="1" customWidth="1"/>
    <col min="12" max="12" width="9.59765625" bestFit="1" customWidth="1"/>
  </cols>
  <sheetData>
    <row r="1" spans="1:16">
      <c r="A1" s="10" t="s">
        <v>37</v>
      </c>
      <c r="B1" s="134">
        <f>'Company Analysis'!B2</f>
        <v>39813</v>
      </c>
      <c r="C1" s="134">
        <f>'Company Analysis'!C2</f>
        <v>40178</v>
      </c>
      <c r="D1" s="134">
        <f>'Company Analysis'!D2</f>
        <v>40543</v>
      </c>
      <c r="E1" s="134">
        <f>'Company Analysis'!E2</f>
        <v>40908</v>
      </c>
      <c r="F1" s="134">
        <f>'Company Analysis'!F2</f>
        <v>41274</v>
      </c>
      <c r="G1" s="134">
        <f>'Company Analysis'!G2</f>
        <v>41639</v>
      </c>
      <c r="H1" s="134">
        <f>'Company Analysis'!H2</f>
        <v>42004</v>
      </c>
      <c r="I1" s="134">
        <f>'Company Analysis'!I2</f>
        <v>42369</v>
      </c>
      <c r="J1" s="134">
        <f>'Company Analysis'!J2</f>
        <v>42735</v>
      </c>
      <c r="K1" s="134">
        <f>'Company Analysis'!K2</f>
        <v>43100</v>
      </c>
      <c r="L1" s="134">
        <f>'Graphing Data'!K1+365</f>
        <v>43465</v>
      </c>
      <c r="M1" s="134">
        <f>'Graphing Data'!L1+365</f>
        <v>43830</v>
      </c>
      <c r="N1" s="134">
        <f>'Graphing Data'!M1+365</f>
        <v>44195</v>
      </c>
      <c r="O1" s="134">
        <f>'Graphing Data'!N1+365</f>
        <v>44560</v>
      </c>
      <c r="P1" s="134">
        <f>'Graphing Data'!O1+365</f>
        <v>44925</v>
      </c>
    </row>
    <row r="2" spans="1:16">
      <c r="A2" t="s">
        <v>163</v>
      </c>
      <c r="B2" s="17">
        <f>'Company Analysis'!B3</f>
        <v>17970</v>
      </c>
      <c r="C2" s="17">
        <f>'Company Analysis'!C3</f>
        <v>14143</v>
      </c>
      <c r="D2" s="17">
        <f>'Company Analysis'!D3</f>
        <v>16965</v>
      </c>
      <c r="E2" s="17">
        <f>'Company Analysis'!E3</f>
        <v>19557</v>
      </c>
      <c r="F2" s="17">
        <f>'Company Analysis'!F3</f>
        <v>20926</v>
      </c>
      <c r="G2" s="17">
        <f>'Company Analysis'!G3</f>
        <v>21963</v>
      </c>
      <c r="H2" s="17">
        <f>'Company Analysis'!H3</f>
        <v>23988</v>
      </c>
      <c r="I2" s="17">
        <f>'Company Analysis'!I3</f>
        <v>21813</v>
      </c>
      <c r="J2" s="17">
        <f>'Company Analysis'!J3</f>
        <v>19941</v>
      </c>
      <c r="K2" s="17">
        <f>'Company Analysis'!K3</f>
        <v>21240</v>
      </c>
      <c r="L2" s="17"/>
      <c r="M2" s="17"/>
      <c r="N2" s="17"/>
      <c r="O2" s="17"/>
      <c r="P2" s="17"/>
    </row>
    <row r="3" spans="1:16">
      <c r="A3" t="s">
        <v>164</v>
      </c>
      <c r="L3" s="17">
        <f>$K$2*(1+'Valuation Model'!C8)</f>
        <v>23068.678200855309</v>
      </c>
      <c r="M3" s="17">
        <f>L3*(1+'Valuation Model'!D8)</f>
        <v>25680.719667666992</v>
      </c>
      <c r="N3" s="17">
        <f>M3*(1+'Valuation Model'!E8)</f>
        <v>27089.440783189784</v>
      </c>
      <c r="O3" s="17">
        <f>N3*(1+'Valuation Model'!F8)</f>
        <v>28930.295905465944</v>
      </c>
      <c r="P3" s="17">
        <f>O3*(1+'Valuation Model'!G8)</f>
        <v>30370.376191953517</v>
      </c>
    </row>
    <row r="4" spans="1:16">
      <c r="A4" t="s">
        <v>165</v>
      </c>
      <c r="L4" s="17">
        <f>$K$2*(1+'Valuation Model'!C9)</f>
        <v>22102.319788315424</v>
      </c>
      <c r="M4" s="17">
        <f>L4*(1+'Valuation Model'!D9)</f>
        <v>22707.367207273801</v>
      </c>
      <c r="N4" s="17">
        <f>M4*(1+'Valuation Model'!E9)</f>
        <v>22748.937256867986</v>
      </c>
      <c r="O4" s="17">
        <f>N4*(1+'Valuation Model'!F9)</f>
        <v>22811.222541435134</v>
      </c>
      <c r="P4" s="17">
        <f>O4*(1+'Valuation Model'!G9)</f>
        <v>22893.400154940678</v>
      </c>
    </row>
    <row r="5" spans="1:16">
      <c r="A5" t="s">
        <v>166</v>
      </c>
      <c r="C5" s="20">
        <f>C2/B2-1</f>
        <v>-0.21296605453533668</v>
      </c>
      <c r="D5" s="20">
        <f t="shared" ref="D5:K5" si="0">D2/C2-1</f>
        <v>0.1995333380470905</v>
      </c>
      <c r="E5" s="20">
        <f t="shared" si="0"/>
        <v>0.15278514588859426</v>
      </c>
      <c r="F5" s="20">
        <f t="shared" si="0"/>
        <v>7.0000511325867931E-2</v>
      </c>
      <c r="G5" s="20">
        <f t="shared" si="0"/>
        <v>4.9555576794418466E-2</v>
      </c>
      <c r="H5" s="20">
        <f t="shared" si="0"/>
        <v>9.2200519054773888E-2</v>
      </c>
      <c r="I5" s="20">
        <f t="shared" si="0"/>
        <v>-9.0670335167583826E-2</v>
      </c>
      <c r="J5" s="20">
        <f t="shared" si="0"/>
        <v>-8.5820382340805912E-2</v>
      </c>
      <c r="K5" s="20">
        <f t="shared" si="0"/>
        <v>6.5142169399729166E-2</v>
      </c>
    </row>
    <row r="6" spans="1:16">
      <c r="A6" t="s">
        <v>167</v>
      </c>
      <c r="K6" s="99">
        <f>K5</f>
        <v>6.5142169399729166E-2</v>
      </c>
      <c r="L6" s="99">
        <f>'Valuation Model'!C8</f>
        <v>8.6095960492246215E-2</v>
      </c>
      <c r="M6" s="99">
        <f>'Valuation Model'!D8</f>
        <v>0.11322891775892208</v>
      </c>
      <c r="N6" s="99">
        <f>'Valuation Model'!E8</f>
        <v>5.4855203972201227E-2</v>
      </c>
      <c r="O6" s="99">
        <f>'Valuation Model'!F8</f>
        <v>6.7954711099776244E-2</v>
      </c>
      <c r="P6" s="99">
        <f>'Valuation Model'!G8</f>
        <v>4.9777585794257062E-2</v>
      </c>
    </row>
    <row r="7" spans="1:16">
      <c r="A7" t="s">
        <v>168</v>
      </c>
      <c r="K7" s="99">
        <f>K5</f>
        <v>6.5142169399729166E-2</v>
      </c>
      <c r="L7" s="99">
        <f>'Valuation Model'!C9</f>
        <v>4.05988600901801E-2</v>
      </c>
      <c r="M7" s="99">
        <f>'Valuation Model'!D9</f>
        <v>2.7374837788666895E-2</v>
      </c>
      <c r="N7" s="99">
        <f>'Valuation Model'!E9</f>
        <v>1.8306855750704898E-3</v>
      </c>
      <c r="O7" s="99">
        <f>'Valuation Model'!F9</f>
        <v>2.7379426064548795E-3</v>
      </c>
      <c r="P7" s="99">
        <f>'Valuation Model'!G9</f>
        <v>3.6025080793575803E-3</v>
      </c>
    </row>
    <row r="9" spans="1:16">
      <c r="A9" s="10" t="s">
        <v>71</v>
      </c>
      <c r="B9" s="134">
        <f>B1</f>
        <v>39813</v>
      </c>
      <c r="C9" s="134">
        <f t="shared" ref="C9:P9" si="1">C1</f>
        <v>40178</v>
      </c>
      <c r="D9" s="134">
        <f t="shared" si="1"/>
        <v>40543</v>
      </c>
      <c r="E9" s="134">
        <f t="shared" si="1"/>
        <v>40908</v>
      </c>
      <c r="F9" s="134">
        <f t="shared" si="1"/>
        <v>41274</v>
      </c>
      <c r="G9" s="134">
        <f t="shared" si="1"/>
        <v>41639</v>
      </c>
      <c r="H9" s="134">
        <f t="shared" si="1"/>
        <v>42004</v>
      </c>
      <c r="I9" s="134">
        <f t="shared" si="1"/>
        <v>42369</v>
      </c>
      <c r="J9" s="134">
        <f t="shared" si="1"/>
        <v>42735</v>
      </c>
      <c r="K9" s="134">
        <f t="shared" si="1"/>
        <v>43100</v>
      </c>
      <c r="L9" s="134">
        <f t="shared" si="1"/>
        <v>43465</v>
      </c>
      <c r="M9" s="134">
        <f t="shared" si="1"/>
        <v>43830</v>
      </c>
      <c r="N9" s="134">
        <f t="shared" si="1"/>
        <v>44195</v>
      </c>
      <c r="O9" s="134">
        <f t="shared" si="1"/>
        <v>44560</v>
      </c>
      <c r="P9" s="134">
        <f t="shared" si="1"/>
        <v>44925</v>
      </c>
    </row>
    <row r="10" spans="1:16">
      <c r="A10" t="s">
        <v>169</v>
      </c>
      <c r="B10" s="17">
        <f>'Company Analysis'!B11</f>
        <v>2196</v>
      </c>
      <c r="C10" s="17">
        <f>'Company Analysis'!C11</f>
        <v>1477</v>
      </c>
      <c r="D10" s="17">
        <f>'Company Analysis'!D11</f>
        <v>2302</v>
      </c>
      <c r="E10" s="17">
        <f>'Company Analysis'!E11</f>
        <v>3794</v>
      </c>
      <c r="F10" s="17">
        <f>'Company Analysis'!F11</f>
        <v>3956</v>
      </c>
      <c r="G10" s="17">
        <f>'Company Analysis'!G11</f>
        <v>4508</v>
      </c>
      <c r="H10" s="17">
        <f>'Company Analysis'!H11</f>
        <v>4978</v>
      </c>
      <c r="I10" s="17">
        <f>'Company Analysis'!I11</f>
        <v>4855</v>
      </c>
      <c r="J10" s="17">
        <f>'Company Analysis'!J11</f>
        <v>4998</v>
      </c>
      <c r="K10" s="17">
        <f>'Company Analysis'!K11</f>
        <v>4912</v>
      </c>
    </row>
    <row r="11" spans="1:16">
      <c r="A11" t="s">
        <v>170</v>
      </c>
      <c r="L11" s="18">
        <f>'Valuation Model'!C10*'Graphing Data'!L3</f>
        <v>5767.1695502138273</v>
      </c>
      <c r="M11" s="18">
        <f>'Valuation Model'!D10*'Graphing Data'!M3</f>
        <v>6420.179916916748</v>
      </c>
      <c r="N11" s="18">
        <f>'Valuation Model'!E10*'Graphing Data'!N3</f>
        <v>7043.2546036293443</v>
      </c>
      <c r="O11" s="18">
        <f>'Valuation Model'!F10*'Graphing Data'!O3</f>
        <v>7521.8769354211454</v>
      </c>
      <c r="P11" s="18">
        <f>'Valuation Model'!G10*'Graphing Data'!P3</f>
        <v>7896.2978099079146</v>
      </c>
    </row>
    <row r="12" spans="1:16">
      <c r="A12" t="s">
        <v>171</v>
      </c>
      <c r="L12" s="18">
        <f>'Valuation Model'!C11*'Graphing Data'!L4</f>
        <v>5083.5335513125474</v>
      </c>
      <c r="M12" s="18">
        <f>'Valuation Model'!D11*'Graphing Data'!M4</f>
        <v>5222.6944576729747</v>
      </c>
      <c r="N12" s="18">
        <f>'Valuation Model'!E11*'Graphing Data'!N4</f>
        <v>5459.7449416483169</v>
      </c>
      <c r="O12" s="18">
        <f>'Valuation Model'!F11*'Graphing Data'!O4</f>
        <v>5474.6934099444316</v>
      </c>
      <c r="P12" s="18">
        <f>'Valuation Model'!G11*'Graphing Data'!P4</f>
        <v>5494.4160371857624</v>
      </c>
    </row>
    <row r="13" spans="1:16">
      <c r="A13" t="s">
        <v>172</v>
      </c>
      <c r="B13" s="20">
        <f>B10/B2</f>
        <v>0.12220367278797997</v>
      </c>
      <c r="C13" s="20">
        <f t="shared" ref="C13:K13" si="2">C10/C2</f>
        <v>0.10443328855264088</v>
      </c>
      <c r="D13" s="20">
        <f t="shared" si="2"/>
        <v>0.13569112879457706</v>
      </c>
      <c r="E13" s="20">
        <f t="shared" si="2"/>
        <v>0.19399703430996573</v>
      </c>
      <c r="F13" s="20">
        <f t="shared" si="2"/>
        <v>0.18904711841727995</v>
      </c>
      <c r="G13" s="20">
        <f t="shared" si="2"/>
        <v>0.2052542913081091</v>
      </c>
      <c r="H13" s="20">
        <f t="shared" si="2"/>
        <v>0.20752042688010672</v>
      </c>
      <c r="I13" s="20">
        <f t="shared" si="2"/>
        <v>0.22257369458579745</v>
      </c>
      <c r="J13" s="20">
        <f t="shared" si="2"/>
        <v>0.2506393861892583</v>
      </c>
      <c r="K13" s="20">
        <f t="shared" si="2"/>
        <v>0.23126177024482109</v>
      </c>
    </row>
    <row r="14" spans="1:16">
      <c r="A14" t="s">
        <v>173</v>
      </c>
      <c r="K14" s="99">
        <f>K13</f>
        <v>0.23126177024482109</v>
      </c>
      <c r="L14" s="99">
        <f>'Valuation Model'!C10</f>
        <v>0.25</v>
      </c>
      <c r="M14" s="99">
        <f>'Valuation Model'!D10</f>
        <v>0.25</v>
      </c>
      <c r="N14" s="99">
        <f>'Valuation Model'!E10</f>
        <v>0.26</v>
      </c>
      <c r="O14" s="99">
        <f>'Valuation Model'!F10</f>
        <v>0.26</v>
      </c>
      <c r="P14" s="99">
        <f>'Valuation Model'!G10</f>
        <v>0.26</v>
      </c>
    </row>
    <row r="15" spans="1:16">
      <c r="A15" t="s">
        <v>174</v>
      </c>
      <c r="K15" s="99">
        <f>K13</f>
        <v>0.23126177024482109</v>
      </c>
      <c r="L15" s="99">
        <f>'Valuation Model'!C11</f>
        <v>0.23</v>
      </c>
      <c r="M15" s="99">
        <f>'Valuation Model'!D11</f>
        <v>0.23</v>
      </c>
      <c r="N15" s="99">
        <f>'Valuation Model'!E11</f>
        <v>0.24</v>
      </c>
      <c r="O15" s="99">
        <f>'Valuation Model'!F11</f>
        <v>0.24</v>
      </c>
      <c r="P15" s="99">
        <f>'Valuation Model'!G11</f>
        <v>0.24</v>
      </c>
    </row>
    <row r="17" spans="1:16">
      <c r="A17" s="10" t="s">
        <v>175</v>
      </c>
      <c r="B17" s="134">
        <f>B9</f>
        <v>39813</v>
      </c>
      <c r="C17" s="134">
        <f t="shared" ref="C17:K17" si="3">C9</f>
        <v>40178</v>
      </c>
      <c r="D17" s="134">
        <f t="shared" si="3"/>
        <v>40543</v>
      </c>
      <c r="E17" s="134">
        <f t="shared" si="3"/>
        <v>40908</v>
      </c>
      <c r="F17" s="134">
        <f t="shared" si="3"/>
        <v>41274</v>
      </c>
      <c r="G17" s="134">
        <f t="shared" si="3"/>
        <v>41639</v>
      </c>
      <c r="H17" s="134">
        <f t="shared" si="3"/>
        <v>42004</v>
      </c>
      <c r="I17" s="134">
        <f t="shared" si="3"/>
        <v>42369</v>
      </c>
      <c r="J17" s="134">
        <f t="shared" si="3"/>
        <v>42735</v>
      </c>
      <c r="K17" s="134">
        <f t="shared" si="3"/>
        <v>43100</v>
      </c>
    </row>
    <row r="18" spans="1:16">
      <c r="A18" t="s">
        <v>137</v>
      </c>
      <c r="B18" s="18">
        <f>B10</f>
        <v>2196</v>
      </c>
      <c r="C18" s="18">
        <f t="shared" ref="C18:K18" si="4">C10</f>
        <v>1477</v>
      </c>
      <c r="D18" s="18">
        <f t="shared" si="4"/>
        <v>2302</v>
      </c>
      <c r="E18" s="18">
        <f t="shared" si="4"/>
        <v>3794</v>
      </c>
      <c r="F18" s="18">
        <f t="shared" si="4"/>
        <v>3956</v>
      </c>
      <c r="G18" s="18">
        <f t="shared" si="4"/>
        <v>4508</v>
      </c>
      <c r="H18" s="18">
        <f t="shared" si="4"/>
        <v>4978</v>
      </c>
      <c r="I18" s="18">
        <f t="shared" si="4"/>
        <v>4855</v>
      </c>
      <c r="J18" s="18">
        <f t="shared" si="4"/>
        <v>4998</v>
      </c>
      <c r="K18" s="18">
        <f t="shared" si="4"/>
        <v>4912</v>
      </c>
    </row>
    <row r="19" spans="1:16">
      <c r="A19" t="s">
        <v>176</v>
      </c>
      <c r="B19" s="18">
        <f>-'Company Analysis'!B28</f>
        <v>1294.73536182107</v>
      </c>
      <c r="C19" s="18">
        <f>-'Company Analysis'!C28</f>
        <v>815.02517460284002</v>
      </c>
      <c r="D19" s="18">
        <f>-'Company Analysis'!D28</f>
        <v>614.49019047616002</v>
      </c>
      <c r="E19" s="18">
        <f>-'Company Analysis'!E28</f>
        <v>1265.29341269827</v>
      </c>
      <c r="F19" s="18">
        <f>-'Company Analysis'!F28</f>
        <v>1839.0559244799999</v>
      </c>
      <c r="G19" s="18">
        <f>-'Company Analysis'!G28</f>
        <v>1251.8242869047999</v>
      </c>
      <c r="H19" s="18">
        <f>-'Company Analysis'!H28</f>
        <v>2042.2512862307999</v>
      </c>
      <c r="I19" s="18">
        <f>-'Company Analysis'!I28</f>
        <v>2091.3805952380899</v>
      </c>
      <c r="J19" s="18">
        <f>-'Company Analysis'!J28</f>
        <v>1180.4843373015874</v>
      </c>
      <c r="K19" s="18">
        <f>-'Company Analysis'!K28</f>
        <v>918.35</v>
      </c>
    </row>
    <row r="21" spans="1:16">
      <c r="A21" s="10" t="s">
        <v>177</v>
      </c>
      <c r="B21" s="134">
        <f>B17</f>
        <v>39813</v>
      </c>
      <c r="C21" s="134">
        <f t="shared" ref="C21:K21" si="5">C17</f>
        <v>40178</v>
      </c>
      <c r="D21" s="134">
        <f t="shared" si="5"/>
        <v>40543</v>
      </c>
      <c r="E21" s="134">
        <f t="shared" si="5"/>
        <v>40908</v>
      </c>
      <c r="F21" s="134">
        <f t="shared" si="5"/>
        <v>41274</v>
      </c>
      <c r="G21" s="134">
        <f t="shared" si="5"/>
        <v>41639</v>
      </c>
      <c r="H21" s="134">
        <f t="shared" si="5"/>
        <v>42004</v>
      </c>
      <c r="I21" s="134">
        <f t="shared" si="5"/>
        <v>42369</v>
      </c>
      <c r="J21" s="134">
        <f t="shared" si="5"/>
        <v>42735</v>
      </c>
      <c r="K21" s="134">
        <f t="shared" si="5"/>
        <v>43100</v>
      </c>
    </row>
    <row r="22" spans="1:16">
      <c r="A22" t="str">
        <f>'Company Analysis'!A19</f>
        <v>Capex in Excess of Maintenance</v>
      </c>
      <c r="B22" s="18">
        <f>-'Company Analysis'!B19</f>
        <v>1294</v>
      </c>
      <c r="C22" s="18">
        <f>-'Company Analysis'!C19</f>
        <v>727</v>
      </c>
      <c r="D22" s="18">
        <f>-'Company Analysis'!D19</f>
        <v>679</v>
      </c>
      <c r="E22" s="18">
        <f>-'Company Analysis'!E19</f>
        <v>1182</v>
      </c>
      <c r="F22" s="18">
        <f>-'Company Analysis'!F19</f>
        <v>1807</v>
      </c>
      <c r="G22" s="18">
        <f>-'Company Analysis'!G19</f>
        <v>1181</v>
      </c>
      <c r="H22" s="18">
        <f>-'Company Analysis'!H19</f>
        <v>1799</v>
      </c>
      <c r="I22" s="18">
        <f>-'Company Analysis'!I19</f>
        <v>2120</v>
      </c>
      <c r="J22" s="18">
        <f>-'Company Analysis'!J19</f>
        <v>1159</v>
      </c>
      <c r="K22" s="18">
        <f>-'Company Analysis'!K19</f>
        <v>920</v>
      </c>
    </row>
    <row r="23" spans="1:16">
      <c r="A23" t="s">
        <v>179</v>
      </c>
      <c r="B23" s="18">
        <f>-'Company Analysis'!B20</f>
        <v>-122</v>
      </c>
      <c r="C23" s="18">
        <f>-'Company Analysis'!C20</f>
        <v>-93</v>
      </c>
      <c r="D23" s="18">
        <f>-'Company Analysis'!D20</f>
        <v>-187</v>
      </c>
      <c r="E23" s="18">
        <f>-'Company Analysis'!E20</f>
        <v>-67</v>
      </c>
      <c r="F23" s="18">
        <f>-'Company Analysis'!F20</f>
        <v>-108</v>
      </c>
      <c r="G23" s="18">
        <f>-'Company Analysis'!G20</f>
        <v>-80</v>
      </c>
      <c r="H23" s="18">
        <f>-'Company Analysis'!H20</f>
        <v>-98</v>
      </c>
      <c r="I23" s="18">
        <f>-'Company Analysis'!I20</f>
        <v>-138</v>
      </c>
      <c r="J23" s="18">
        <f>-'Company Analysis'!J20</f>
        <v>-129</v>
      </c>
      <c r="K23" s="18">
        <f>-'Company Analysis'!K20</f>
        <v>-168</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0</v>
      </c>
      <c r="J24" s="18">
        <f>-'Company Analysis'!J21</f>
        <v>0</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122.73536182107</v>
      </c>
      <c r="C27" s="18">
        <f>-'Company Analysis'!C27</f>
        <v>181.02517460284</v>
      </c>
      <c r="D27" s="18">
        <f>-'Company Analysis'!D27</f>
        <v>122.49019047616001</v>
      </c>
      <c r="E27" s="18">
        <f>-'Company Analysis'!E27</f>
        <v>150.29341269827</v>
      </c>
      <c r="F27" s="18">
        <f>-'Company Analysis'!F27</f>
        <v>140.05592447999999</v>
      </c>
      <c r="G27" s="18">
        <f>-'Company Analysis'!G27</f>
        <v>150.8242869048</v>
      </c>
      <c r="H27" s="18">
        <f>-'Company Analysis'!H27</f>
        <v>341.25128623079996</v>
      </c>
      <c r="I27" s="18">
        <f>-'Company Analysis'!I27</f>
        <v>109.38059523809001</v>
      </c>
      <c r="J27" s="18">
        <f>-'Company Analysis'!J27</f>
        <v>150.48433730158735</v>
      </c>
      <c r="K27" s="18">
        <f>-'Company Analysis'!K27</f>
        <v>166.35000000000002</v>
      </c>
    </row>
    <row r="29" spans="1:16">
      <c r="A29" s="10" t="s">
        <v>73</v>
      </c>
      <c r="B29" s="134">
        <f>B1</f>
        <v>39813</v>
      </c>
      <c r="C29" s="134">
        <f t="shared" ref="C29:P29" si="6">C1</f>
        <v>40178</v>
      </c>
      <c r="D29" s="134">
        <f t="shared" si="6"/>
        <v>40543</v>
      </c>
      <c r="E29" s="134">
        <f t="shared" si="6"/>
        <v>40908</v>
      </c>
      <c r="F29" s="134">
        <f t="shared" si="6"/>
        <v>41274</v>
      </c>
      <c r="G29" s="134">
        <f t="shared" si="6"/>
        <v>41639</v>
      </c>
      <c r="H29" s="134">
        <f t="shared" si="6"/>
        <v>42004</v>
      </c>
      <c r="I29" s="134">
        <f t="shared" si="6"/>
        <v>42369</v>
      </c>
      <c r="J29" s="134">
        <f t="shared" si="6"/>
        <v>42735</v>
      </c>
      <c r="K29" s="134">
        <f t="shared" si="6"/>
        <v>43100</v>
      </c>
      <c r="L29" s="134">
        <f t="shared" si="6"/>
        <v>43465</v>
      </c>
      <c r="M29" s="134">
        <f t="shared" si="6"/>
        <v>43830</v>
      </c>
      <c r="N29" s="134">
        <f t="shared" si="6"/>
        <v>44195</v>
      </c>
      <c r="O29" s="134">
        <f t="shared" si="6"/>
        <v>44560</v>
      </c>
      <c r="P29" s="134">
        <f t="shared" si="6"/>
        <v>44925</v>
      </c>
    </row>
    <row r="30" spans="1:16">
      <c r="A30" t="s">
        <v>183</v>
      </c>
      <c r="B30" s="18">
        <f>'Company Analysis'!B32</f>
        <v>901.26463817893</v>
      </c>
      <c r="C30" s="18">
        <f>'Company Analysis'!C32</f>
        <v>661.97482539715998</v>
      </c>
      <c r="D30" s="18">
        <f>'Company Analysis'!D32</f>
        <v>1687.50980952384</v>
      </c>
      <c r="E30" s="18">
        <f>'Company Analysis'!E32</f>
        <v>2528.70658730173</v>
      </c>
      <c r="F30" s="18">
        <f>'Company Analysis'!F32</f>
        <v>2116.9440755200003</v>
      </c>
      <c r="G30" s="18">
        <f>'Company Analysis'!G32</f>
        <v>3256.1757130952001</v>
      </c>
      <c r="H30" s="18">
        <f>'Company Analysis'!H32</f>
        <v>2935.7487137692001</v>
      </c>
      <c r="I30" s="18">
        <f>'Company Analysis'!I32</f>
        <v>2763.6194047619101</v>
      </c>
      <c r="J30" s="18">
        <f>'Company Analysis'!J32</f>
        <v>3817.5156626984126</v>
      </c>
      <c r="K30" s="18">
        <f>'Company Analysis'!K32</f>
        <v>3993.65</v>
      </c>
    </row>
    <row r="31" spans="1:16">
      <c r="A31" t="s">
        <v>184</v>
      </c>
      <c r="L31" s="18">
        <f>L11*(1-'Valuation Model'!C12)</f>
        <v>4902.0941176817532</v>
      </c>
      <c r="M31" s="18">
        <f>M11*(1-'Valuation Model'!D12)</f>
        <v>4815.1349376875605</v>
      </c>
      <c r="N31" s="18">
        <f>N11*(1-'Valuation Model'!E12)</f>
        <v>5282.4409527220087</v>
      </c>
      <c r="O31" s="18">
        <f>O11*(1-'Valuation Model'!F12)</f>
        <v>5641.4077015658586</v>
      </c>
      <c r="P31" s="18">
        <f>P11*(1-'Valuation Model'!G12)</f>
        <v>5527.4084669355398</v>
      </c>
    </row>
    <row r="32" spans="1:16">
      <c r="A32" t="s">
        <v>185</v>
      </c>
      <c r="L32" s="18">
        <f>L12*(1-'Valuation Model'!C12)</f>
        <v>4321.0035186156656</v>
      </c>
      <c r="M32" s="18">
        <f>M12*(1-'Valuation Model'!D12)</f>
        <v>3917.0208432547311</v>
      </c>
      <c r="N32" s="18">
        <f>N12*(1-'Valuation Model'!E12)</f>
        <v>4094.8087062362374</v>
      </c>
      <c r="O32" s="18">
        <f>O12*(1-'Valuation Model'!F12)</f>
        <v>4106.0200574583232</v>
      </c>
      <c r="P32" s="18">
        <f>P12*(1-'Valuation Model'!G12)</f>
        <v>3846.0912260300333</v>
      </c>
    </row>
    <row r="33" spans="1:16">
      <c r="A33" t="s">
        <v>186</v>
      </c>
      <c r="B33" s="20">
        <f t="shared" ref="B33:J33" si="7">B30/B2</f>
        <v>5.0153847422311076E-2</v>
      </c>
      <c r="C33" s="20">
        <f t="shared" si="7"/>
        <v>4.6805827999516367E-2</v>
      </c>
      <c r="D33" s="20">
        <f t="shared" si="7"/>
        <v>9.9470074242489825E-2</v>
      </c>
      <c r="E33" s="20">
        <f t="shared" si="7"/>
        <v>0.12929930906078285</v>
      </c>
      <c r="F33" s="20">
        <f t="shared" si="7"/>
        <v>0.10116334108381919</v>
      </c>
      <c r="G33" s="20">
        <f t="shared" si="7"/>
        <v>0.14825732883008697</v>
      </c>
      <c r="H33" s="20">
        <f t="shared" si="7"/>
        <v>0.12238405510126731</v>
      </c>
      <c r="I33" s="20">
        <f t="shared" si="7"/>
        <v>0.12669597968009491</v>
      </c>
      <c r="J33" s="20">
        <f t="shared" si="7"/>
        <v>0.19144053270640451</v>
      </c>
      <c r="K33" s="20">
        <f>K30/K2</f>
        <v>0.18802495291902072</v>
      </c>
    </row>
    <row r="34" spans="1:16">
      <c r="A34" t="s">
        <v>187</v>
      </c>
      <c r="K34" s="99">
        <f>K33</f>
        <v>0.18802495291902072</v>
      </c>
      <c r="L34" s="135">
        <f>(1-'Valuation Model'!C12)*'Valuation Model'!C10</f>
        <v>0.21249999999999999</v>
      </c>
      <c r="M34" s="135">
        <f>(1-'Valuation Model'!D12)*'Valuation Model'!D10</f>
        <v>0.1875</v>
      </c>
      <c r="N34" s="135">
        <f>(1-'Valuation Model'!E12)*'Valuation Model'!E10</f>
        <v>0.19500000000000001</v>
      </c>
      <c r="O34" s="135">
        <f>(1-'Valuation Model'!F12)*'Valuation Model'!F10</f>
        <v>0.19500000000000001</v>
      </c>
      <c r="P34" s="135">
        <f>(1-'Valuation Model'!G12)*'Valuation Model'!G10</f>
        <v>0.182</v>
      </c>
    </row>
    <row r="35" spans="1:16">
      <c r="A35" t="s">
        <v>188</v>
      </c>
      <c r="K35" s="99">
        <f>K33</f>
        <v>0.18802495291902072</v>
      </c>
      <c r="L35" s="135">
        <f>(1-'Valuation Model'!C12)*'Valuation Model'!C11</f>
        <v>0.19550000000000001</v>
      </c>
      <c r="M35" s="135">
        <f>(1-'Valuation Model'!D12)*'Valuation Model'!D11</f>
        <v>0.17250000000000001</v>
      </c>
      <c r="N35" s="135">
        <f>(1-'Valuation Model'!E12)*'Valuation Model'!E11</f>
        <v>0.18</v>
      </c>
      <c r="O35" s="135">
        <f>(1-'Valuation Model'!F12)*'Valuation Model'!F11</f>
        <v>0.18</v>
      </c>
      <c r="P35" s="135">
        <f>(1-'Valuation Model'!G12)*'Valuation Model'!G11</f>
        <v>0.16799999999999998</v>
      </c>
    </row>
    <row r="37" spans="1:16">
      <c r="A37" s="10" t="s">
        <v>153</v>
      </c>
      <c r="B37" s="134">
        <f>B1</f>
        <v>39813</v>
      </c>
      <c r="C37" s="134">
        <f t="shared" ref="C37:K37" si="8">C1</f>
        <v>40178</v>
      </c>
      <c r="D37" s="134">
        <f t="shared" si="8"/>
        <v>40543</v>
      </c>
      <c r="E37" s="134">
        <f t="shared" si="8"/>
        <v>40908</v>
      </c>
      <c r="F37" s="134">
        <f t="shared" si="8"/>
        <v>41274</v>
      </c>
      <c r="G37" s="134">
        <f t="shared" si="8"/>
        <v>41639</v>
      </c>
      <c r="H37" s="134">
        <f t="shared" si="8"/>
        <v>42004</v>
      </c>
      <c r="I37" s="134">
        <f t="shared" si="8"/>
        <v>42369</v>
      </c>
      <c r="J37" s="134">
        <f t="shared" si="8"/>
        <v>42735</v>
      </c>
      <c r="K37" s="134">
        <f t="shared" si="8"/>
        <v>43100</v>
      </c>
    </row>
    <row r="38" spans="1:16">
      <c r="A38" t="str">
        <f>ticker&amp;" Actual OCP ($, LHS)"</f>
        <v>UNP Actual OCP ($, LHS)</v>
      </c>
      <c r="B38" s="18">
        <f>B10</f>
        <v>2196</v>
      </c>
      <c r="C38" s="18">
        <f t="shared" ref="C38:K38" si="9">C10</f>
        <v>1477</v>
      </c>
      <c r="D38" s="18">
        <f t="shared" si="9"/>
        <v>2302</v>
      </c>
      <c r="E38" s="18">
        <f t="shared" si="9"/>
        <v>3794</v>
      </c>
      <c r="F38" s="18">
        <f t="shared" si="9"/>
        <v>3956</v>
      </c>
      <c r="G38" s="18">
        <f t="shared" si="9"/>
        <v>4508</v>
      </c>
      <c r="H38" s="18">
        <f t="shared" si="9"/>
        <v>4978</v>
      </c>
      <c r="I38" s="18">
        <f t="shared" si="9"/>
        <v>4855</v>
      </c>
      <c r="J38" s="18">
        <f t="shared" si="9"/>
        <v>4998</v>
      </c>
      <c r="K38" s="18">
        <f t="shared" si="9"/>
        <v>4912</v>
      </c>
    </row>
    <row r="39" spans="1:16">
      <c r="A39" t="str">
        <f>ticker&amp;" OCP if GDP-Growth ($, LHS)"</f>
        <v>UNP OCP if GDP-Growth ($, LHS)</v>
      </c>
      <c r="B39" s="18">
        <f>B38</f>
        <v>2196</v>
      </c>
      <c r="C39" s="18">
        <f>(1+'Company Analysis'!C40)*B39</f>
        <v>2198.5054192812322</v>
      </c>
      <c r="D39" s="18">
        <f>(1+'Company Analysis'!D40)*C39</f>
        <v>2298.6769118688103</v>
      </c>
      <c r="E39" s="18">
        <f>(1+'Company Analysis'!E40)*D39</f>
        <v>2382.4575289177246</v>
      </c>
      <c r="F39" s="18">
        <f>(1+'Company Analysis'!F40)*E39</f>
        <v>2465.0458078749689</v>
      </c>
      <c r="G39" s="18">
        <f>(1+'Company Analysis'!G40)*F39</f>
        <v>2577.6085608835806</v>
      </c>
      <c r="H39" s="18">
        <f>(1+'Company Analysis'!H40)*G39</f>
        <v>2671.9994776596409</v>
      </c>
      <c r="I39" s="18">
        <f>(1+'Company Analysis'!I40)*H39</f>
        <v>2666.1585302991775</v>
      </c>
      <c r="J39" s="18">
        <f>(1+'Company Analysis'!J40)*I39</f>
        <v>2666.1585302991775</v>
      </c>
      <c r="K39" s="18">
        <f>(1+'Company Analysis'!K40)*J39</f>
        <v>2666.1585302991775</v>
      </c>
    </row>
    <row r="40" spans="1:16">
      <c r="A40" t="str">
        <f>ticker&amp;" - GDP Growth Difference (YoY, %, RHS)"</f>
        <v>UNP - GDP Growth Difference (YoY, %, RHS)</v>
      </c>
      <c r="B40" s="136"/>
      <c r="C40" s="99">
        <f>'Company Analysis'!C41-'Company Analysis'!C40</f>
        <v>-0.32855438036485984</v>
      </c>
      <c r="D40" s="99">
        <f>'Company Analysis'!D41-'Company Analysis'!D40</f>
        <v>0.51300120770799684</v>
      </c>
      <c r="E40" s="99">
        <f>'Company Analysis'!E41-'Company Analysis'!E40</f>
        <v>0.61168473731047057</v>
      </c>
      <c r="F40" s="99">
        <f>'Company Analysis'!F41-'Company Analysis'!F40</f>
        <v>8.0338352604272245E-3</v>
      </c>
      <c r="G40" s="99">
        <f>'Company Analysis'!G41-'Company Analysis'!G40</f>
        <v>9.387132945795762E-2</v>
      </c>
      <c r="H40" s="99">
        <f>'Company Analysis'!H41-'Company Analysis'!H40</f>
        <v>6.7639525078813767E-2</v>
      </c>
      <c r="I40" s="99">
        <f>'Company Analysis'!I41-'Company Analysis'!I40</f>
        <v>-2.2522734639870312E-2</v>
      </c>
      <c r="J40" s="99">
        <f>'Company Analysis'!J41-'Company Analysis'!J40</f>
        <v>2.9454170957775583E-2</v>
      </c>
      <c r="K40" s="99">
        <f>'Company Analysis'!K41-'Company Analysis'!K40</f>
        <v>-1.7206882753101227E-2</v>
      </c>
    </row>
    <row r="41" spans="1:16">
      <c r="A41" t="str">
        <f>ticker&amp;" - GDP Growth Difference (3Y, %, RHS)"</f>
        <v>UNP - GDP Growth Difference (3Y, %, RHS)</v>
      </c>
      <c r="B41" s="137"/>
      <c r="C41" s="99"/>
      <c r="D41" s="99"/>
      <c r="E41" s="99">
        <f>'Company Analysis'!E43-'Company Analysis'!E42</f>
        <v>0.23958986973420315</v>
      </c>
      <c r="F41" s="99">
        <f>'Company Analysis'!F43-'Company Analysis'!F42</f>
        <v>0.2886037907557466</v>
      </c>
      <c r="G41" s="99">
        <f>'Company Analysis'!G43-'Company Analysis'!G42</f>
        <v>0.18042654247587286</v>
      </c>
      <c r="H41" s="99">
        <f>'Company Analysis'!H43-'Company Analysis'!H42</f>
        <v>5.7595021069857477E-2</v>
      </c>
      <c r="I41" s="99">
        <f>'Company Analysis'!I43-'Company Analysis'!I42</f>
        <v>4.081100489112699E-2</v>
      </c>
      <c r="J41" s="99">
        <f>'Company Analysis'!J43-'Company Analysis'!J42</f>
        <v>2.298123956249043E-2</v>
      </c>
      <c r="K41" s="99">
        <f>'Company Analysis'!K43-'Company Analysis'!K42</f>
        <v>-3.7204135394972582E-3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110" zoomScaleNormal="110" workbookViewId="0">
      <selection activeCell="G6" sqref="G6"/>
    </sheetView>
  </sheetViews>
  <sheetFormatPr defaultColWidth="9.1328125" defaultRowHeight="14.25"/>
  <cols>
    <col min="1" max="1" width="4.73046875" style="77" bestFit="1" customWidth="1"/>
    <col min="2" max="2" width="14.3984375" style="77" bestFit="1" customWidth="1"/>
    <col min="3" max="3" width="9.265625" style="77" bestFit="1" customWidth="1"/>
    <col min="4" max="4" width="12.265625" style="77" bestFit="1" customWidth="1"/>
    <col min="5" max="7" width="12.265625" style="77" customWidth="1"/>
    <col min="8" max="8" width="16.1328125" style="77" bestFit="1" customWidth="1"/>
    <col min="9" max="10" width="12.265625" style="77" customWidth="1"/>
    <col min="11" max="11" width="10.86328125" style="77" bestFit="1" customWidth="1"/>
    <col min="12" max="12" width="10.59765625" style="77" bestFit="1" customWidth="1"/>
    <col min="13" max="14" width="9.1328125" style="77"/>
    <col min="15" max="15" width="13.86328125" style="77" bestFit="1" customWidth="1"/>
    <col min="16" max="16384" width="9.1328125" style="77"/>
  </cols>
  <sheetData>
    <row r="1" spans="1:15">
      <c r="A1" s="77" t="s">
        <v>100</v>
      </c>
      <c r="B1" s="78">
        <f ca="1">MAX(C5:C12)+10</f>
        <v>148</v>
      </c>
      <c r="D1" s="77" t="s">
        <v>101</v>
      </c>
      <c r="E1" s="77">
        <v>11</v>
      </c>
    </row>
    <row r="2" spans="1:15">
      <c r="A2" s="77" t="s">
        <v>102</v>
      </c>
      <c r="B2" s="78">
        <f ca="1">MIN(C5:C12)-10</f>
        <v>64</v>
      </c>
    </row>
    <row r="4" spans="1:15" s="79" customFormat="1" ht="11.65">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1.65">
      <c r="A5" s="82"/>
      <c r="B5" s="88" t="str">
        <f>'Valuation Model'!I2</f>
        <v>2% | 24% | 2%</v>
      </c>
      <c r="C5" s="89">
        <f ca="1">'Valuation Model'!K2</f>
        <v>74</v>
      </c>
      <c r="D5" s="84">
        <f ca="1">IF(ABS(INDEX($K$6:$K$55,MATCH(C5,$K$6:$K$55,1)+IF(C5&gt;=MAX($K$6:$K$55),0,1),1)-C5)&lt;ABS(INDEX($K$6:$K$55,MATCH(C5,$K$6:$K$55,1))-C5),INDEX($K$6:$K$55,MATCH(C5,$K$6:$K$55,1)+IF(C5&gt;=MAX($K$6:$K$55),0,1),1),INDEX($K$6:$K$55,MATCH(C5,$K$6:$K$55,1)))</f>
        <v>74.000000000000014</v>
      </c>
      <c r="E5" s="85">
        <f>IF(H5="N",5%/COUNTIF('Valuation Model'!$L$2:$L$9,"No"),IF(G5&lt;&gt;"Y",50%/(COUNTIF('Valuation Model'!$L$2:$L$9,"Yes")-COUNTIF(G$5:G$12,"Y")),45%/(COUNTIF(G$5:G$12,"Y"))))</f>
        <v>0.125</v>
      </c>
      <c r="F5" s="79" t="s">
        <v>51</v>
      </c>
      <c r="G5" s="79" t="str">
        <f>IF(LEFT('Valuation Model'!L2,1)="M","Y","")</f>
        <v/>
      </c>
      <c r="H5" s="79" t="str">
        <f>IF(LEFT('Valuation Model'!L2,1)="M","Y",LEFT('Valuation Model'!L2,1))</f>
        <v>Y</v>
      </c>
      <c r="J5" s="86">
        <v>0</v>
      </c>
      <c r="K5" s="84">
        <f ca="1">$B$1*J5</f>
        <v>0</v>
      </c>
      <c r="L5" s="87" t="str">
        <f t="shared" ref="L5:L55" ca="1" si="0">IFERROR(IF(VLOOKUP(K5,$D$5:$F$16,3,FALSE)="Scenario",IF(VLOOKUP(K5,$D$5:$H$16,5,FALSE)="Y",VLOOKUP(K5,$D$5:$E$16,2,0),""),IF(VLOOKUP(K5,$D$5:$F$16,3,FALSE)&lt;&gt;"Scenario","")),"")</f>
        <v/>
      </c>
      <c r="M5" s="85" t="str">
        <f t="shared" ref="M5:M55" ca="1" si="1">IFERROR(IF(VLOOKUP(K5,$D$5:$F$16,3,FALSE)="Scenario",IF(VLOOKUP(K5,$D$5:$H$16,5,FALSE)="N",VLOOKUP(K5,$D$5:$E$16,2,0),""),IF(VLOOKUP(K5,$D$5:$F$16,3,FALSE)&lt;&gt;"Scenario","")),"")</f>
        <v/>
      </c>
      <c r="N5" s="84">
        <f ca="1">LN('Histogram Data'!K5+0.01)-LN(price)</f>
        <v>-9.4572004499077078</v>
      </c>
      <c r="O5" s="84">
        <f ca="1">_xlfn.NORM.DIST(N5,0+0.03^3,AVERAGE('Valuation Model'!$K$22:$L$22),FALSE)/scaling</f>
        <v>5.4786834353574318E-305</v>
      </c>
    </row>
    <row r="6" spans="1:15" s="79" customFormat="1" ht="11.65">
      <c r="A6" s="82"/>
      <c r="B6" s="88" t="str">
        <f>'Valuation Model'!I4</f>
        <v>2% | 26% | 2%</v>
      </c>
      <c r="C6" s="89">
        <f ca="1">'Valuation Model'!K4</f>
        <v>80</v>
      </c>
      <c r="D6" s="84">
        <f ca="1">IF(ABS(INDEX($K$6:$K$55,MATCH(C6,$K$6:$K$55,1)+IF(C6&gt;=MAX($K$6:$K$55),0,1),1)-C6)&lt;ABS(INDEX($K$6:$K$55,MATCH(C6,$K$6:$K$55,1))-C6),INDEX($K$6:$K$55,MATCH(C6,$K$6:$K$55,1)+IF(C6&gt;=MAX($K$6:$K$55),0,1),1),INDEX($K$6:$K$55,MATCH(C6,$K$6:$K$55,1)))</f>
        <v>79.920000000000016</v>
      </c>
      <c r="E6" s="85">
        <f>IF(H6="N",5%/COUNTIF('Valuation Model'!$L$2:$L$9,"No"),IF(G6&lt;&gt;"Y",50%/(COUNTIF('Valuation Model'!$L$2:$L$9,"Yes")-COUNTIF(G$5:G$12,"Y")),45%/(COUNTIF(G$5:G$12,"Y"))))</f>
        <v>0.22500000000000001</v>
      </c>
      <c r="F6" s="79" t="s">
        <v>51</v>
      </c>
      <c r="G6" s="79" t="str">
        <f>IF(LEFT('Valuation Model'!L4,1)="M","Y","")</f>
        <v>Y</v>
      </c>
      <c r="H6" s="79" t="str">
        <f>IF(LEFT('Valuation Model'!L4,1)="M","Y",LEFT('Valuation Model'!L4,1))</f>
        <v>Y</v>
      </c>
      <c r="J6" s="86">
        <v>0.02</v>
      </c>
      <c r="K6" s="84">
        <f t="shared" ref="K6:K55" ca="1" si="2">$B$1*J6</f>
        <v>2.96</v>
      </c>
      <c r="L6" s="87" t="str">
        <f t="shared" ca="1" si="0"/>
        <v/>
      </c>
      <c r="M6" s="85" t="str">
        <f t="shared" ca="1" si="1"/>
        <v/>
      </c>
      <c r="N6" s="84">
        <f ca="1">LN('Histogram Data'!K6+0.01)-LN(price)</f>
        <v>-3.7634683111050089</v>
      </c>
      <c r="O6" s="84">
        <f ca="1">_xlfn.NORM.DIST(N6,0+0.03^3,AVERAGE('Valuation Model'!$K$22:$L$22),FALSE)/scaling</f>
        <v>1.2767468261625788E-49</v>
      </c>
    </row>
    <row r="7" spans="1:15" s="79" customFormat="1" ht="11.65">
      <c r="A7" s="82"/>
      <c r="B7" s="88" t="str">
        <f>'Valuation Model'!I6</f>
        <v>7% | 24% | 2%</v>
      </c>
      <c r="C7" s="89">
        <f ca="1">'Valuation Model'!K6</f>
        <v>95</v>
      </c>
      <c r="D7" s="84">
        <f ca="1">IF(ABS(INDEX($K$6:$K$55,MATCH(C7,$K$6:$K$55,1)+IF(C7&gt;=MAX($K$6:$K$55),0,1),1)-C7)&lt;ABS(INDEX($K$6:$K$55,MATCH(C7,$K$6:$K$55,1))-C7),INDEX($K$6:$K$55,MATCH(C7,$K$6:$K$55,1)+IF(C7&gt;=MAX($K$6:$K$55),0,1),1),INDEX($K$6:$K$55,MATCH(C7,$K$6:$K$55,1)))</f>
        <v>94.720000000000041</v>
      </c>
      <c r="E7" s="85">
        <f>IF(H7="N",5%/COUNTIF('Valuation Model'!$L$2:$L$9,"No"),IF(G7&lt;&gt;"Y",50%/(COUNTIF('Valuation Model'!$L$2:$L$9,"Yes")-COUNTIF(G$5:G$12,"Y")),45%/(COUNTIF(G$5:G$12,"Y"))))</f>
        <v>0.125</v>
      </c>
      <c r="F7" s="79" t="s">
        <v>51</v>
      </c>
      <c r="G7" s="79" t="str">
        <f>IF(LEFT('Valuation Model'!L3,1)="M","Y","")</f>
        <v/>
      </c>
      <c r="H7" s="79" t="str">
        <f>IF(LEFT('Valuation Model'!L6,1)="M","Y",LEFT('Valuation Model'!L6,1))</f>
        <v>Y</v>
      </c>
      <c r="J7" s="86">
        <f>J6+2%</f>
        <v>0.04</v>
      </c>
      <c r="K7" s="84">
        <f t="shared" ca="1" si="2"/>
        <v>5.92</v>
      </c>
      <c r="L7" s="87" t="str">
        <f t="shared" ca="1" si="0"/>
        <v/>
      </c>
      <c r="M7" s="85" t="str">
        <f t="shared" ca="1" si="1"/>
        <v/>
      </c>
      <c r="N7" s="84">
        <f ca="1">LN('Histogram Data'!K7+0.01)-LN(price)</f>
        <v>-3.0720060509099829</v>
      </c>
      <c r="O7" s="84">
        <f ca="1">_xlfn.NORM.DIST(N7,0+0.03^3,AVERAGE('Valuation Model'!$K$22:$L$22),FALSE)/scaling</f>
        <v>1.3821225069664375E-33</v>
      </c>
    </row>
    <row r="8" spans="1:15" s="79" customFormat="1" ht="11.65">
      <c r="A8" s="82"/>
      <c r="B8" s="88" t="str">
        <f>'Valuation Model'!I3</f>
        <v>2% | 24% | 10%</v>
      </c>
      <c r="C8" s="89">
        <f ca="1">'Valuation Model'!K3</f>
        <v>98</v>
      </c>
      <c r="D8" s="84">
        <f ca="1">IF(ABS(INDEX($K$6:$K$55,MATCH(C8,$K$6:$K$55,1)+IF(C8&gt;=MAX($K$6:$K$55),0,1),1)-C8)&lt;ABS(INDEX($K$6:$K$55,MATCH(C8,$K$6:$K$55,1))-C8),INDEX($K$6:$K$55,MATCH(C8,$K$6:$K$55,1)+IF(C8&gt;=MAX($K$6:$K$55),0,1),1),INDEX($K$6:$K$55,MATCH(C8,$K$6:$K$55,1)))</f>
        <v>97.680000000000035</v>
      </c>
      <c r="E8" s="85">
        <f>IF(H8="N",5%/COUNTIF('Valuation Model'!$L$2:$L$9,"No"),IF(G8&lt;&gt;"Y",50%/(COUNTIF('Valuation Model'!$L$2:$L$9,"Yes")-COUNTIF(G$5:G$12,"Y")),45%/(COUNTIF(G$5:G$12,"Y"))))</f>
        <v>0.125</v>
      </c>
      <c r="F8" s="79" t="s">
        <v>51</v>
      </c>
      <c r="G8" s="79" t="str">
        <f>IF(LEFT('Valuation Model'!L6,1)="M","Y","")</f>
        <v/>
      </c>
      <c r="H8" s="79" t="str">
        <f>IF(LEFT('Valuation Model'!L3,1)="M","Y",LEFT('Valuation Model'!L3,1))</f>
        <v>Y</v>
      </c>
      <c r="J8" s="86">
        <f t="shared" ref="J8:J55" si="3">J7+2%</f>
        <v>0.06</v>
      </c>
      <c r="K8" s="84">
        <f t="shared" ca="1" si="2"/>
        <v>8.879999999999999</v>
      </c>
      <c r="L8" s="87" t="str">
        <f t="shared" ca="1" si="0"/>
        <v/>
      </c>
      <c r="M8" s="85" t="str">
        <f t="shared" ca="1" si="1"/>
        <v/>
      </c>
      <c r="N8" s="84">
        <f ca="1">LN('Histogram Data'!K8+0.01)-LN(price)</f>
        <v>-2.6671032143938036</v>
      </c>
      <c r="O8" s="84">
        <f ca="1">_xlfn.NORM.DIST(N8,0+0.03^3,AVERAGE('Valuation Model'!$K$22:$L$22),FALSE)/scaling</f>
        <v>1.0566480741974966E-25</v>
      </c>
    </row>
    <row r="9" spans="1:15" s="79" customFormat="1" ht="11.65">
      <c r="A9" s="82"/>
      <c r="B9" s="88" t="str">
        <f>'Valuation Model'!I8</f>
        <v>7% | 26% | 2%</v>
      </c>
      <c r="C9" s="89">
        <f ca="1">'Valuation Model'!K8</f>
        <v>103</v>
      </c>
      <c r="D9" s="84">
        <f ca="1">IF(ABS(INDEX($K$6:$K$55,MATCH(C9,$K$6:$K$55,1)+IF(C9&gt;=MAX($K$6:$K$55),0,1),1)-C9)&lt;ABS(INDEX($K$6:$K$55,MATCH(C9,$K$6:$K$55,1))-C9),INDEX($K$6:$K$55,MATCH(C9,$K$6:$K$55,1)+IF(C9&gt;=MAX($K$6:$K$55),0,1),1),INDEX($K$6:$K$55,MATCH(C9,$K$6:$K$55,1)))</f>
        <v>103.60000000000004</v>
      </c>
      <c r="E9" s="85">
        <f>IF(H9="N",5%/COUNTIF('Valuation Model'!$L$2:$L$9,"No"),IF(G9&lt;&gt;"Y",50%/(COUNTIF('Valuation Model'!$L$2:$L$9,"Yes")-COUNTIF(G$5:G$12,"Y")),45%/(COUNTIF(G$5:G$12,"Y"))))</f>
        <v>0.125</v>
      </c>
      <c r="F9" s="79" t="s">
        <v>51</v>
      </c>
      <c r="G9" s="79" t="str">
        <f>IF(LEFT('Valuation Model'!L5,1)="M","Y","")</f>
        <v/>
      </c>
      <c r="H9" s="79" t="str">
        <f>IF(LEFT('Valuation Model'!L8,1)="M","Y",LEFT('Valuation Model'!L8,1))</f>
        <v>Y</v>
      </c>
      <c r="J9" s="86">
        <f t="shared" si="3"/>
        <v>0.08</v>
      </c>
      <c r="K9" s="84">
        <f t="shared" ca="1" si="2"/>
        <v>11.84</v>
      </c>
      <c r="L9" s="87" t="str">
        <f t="shared" ca="1" si="0"/>
        <v/>
      </c>
      <c r="M9" s="85" t="str">
        <f t="shared" ca="1" si="1"/>
        <v/>
      </c>
      <c r="N9" s="84">
        <f ca="1">LN('Histogram Data'!K9+0.01)-LN(price)</f>
        <v>-2.3797023963384767</v>
      </c>
      <c r="O9" s="84">
        <f ca="1">_xlfn.NORM.DIST(N9,0+0.03^3,AVERAGE('Valuation Model'!$K$22:$L$22),FALSE)/scaling</f>
        <v>8.8019848269735836E-21</v>
      </c>
    </row>
    <row r="10" spans="1:15" s="79" customFormat="1" ht="11.65">
      <c r="A10" s="82"/>
      <c r="B10" s="88" t="str">
        <f>'Valuation Model'!I5</f>
        <v>2% | 26% | 10%</v>
      </c>
      <c r="C10" s="89">
        <f ca="1">'Valuation Model'!K5</f>
        <v>106</v>
      </c>
      <c r="D10" s="84">
        <f ca="1">IF(ABS(INDEX($K$6:$K$55,MATCH(C10,$K$6:$K$55,1)+IF(C10&gt;=MAX($K$6:$K$55),0,1),1)-C10)&lt;ABS(INDEX($K$6:$K$55,MATCH(C10,$K$6:$K$55,1))-C10),INDEX($K$6:$K$55,MATCH(C10,$K$6:$K$55,1)+IF(C10&gt;=MAX($K$6:$K$55),0,1),1),INDEX($K$6:$K$55,MATCH(C10,$K$6:$K$55,1)))</f>
        <v>106.56000000000004</v>
      </c>
      <c r="E10" s="85">
        <f>IF(H10="N",5%/COUNTIF('Valuation Model'!$L$2:$L$9,"No"),IF(G10&lt;&gt;"Y",50%/(COUNTIF('Valuation Model'!$L$2:$L$9,"Yes")-COUNTIF(G$5:G$12,"Y")),45%/(COUNTIF(G$5:G$12,"Y"))))</f>
        <v>0.22500000000000001</v>
      </c>
      <c r="F10" s="79" t="s">
        <v>51</v>
      </c>
      <c r="G10" s="79" t="str">
        <f>IF(LEFT('Valuation Model'!L8,1)="M","Y","")</f>
        <v>Y</v>
      </c>
      <c r="H10" s="79" t="str">
        <f>IF(LEFT('Valuation Model'!L5,1)="M","Y",LEFT('Valuation Model'!L5,1))</f>
        <v>Y</v>
      </c>
      <c r="J10" s="86">
        <f t="shared" si="3"/>
        <v>0.1</v>
      </c>
      <c r="K10" s="84">
        <f t="shared" ca="1" si="2"/>
        <v>14.8</v>
      </c>
      <c r="L10" s="87" t="str">
        <f t="shared" ca="1" si="0"/>
        <v/>
      </c>
      <c r="M10" s="85" t="str">
        <f t="shared" ca="1" si="1"/>
        <v/>
      </c>
      <c r="N10" s="84">
        <f ca="1">LN('Histogram Data'!K10+0.01)-LN(price)</f>
        <v>-2.1567276356399097</v>
      </c>
      <c r="O10" s="84">
        <f ca="1">_xlfn.NORM.DIST(N10,0+0.03^3,AVERAGE('Valuation Model'!$K$22:$L$22),FALSE)/scaling</f>
        <v>2.3774702434927631E-17</v>
      </c>
    </row>
    <row r="11" spans="1:15" s="79" customFormat="1" ht="11.65">
      <c r="A11" s="82"/>
      <c r="B11" s="88" t="str">
        <f>'Valuation Model'!I7</f>
        <v>7% | 24% | 10%</v>
      </c>
      <c r="C11" s="89">
        <f ca="1">'Valuation Model'!K7</f>
        <v>127</v>
      </c>
      <c r="D11" s="84">
        <f ca="1">IF(ABS(INDEX($K$6:$K$55,MATCH(C11,$K$6:$K$55,1)+IF(C11&gt;=MAX($K$6:$K$55),0,1),1)-C11)&lt;ABS(INDEX($K$6:$K$55,MATCH(C11,$K$6:$K$55,1))-C11),INDEX($K$6:$K$55,MATCH(C11,$K$6:$K$55,1)+IF(C11&gt;=MAX($K$6:$K$55),0,1),1),INDEX($K$6:$K$55,MATCH(C11,$K$6:$K$55,1)))</f>
        <v>127.28000000000006</v>
      </c>
      <c r="E11" s="85">
        <f>IF(H11="N",5%/COUNTIF('Valuation Model'!$L$2:$L$9,"No"),IF(G11&lt;&gt;"Y",50%/(COUNTIF('Valuation Model'!$L$2:$L$9,"Yes")-COUNTIF(G$5:G$12,"Y")),45%/(COUNTIF(G$5:G$12,"Y"))))</f>
        <v>0.125</v>
      </c>
      <c r="F11" s="79" t="s">
        <v>51</v>
      </c>
      <c r="G11" s="79" t="str">
        <f>IF(LEFT('Valuation Model'!L7,1)="M","Y","")</f>
        <v/>
      </c>
      <c r="H11" s="79" t="str">
        <f>IF(LEFT('Valuation Model'!L7,1)="M","Y",LEFT('Valuation Model'!L7,1))</f>
        <v>Y</v>
      </c>
      <c r="J11" s="86">
        <f t="shared" si="3"/>
        <v>0.12000000000000001</v>
      </c>
      <c r="K11" s="84">
        <f t="shared" ca="1" si="2"/>
        <v>17.760000000000002</v>
      </c>
      <c r="L11" s="87" t="str">
        <f t="shared" ca="1" si="0"/>
        <v/>
      </c>
      <c r="M11" s="85" t="str">
        <f t="shared" ca="1" si="1"/>
        <v/>
      </c>
      <c r="N11" s="84">
        <f ca="1">LN('Histogram Data'!K11+0.01)-LN(price)</f>
        <v>-1.9745186217530568</v>
      </c>
      <c r="O11" s="84">
        <f ca="1">_xlfn.NORM.DIST(N11,0+0.03^3,AVERAGE('Valuation Model'!$K$22:$L$22),FALSE)/scaling</f>
        <v>8.507758936282737E-15</v>
      </c>
    </row>
    <row r="12" spans="1:15" s="79" customFormat="1" ht="11.65">
      <c r="A12" s="82"/>
      <c r="B12" s="88" t="str">
        <f>'Valuation Model'!I9</f>
        <v>7% | 26% | 10%</v>
      </c>
      <c r="C12" s="89">
        <f ca="1">'Valuation Model'!K9</f>
        <v>138</v>
      </c>
      <c r="D12" s="84">
        <f ca="1">IF(ABS(INDEX($K$6:$K$55,MATCH(C12,$K$6:$K$55,1)+IF(C12&gt;=MAX($K$6:$K$55),0,1),1)-C12)&lt;ABS(INDEX($K$6:$K$55,MATCH(C12,$K$6:$K$55,1))-C12),INDEX($K$6:$K$55,MATCH(C12,$K$6:$K$55,1)+IF(C12&gt;=MAX($K$6:$K$55),0,1),1),INDEX($K$6:$K$55,MATCH(C12,$K$6:$K$55,1)))</f>
        <v>139.12000000000006</v>
      </c>
      <c r="E12" s="85">
        <f>IF(H12="N",5%/COUNTIF('Valuation Model'!$L$2:$L$9,"No"),IF(G12&lt;&gt;"Y",50%/(COUNTIF('Valuation Model'!$L$2:$L$9,"Yes")-COUNTIF(G$5:G$12,"Y")),45%/(COUNTIF(G$5:G$12,"Y"))))</f>
        <v>0.125</v>
      </c>
      <c r="F12" s="79" t="s">
        <v>51</v>
      </c>
      <c r="G12" s="79" t="str">
        <f>IF(LEFT('Valuation Model'!L9,1)="M","Y","")</f>
        <v/>
      </c>
      <c r="H12" s="79" t="str">
        <f>IF(LEFT('Valuation Model'!L9,1)="M","Y",LEFT('Valuation Model'!L9,1))</f>
        <v>Y</v>
      </c>
      <c r="J12" s="86">
        <f t="shared" si="3"/>
        <v>0.14000000000000001</v>
      </c>
      <c r="K12" s="84">
        <f t="shared" ca="1" si="2"/>
        <v>20.720000000000002</v>
      </c>
      <c r="L12" s="87" t="str">
        <f t="shared" ca="1" si="0"/>
        <v/>
      </c>
      <c r="M12" s="85" t="str">
        <f t="shared" ca="1" si="1"/>
        <v/>
      </c>
      <c r="N12" s="84">
        <f ca="1">LN('Histogram Data'!K12+0.01)-LN(price)</f>
        <v>-1.8204483374719285</v>
      </c>
      <c r="O12" s="84">
        <f ca="1">_xlfn.NORM.DIST(N12,0+0.03^3,AVERAGE('Valuation Model'!$K$22:$L$22),FALSE)/scaling</f>
        <v>8.1918070875104344E-13</v>
      </c>
    </row>
    <row r="13" spans="1:15" s="79" customFormat="1" ht="11.65">
      <c r="A13" s="82"/>
      <c r="J13" s="86">
        <f t="shared" si="3"/>
        <v>0.16</v>
      </c>
      <c r="K13" s="84">
        <f t="shared" ca="1" si="2"/>
        <v>23.68</v>
      </c>
      <c r="L13" s="87" t="str">
        <f t="shared" ca="1" si="0"/>
        <v/>
      </c>
      <c r="M13" s="85" t="str">
        <f t="shared" ca="1" si="1"/>
        <v/>
      </c>
      <c r="N13" s="84">
        <f ca="1">LN('Histogram Data'!K13+0.01)-LN(price)</f>
        <v>-1.6869772457489227</v>
      </c>
      <c r="O13" s="84">
        <f ca="1">_xlfn.NORM.DIST(N13,0+0.03^3,AVERAGE('Valuation Model'!$K$22:$L$22),FALSE)/scaling</f>
        <v>3.1735458590840513E-11</v>
      </c>
    </row>
    <row r="14" spans="1:15" s="79" customFormat="1" ht="11.65">
      <c r="A14" s="82"/>
      <c r="J14" s="86">
        <f t="shared" si="3"/>
        <v>0.18</v>
      </c>
      <c r="K14" s="84">
        <f t="shared" ca="1" si="2"/>
        <v>26.64</v>
      </c>
      <c r="L14" s="87" t="str">
        <f t="shared" ca="1" si="0"/>
        <v/>
      </c>
      <c r="M14" s="85" t="str">
        <f t="shared" ca="1" si="1"/>
        <v/>
      </c>
      <c r="N14" s="84">
        <f ca="1">LN('Histogram Data'!K14+0.01)-LN(price)</f>
        <v>-1.5692411133077631</v>
      </c>
      <c r="O14" s="84">
        <f ca="1">_xlfn.NORM.DIST(N14,0+0.03^3,AVERAGE('Valuation Model'!$K$22:$L$22),FALSE)/scaling</f>
        <v>6.3408110757024642E-10</v>
      </c>
    </row>
    <row r="15" spans="1:15" s="79" customFormat="1" ht="11.65">
      <c r="A15" s="82"/>
      <c r="J15" s="86">
        <f t="shared" si="3"/>
        <v>0.19999999999999998</v>
      </c>
      <c r="K15" s="84">
        <f t="shared" ca="1" si="2"/>
        <v>29.599999999999998</v>
      </c>
      <c r="L15" s="87" t="str">
        <f t="shared" ca="1" si="0"/>
        <v/>
      </c>
      <c r="M15" s="85" t="str">
        <f t="shared" ca="1" si="1"/>
        <v/>
      </c>
      <c r="N15" s="84">
        <f ca="1">LN('Histogram Data'!K15+0.01)-LN(price)</f>
        <v>-1.4639181218061168</v>
      </c>
      <c r="O15" s="84">
        <f ca="1">_xlfn.NORM.DIST(N15,0+0.03^3,AVERAGE('Valuation Model'!$K$22:$L$22),FALSE)/scaling</f>
        <v>7.6898964976292257E-9</v>
      </c>
    </row>
    <row r="16" spans="1:15" s="79" customFormat="1" ht="11.65">
      <c r="A16" s="82"/>
      <c r="C16" s="83"/>
      <c r="D16" s="84"/>
      <c r="E16" s="85"/>
      <c r="J16" s="86">
        <f t="shared" si="3"/>
        <v>0.21999999999999997</v>
      </c>
      <c r="K16" s="84">
        <f t="shared" ca="1" si="2"/>
        <v>32.559999999999995</v>
      </c>
      <c r="L16" s="87" t="str">
        <f t="shared" ca="1" si="0"/>
        <v/>
      </c>
      <c r="M16" s="85" t="str">
        <f t="shared" ca="1" si="1"/>
        <v/>
      </c>
      <c r="N16" s="84">
        <f ca="1">LN('Histogram Data'!K16+0.01)-LN(price)</f>
        <v>-1.3686386446314751</v>
      </c>
      <c r="O16" s="84">
        <f ca="1">_xlfn.NORM.DIST(N16,0+0.03^3,AVERAGE('Valuation Model'!$K$22:$L$22),FALSE)/scaling</f>
        <v>6.3315104943436283E-8</v>
      </c>
    </row>
    <row r="17" spans="4:15" s="79" customFormat="1" ht="11.65">
      <c r="J17" s="86">
        <f t="shared" si="3"/>
        <v>0.23999999999999996</v>
      </c>
      <c r="K17" s="84">
        <f t="shared" ca="1" si="2"/>
        <v>35.519999999999996</v>
      </c>
      <c r="L17" s="87" t="str">
        <f t="shared" ca="1" si="0"/>
        <v/>
      </c>
      <c r="M17" s="85" t="str">
        <f t="shared" ca="1" si="1"/>
        <v/>
      </c>
      <c r="N17" s="84">
        <f ca="1">LN('Histogram Data'!K17+0.01)-LN(price)</f>
        <v>-1.2816528538866812</v>
      </c>
      <c r="O17" s="84">
        <f ca="1">_xlfn.NORM.DIST(N17,0+0.03^3,AVERAGE('Valuation Model'!$K$22:$L$22),FALSE)/scaling</f>
        <v>3.8336332594910137E-7</v>
      </c>
    </row>
    <row r="18" spans="4:15" s="79" customFormat="1" ht="11.65">
      <c r="D18" s="86"/>
      <c r="J18" s="86">
        <f t="shared" si="3"/>
        <v>0.25999999999999995</v>
      </c>
      <c r="K18" s="84">
        <f t="shared" ca="1" si="2"/>
        <v>38.47999999999999</v>
      </c>
      <c r="L18" s="87" t="str">
        <f t="shared" ca="1" si="0"/>
        <v/>
      </c>
      <c r="M18" s="85" t="str">
        <f t="shared" ca="1" si="1"/>
        <v/>
      </c>
      <c r="N18" s="84">
        <f ca="1">LN('Histogram Data'!K18+0.01)-LN(price)</f>
        <v>-1.2016317966239622</v>
      </c>
      <c r="O18" s="84">
        <f ca="1">_xlfn.NORM.DIST(N18,0+0.03^3,AVERAGE('Valuation Model'!$K$22:$L$22),FALSE)/scaling</f>
        <v>1.8103221151019372E-6</v>
      </c>
    </row>
    <row r="19" spans="4:15" s="79" customFormat="1" ht="11.65">
      <c r="D19" s="90"/>
      <c r="J19" s="86">
        <f t="shared" si="3"/>
        <v>0.27999999999999997</v>
      </c>
      <c r="K19" s="84">
        <f t="shared" ca="1" si="2"/>
        <v>41.44</v>
      </c>
      <c r="L19" s="87" t="str">
        <f t="shared" ca="1" si="0"/>
        <v/>
      </c>
      <c r="M19" s="85" t="str">
        <f t="shared" ca="1" si="1"/>
        <v/>
      </c>
      <c r="N19" s="84">
        <f ca="1">LN('Histogram Data'!K19+0.01)-LN(price)</f>
        <v>-1.1275423823383131</v>
      </c>
      <c r="O19" s="84">
        <f ca="1">_xlfn.NORM.DIST(N19,0+0.03^3,AVERAGE('Valuation Model'!$K$22:$L$22),FALSE)/scaling</f>
        <v>6.9693875337734174E-6</v>
      </c>
    </row>
    <row r="20" spans="4:15" s="79" customFormat="1" ht="11.65">
      <c r="J20" s="86">
        <f t="shared" si="3"/>
        <v>0.3</v>
      </c>
      <c r="K20" s="84">
        <f t="shared" ca="1" si="2"/>
        <v>44.4</v>
      </c>
      <c r="L20" s="87" t="str">
        <f t="shared" ca="1" si="0"/>
        <v/>
      </c>
      <c r="M20" s="85" t="str">
        <f t="shared" ca="1" si="1"/>
        <v/>
      </c>
      <c r="N20" s="84">
        <f ca="1">LN('Histogram Data'!K20+0.01)-LN(price)</f>
        <v>-1.0585655946156063</v>
      </c>
      <c r="O20" s="84">
        <f ca="1">_xlfn.NORM.DIST(N20,0+0.03^3,AVERAGE('Valuation Model'!$K$22:$L$22),FALSE)/scaling</f>
        <v>2.2633773510351347E-5</v>
      </c>
    </row>
    <row r="21" spans="4:15" s="79" customFormat="1" ht="11.65">
      <c r="J21" s="86">
        <f t="shared" si="3"/>
        <v>0.32</v>
      </c>
      <c r="K21" s="84">
        <f t="shared" ca="1" si="2"/>
        <v>47.36</v>
      </c>
      <c r="L21" s="87" t="str">
        <f t="shared" ca="1" si="0"/>
        <v/>
      </c>
      <c r="M21" s="85" t="str">
        <f t="shared" ca="1" si="1"/>
        <v/>
      </c>
      <c r="N21" s="84">
        <f ca="1">LN('Histogram Data'!K21+0.01)-LN(price)</f>
        <v>-0.99404114698395674</v>
      </c>
      <c r="O21" s="84">
        <f ca="1">_xlfn.NORM.DIST(N21,0+0.03^3,AVERAGE('Valuation Model'!$K$22:$L$22),FALSE)/scaling</f>
        <v>6.3690685860512476E-5</v>
      </c>
    </row>
    <row r="22" spans="4:15" s="79" customFormat="1" ht="11.65">
      <c r="J22" s="86">
        <f t="shared" si="3"/>
        <v>0.34</v>
      </c>
      <c r="K22" s="84">
        <f t="shared" ca="1" si="2"/>
        <v>50.32</v>
      </c>
      <c r="L22" s="87" t="str">
        <f t="shared" ca="1" si="0"/>
        <v/>
      </c>
      <c r="M22" s="85" t="str">
        <f t="shared" ca="1" si="1"/>
        <v/>
      </c>
      <c r="N22" s="84">
        <f ca="1">LN('Histogram Data'!K22+0.01)-LN(price)</f>
        <v>-0.93342894313134828</v>
      </c>
      <c r="O22" s="84">
        <f ca="1">_xlfn.NORM.DIST(N22,0+0.03^3,AVERAGE('Valuation Model'!$K$22:$L$22),FALSE)/scaling</f>
        <v>1.5864293067282219E-4</v>
      </c>
    </row>
    <row r="23" spans="4:15" s="79" customFormat="1" ht="11.65">
      <c r="J23" s="86">
        <f t="shared" si="3"/>
        <v>0.36000000000000004</v>
      </c>
      <c r="K23" s="84">
        <f t="shared" ca="1" si="2"/>
        <v>53.280000000000008</v>
      </c>
      <c r="L23" s="87" t="str">
        <f t="shared" ca="1" si="0"/>
        <v/>
      </c>
      <c r="M23" s="85" t="str">
        <f t="shared" ca="1" si="1"/>
        <v/>
      </c>
      <c r="N23" s="84">
        <f ca="1">LN('Histogram Data'!K23+0.01)-LN(price)</f>
        <v>-0.8762815676109259</v>
      </c>
      <c r="O23" s="84">
        <f ca="1">_xlfn.NORM.DIST(N23,0+0.03^3,AVERAGE('Valuation Model'!$K$22:$L$22),FALSE)/scaling</f>
        <v>3.5585979501430247E-4</v>
      </c>
    </row>
    <row r="24" spans="4:15" s="79" customFormat="1" ht="11.65">
      <c r="J24" s="86">
        <f t="shared" si="3"/>
        <v>0.38000000000000006</v>
      </c>
      <c r="K24" s="84">
        <f t="shared" ca="1" si="2"/>
        <v>56.240000000000009</v>
      </c>
      <c r="L24" s="87" t="str">
        <f t="shared" ca="1" si="0"/>
        <v/>
      </c>
      <c r="M24" s="85" t="str">
        <f t="shared" ca="1" si="1"/>
        <v/>
      </c>
      <c r="N24" s="84">
        <f ca="1">LN('Histogram Data'!K24+0.01)-LN(price)</f>
        <v>-0.82222422283508756</v>
      </c>
      <c r="O24" s="84">
        <f ca="1">_xlfn.NORM.DIST(N24,0+0.03^3,AVERAGE('Valuation Model'!$K$22:$L$22),FALSE)/scaling</f>
        <v>7.2907516511586221E-4</v>
      </c>
    </row>
    <row r="25" spans="4:15" s="79" customFormat="1" ht="11.65">
      <c r="J25" s="86">
        <f t="shared" si="3"/>
        <v>0.40000000000000008</v>
      </c>
      <c r="K25" s="84">
        <f t="shared" ca="1" si="2"/>
        <v>59.20000000000001</v>
      </c>
      <c r="L25" s="87" t="str">
        <f t="shared" ca="1" si="0"/>
        <v/>
      </c>
      <c r="M25" s="85" t="str">
        <f t="shared" ca="1" si="1"/>
        <v/>
      </c>
      <c r="N25" s="84">
        <f ca="1">LN('Histogram Data'!K25+0.01)-LN(price)</f>
        <v>-0.77093981737593165</v>
      </c>
      <c r="O25" s="84">
        <f ca="1">_xlfn.NORM.DIST(N25,0+0.03^3,AVERAGE('Valuation Model'!$K$22:$L$22),FALSE)/scaling</f>
        <v>1.3802568615583451E-3</v>
      </c>
    </row>
    <row r="26" spans="4:15" s="79" customFormat="1" ht="11.65">
      <c r="J26" s="86">
        <f t="shared" si="3"/>
        <v>0.4200000000000001</v>
      </c>
      <c r="K26" s="84">
        <f t="shared" ca="1" si="2"/>
        <v>62.160000000000011</v>
      </c>
      <c r="L26" s="87" t="str">
        <f t="shared" ca="1" si="0"/>
        <v/>
      </c>
      <c r="M26" s="85" t="str">
        <f t="shared" ca="1" si="1"/>
        <v/>
      </c>
      <c r="N26" s="84">
        <f ca="1">LN('Histogram Data'!K26+0.01)-LN(price)</f>
        <v>-0.72215769563837018</v>
      </c>
      <c r="O26" s="84">
        <f ca="1">_xlfn.NORM.DIST(N26,0+0.03^3,AVERAGE('Valuation Model'!$K$22:$L$22),FALSE)/scaling</f>
        <v>2.4381634250686172E-3</v>
      </c>
    </row>
    <row r="27" spans="4:15" s="79" customFormat="1" ht="11.65">
      <c r="J27" s="86">
        <f t="shared" si="3"/>
        <v>0.44000000000000011</v>
      </c>
      <c r="K27" s="84">
        <f t="shared" ca="1" si="2"/>
        <v>65.120000000000019</v>
      </c>
      <c r="L27" s="87" t="str">
        <f t="shared" ca="1" si="0"/>
        <v/>
      </c>
      <c r="M27" s="85" t="str">
        <f t="shared" ca="1" si="1"/>
        <v/>
      </c>
      <c r="N27" s="84">
        <f ca="1">LN('Histogram Data'!K27+0.01)-LN(price)</f>
        <v>-0.67564499136130607</v>
      </c>
      <c r="O27" s="84">
        <f ca="1">_xlfn.NORM.DIST(N27,0+0.03^3,AVERAGE('Valuation Model'!$K$22:$L$22),FALSE)/scaling</f>
        <v>4.0516633688205909E-3</v>
      </c>
    </row>
    <row r="28" spans="4:15" s="79" customFormat="1" ht="11.65">
      <c r="J28" s="86">
        <f t="shared" si="3"/>
        <v>0.46000000000000013</v>
      </c>
      <c r="K28" s="84">
        <f t="shared" ca="1" si="2"/>
        <v>68.080000000000013</v>
      </c>
      <c r="L28" s="87" t="str">
        <f t="shared" ca="1" si="0"/>
        <v/>
      </c>
      <c r="M28" s="85" t="str">
        <f t="shared" ca="1" si="1"/>
        <v/>
      </c>
      <c r="N28" s="84">
        <f ca="1">LN('Histogram Data'!K28+0.01)-LN(price)</f>
        <v>-0.63119990442474094</v>
      </c>
      <c r="O28" s="84">
        <f ca="1">_xlfn.NORM.DIST(N28,0+0.03^3,AVERAGE('Valuation Model'!$K$22:$L$22),FALSE)/scaling</f>
        <v>6.3780001909907909E-3</v>
      </c>
    </row>
    <row r="29" spans="4:15" s="79" customFormat="1" ht="11.65">
      <c r="J29" s="86">
        <f t="shared" si="3"/>
        <v>0.48000000000000015</v>
      </c>
      <c r="K29" s="84">
        <f t="shared" ca="1" si="2"/>
        <v>71.04000000000002</v>
      </c>
      <c r="L29" s="87" t="str">
        <f t="shared" ca="1" si="0"/>
        <v/>
      </c>
      <c r="M29" s="85" t="str">
        <f t="shared" ca="1" si="1"/>
        <v/>
      </c>
      <c r="N29" s="84">
        <f ca="1">LN('Histogram Data'!K29+0.01)-LN(price)</f>
        <v>-0.5886464093765067</v>
      </c>
      <c r="O29" s="84">
        <f ca="1">_xlfn.NORM.DIST(N29,0+0.03^3,AVERAGE('Valuation Model'!$K$22:$L$22),FALSE)/scaling</f>
        <v>9.5673133988846467E-3</v>
      </c>
    </row>
    <row r="30" spans="4:15" s="79" customFormat="1" ht="11.65">
      <c r="J30" s="86">
        <f t="shared" si="3"/>
        <v>0.50000000000000011</v>
      </c>
      <c r="K30" s="84">
        <f t="shared" ca="1" si="2"/>
        <v>74.000000000000014</v>
      </c>
      <c r="L30" s="87">
        <f t="shared" ca="1" si="0"/>
        <v>0.125</v>
      </c>
      <c r="M30" s="85" t="str">
        <f t="shared" ca="1" si="1"/>
        <v/>
      </c>
      <c r="N30" s="84">
        <f ca="1">LN('Histogram Data'!K30+0.01)-LN(price)</f>
        <v>-0.54783004471024199</v>
      </c>
      <c r="O30" s="84">
        <f ca="1">_xlfn.NORM.DIST(N30,0+0.03^3,AVERAGE('Valuation Model'!$K$22:$L$22),FALSE)/scaling</f>
        <v>1.3745560009925729E-2</v>
      </c>
    </row>
    <row r="31" spans="4:15" s="79" customFormat="1" ht="11.65">
      <c r="J31" s="86">
        <f t="shared" si="3"/>
        <v>0.52000000000000013</v>
      </c>
      <c r="K31" s="84">
        <f t="shared" ca="1" si="2"/>
        <v>76.960000000000022</v>
      </c>
      <c r="L31" s="87" t="str">
        <f t="shared" ca="1" si="0"/>
        <v/>
      </c>
      <c r="M31" s="85" t="str">
        <f t="shared" ca="1" si="1"/>
        <v/>
      </c>
      <c r="N31" s="84">
        <f ca="1">LN('Histogram Data'!K31+0.01)-LN(price)</f>
        <v>-0.50861452837339005</v>
      </c>
      <c r="O31" s="84">
        <f ca="1">_xlfn.NORM.DIST(N31,0+0.03^3,AVERAGE('Valuation Model'!$K$22:$L$22),FALSE)/scaling</f>
        <v>1.8998330570857577E-2</v>
      </c>
    </row>
    <row r="32" spans="4:15" s="79" customFormat="1" ht="11.65">
      <c r="J32" s="86">
        <f t="shared" si="3"/>
        <v>0.54000000000000015</v>
      </c>
      <c r="K32" s="84">
        <f t="shared" ca="1" si="2"/>
        <v>79.920000000000016</v>
      </c>
      <c r="L32" s="87">
        <f t="shared" ca="1" si="0"/>
        <v>0.22500000000000001</v>
      </c>
      <c r="M32" s="85" t="str">
        <f t="shared" ca="1" si="1"/>
        <v/>
      </c>
      <c r="N32" s="84">
        <f ca="1">LN('Histogram Data'!K32+0.01)-LN(price)</f>
        <v>-0.4708790122816886</v>
      </c>
      <c r="O32" s="84">
        <f ca="1">_xlfn.NORM.DIST(N32,0+0.03^3,AVERAGE('Valuation Model'!$K$22:$L$22),FALSE)/scaling</f>
        <v>2.5357883372911214E-2</v>
      </c>
    </row>
    <row r="33" spans="10:15" s="79" customFormat="1" ht="11.65">
      <c r="J33" s="86">
        <f t="shared" si="3"/>
        <v>0.56000000000000016</v>
      </c>
      <c r="K33" s="84">
        <f t="shared" ca="1" si="2"/>
        <v>82.880000000000024</v>
      </c>
      <c r="L33" s="87" t="str">
        <f t="shared" ca="1" si="0"/>
        <v/>
      </c>
      <c r="M33" s="85" t="str">
        <f t="shared" ca="1" si="1"/>
        <v/>
      </c>
      <c r="N33" s="84">
        <f ca="1">LN('Histogram Data'!K33+0.01)-LN(price)</f>
        <v>-0.43451583631618185</v>
      </c>
      <c r="O33" s="84">
        <f ca="1">_xlfn.NORM.DIST(N33,0+0.03^3,AVERAGE('Valuation Model'!$K$22:$L$22),FALSE)/scaling</f>
        <v>3.279512988460808E-2</v>
      </c>
    </row>
    <row r="34" spans="10:15" s="79" customFormat="1" ht="11.65">
      <c r="J34" s="86">
        <f t="shared" si="3"/>
        <v>0.58000000000000018</v>
      </c>
      <c r="K34" s="84">
        <f t="shared" ca="1" si="2"/>
        <v>85.840000000000032</v>
      </c>
      <c r="L34" s="87" t="str">
        <f t="shared" ca="1" si="0"/>
        <v/>
      </c>
      <c r="M34" s="85" t="str">
        <f t="shared" ca="1" si="1"/>
        <v/>
      </c>
      <c r="N34" s="84">
        <f ca="1">LN('Histogram Data'!K34+0.01)-LN(price)</f>
        <v>-0.39942867657613235</v>
      </c>
      <c r="O34" s="84">
        <f ca="1">_xlfn.NORM.DIST(N34,0+0.03^3,AVERAGE('Valuation Model'!$K$22:$L$22),FALSE)/scaling</f>
        <v>4.1217472176032062E-2</v>
      </c>
    </row>
    <row r="35" spans="10:15" s="79" customFormat="1" ht="11.65">
      <c r="J35" s="86">
        <f t="shared" si="3"/>
        <v>0.6000000000000002</v>
      </c>
      <c r="K35" s="84">
        <f t="shared" ca="1" si="2"/>
        <v>88.800000000000026</v>
      </c>
      <c r="L35" s="87" t="str">
        <f t="shared" ca="1" si="0"/>
        <v/>
      </c>
      <c r="M35" s="85" t="str">
        <f t="shared" ca="1" si="1"/>
        <v/>
      </c>
      <c r="N35" s="84">
        <f ca="1">LN('Histogram Data'!K35+0.01)-LN(price)</f>
        <v>-0.36553100764920377</v>
      </c>
      <c r="O35" s="84">
        <f ca="1">_xlfn.NORM.DIST(N35,0+0.03^3,AVERAGE('Valuation Model'!$K$22:$L$22),FALSE)/scaling</f>
        <v>5.0472514628861147E-2</v>
      </c>
    </row>
    <row r="36" spans="10:15" s="79" customFormat="1" ht="11.65">
      <c r="J36" s="86">
        <f t="shared" si="3"/>
        <v>0.62000000000000022</v>
      </c>
      <c r="K36" s="84">
        <f t="shared" ca="1" si="2"/>
        <v>91.760000000000034</v>
      </c>
      <c r="L36" s="87" t="str">
        <f t="shared" ca="1" si="0"/>
        <v/>
      </c>
      <c r="M36" s="85" t="str">
        <f t="shared" ca="1" si="1"/>
        <v/>
      </c>
      <c r="N36" s="84">
        <f ca="1">LN('Histogram Data'!K36+0.01)-LN(price)</f>
        <v>-0.33274481708869441</v>
      </c>
      <c r="O36" s="84">
        <f ca="1">_xlfn.NORM.DIST(N36,0+0.03^3,AVERAGE('Valuation Model'!$K$22:$L$22),FALSE)/scaling</f>
        <v>6.0356910646246237E-2</v>
      </c>
    </row>
    <row r="37" spans="10:15" s="79" customFormat="1" ht="11.65">
      <c r="J37" s="86">
        <f t="shared" si="3"/>
        <v>0.64000000000000024</v>
      </c>
      <c r="K37" s="84">
        <f t="shared" ca="1" si="2"/>
        <v>94.720000000000041</v>
      </c>
      <c r="L37" s="87">
        <f t="shared" ca="1" si="0"/>
        <v>0.125</v>
      </c>
      <c r="M37" s="85" t="str">
        <f t="shared" ca="1" si="1"/>
        <v/>
      </c>
      <c r="N37" s="84">
        <f ca="1">LN('Histogram Data'!K37+0.01)-LN(price)</f>
        <v>-0.30099952403217323</v>
      </c>
      <c r="O37" s="84">
        <f ca="1">_xlfn.NORM.DIST(N37,0+0.03^3,AVERAGE('Valuation Model'!$K$22:$L$22),FALSE)/scaling</f>
        <v>7.0629064635761268E-2</v>
      </c>
    </row>
    <row r="38" spans="10:15" s="79" customFormat="1" ht="11.65">
      <c r="J38" s="86">
        <f t="shared" si="3"/>
        <v>0.66000000000000025</v>
      </c>
      <c r="K38" s="84">
        <f t="shared" ca="1" si="2"/>
        <v>97.680000000000035</v>
      </c>
      <c r="L38" s="87">
        <f t="shared" ca="1" si="0"/>
        <v>0.125</v>
      </c>
      <c r="M38" s="85" t="str">
        <f t="shared" ca="1" si="1"/>
        <v/>
      </c>
      <c r="N38" s="84">
        <f ca="1">LN('Histogram Data'!K38+0.01)-LN(price)</f>
        <v>-0.27023106425476495</v>
      </c>
      <c r="O38" s="84">
        <f ca="1">_xlfn.NORM.DIST(N38,0+0.03^3,AVERAGE('Valuation Model'!$K$22:$L$22),FALSE)/scaling</f>
        <v>8.1024130408973466E-2</v>
      </c>
    </row>
    <row r="39" spans="10:15" s="79" customFormat="1" ht="11.65">
      <c r="J39" s="86">
        <f t="shared" si="3"/>
        <v>0.68000000000000027</v>
      </c>
      <c r="K39" s="84">
        <f t="shared" ca="1" si="2"/>
        <v>100.64000000000004</v>
      </c>
      <c r="L39" s="87" t="str">
        <f t="shared" ca="1" si="0"/>
        <v/>
      </c>
      <c r="M39" s="85" t="str">
        <f t="shared" ca="1" si="1"/>
        <v/>
      </c>
      <c r="N39" s="84">
        <f ca="1">LN('Histogram Data'!K39+0.01)-LN(price)</f>
        <v>-0.24038111183381616</v>
      </c>
      <c r="O39" s="84">
        <f ca="1">_xlfn.NORM.DIST(N39,0+0.03^3,AVERAGE('Valuation Model'!$K$22:$L$22),FALSE)/scaling</f>
        <v>9.1269715588093089E-2</v>
      </c>
    </row>
    <row r="40" spans="10:15" s="79" customFormat="1" ht="11.65">
      <c r="J40" s="86">
        <f t="shared" si="3"/>
        <v>0.70000000000000029</v>
      </c>
      <c r="K40" s="84">
        <f t="shared" ca="1" si="2"/>
        <v>103.60000000000004</v>
      </c>
      <c r="L40" s="87">
        <f t="shared" ca="1" si="0"/>
        <v>0.125</v>
      </c>
      <c r="M40" s="85" t="str">
        <f t="shared" ca="1" si="1"/>
        <v/>
      </c>
      <c r="N40" s="84">
        <f ca="1">LN('Histogram Data'!K40+0.01)-LN(price)</f>
        <v>-0.21139641365595629</v>
      </c>
      <c r="O40" s="84">
        <f ca="1">_xlfn.NORM.DIST(N40,0+0.03^3,AVERAGE('Valuation Model'!$K$22:$L$22),FALSE)/scaling</f>
        <v>0.10110086784814069</v>
      </c>
    </row>
    <row r="41" spans="10:15" s="79" customFormat="1" ht="11.65">
      <c r="J41" s="86">
        <f t="shared" si="3"/>
        <v>0.72000000000000031</v>
      </c>
      <c r="K41" s="84">
        <f t="shared" ca="1" si="2"/>
        <v>106.56000000000004</v>
      </c>
      <c r="L41" s="87">
        <f t="shared" ca="1" si="0"/>
        <v>0.22500000000000001</v>
      </c>
      <c r="M41" s="85" t="str">
        <f t="shared" ca="1" si="1"/>
        <v/>
      </c>
      <c r="N41" s="84">
        <f ca="1">LN('Histogram Data'!K41+0.01)-LN(price)</f>
        <v>-0.1832282176867519</v>
      </c>
      <c r="O41" s="84">
        <f ca="1">_xlfn.NORM.DIST(N41,0+0.03^3,AVERAGE('Valuation Model'!$K$22:$L$22),FALSE)/scaling</f>
        <v>0.1102732160312741</v>
      </c>
    </row>
    <row r="42" spans="10:15" s="79" customFormat="1" ht="11.65">
      <c r="J42" s="86">
        <f t="shared" si="3"/>
        <v>0.74000000000000032</v>
      </c>
      <c r="K42" s="84">
        <f t="shared" ca="1" si="2"/>
        <v>109.52000000000005</v>
      </c>
      <c r="L42" s="87" t="str">
        <f t="shared" ca="1" si="0"/>
        <v/>
      </c>
      <c r="M42" s="85" t="str">
        <f t="shared" ca="1" si="1"/>
        <v/>
      </c>
      <c r="N42" s="84">
        <f ca="1">LN('Histogram Data'!K42+0.01)-LN(price)</f>
        <v>-0.15583177958396099</v>
      </c>
      <c r="O42" s="84">
        <f ca="1">_xlfn.NORM.DIST(N42,0+0.03^3,AVERAGE('Valuation Model'!$K$22:$L$22),FALSE)/scaling</f>
        <v>0.11857349939767285</v>
      </c>
    </row>
    <row r="43" spans="10:15" s="79" customFormat="1" ht="11.65">
      <c r="J43" s="86">
        <f t="shared" si="3"/>
        <v>0.76000000000000034</v>
      </c>
      <c r="K43" s="84">
        <f t="shared" ca="1" si="2"/>
        <v>112.48000000000005</v>
      </c>
      <c r="L43" s="87" t="str">
        <f t="shared" ca="1" si="0"/>
        <v/>
      </c>
      <c r="M43" s="85" t="str">
        <f t="shared" ca="1" si="1"/>
        <v/>
      </c>
      <c r="N43" s="84">
        <f ca="1">LN('Histogram Data'!K43+0.01)-LN(price)</f>
        <v>-0.12916593511488195</v>
      </c>
      <c r="O43" s="84">
        <f ca="1">_xlfn.NORM.DIST(N43,0+0.03^3,AVERAGE('Valuation Model'!$K$22:$L$22),FALSE)/scaling</f>
        <v>0.12582708329124578</v>
      </c>
    </row>
    <row r="44" spans="10:15" s="79" customFormat="1" ht="11.65">
      <c r="J44" s="86">
        <f t="shared" si="3"/>
        <v>0.78000000000000036</v>
      </c>
      <c r="K44" s="84">
        <f t="shared" ca="1" si="2"/>
        <v>115.44000000000005</v>
      </c>
      <c r="L44" s="87" t="str">
        <f t="shared" ca="1" si="0"/>
        <v/>
      </c>
      <c r="M44" s="85" t="str">
        <f t="shared" ca="1" si="1"/>
        <v/>
      </c>
      <c r="N44" s="84">
        <f ca="1">LN('Histogram Data'!K44+0.01)-LN(price)</f>
        <v>-0.10319272811911162</v>
      </c>
      <c r="O44" s="84">
        <f ca="1">_xlfn.NORM.DIST(N44,0+0.03^3,AVERAGE('Valuation Model'!$K$22:$L$22),FALSE)/scaling</f>
        <v>0.13190238641033605</v>
      </c>
    </row>
    <row r="45" spans="10:15" s="79" customFormat="1" ht="11.65">
      <c r="J45" s="86">
        <f t="shared" si="3"/>
        <v>0.80000000000000038</v>
      </c>
      <c r="K45" s="84">
        <f t="shared" ca="1" si="2"/>
        <v>118.40000000000006</v>
      </c>
      <c r="L45" s="87" t="str">
        <f t="shared" ca="1" si="0"/>
        <v/>
      </c>
      <c r="M45" s="85" t="str">
        <f t="shared" ca="1" si="1"/>
        <v/>
      </c>
      <c r="N45" s="84">
        <f ca="1">LN('Histogram Data'!K45+0.01)-LN(price)</f>
        <v>-7.7877085576750993E-2</v>
      </c>
      <c r="O45" s="84">
        <f ca="1">_xlfn.NORM.DIST(N45,0+0.03^3,AVERAGE('Valuation Model'!$K$22:$L$22),FALSE)/scaling</f>
        <v>0.13671240746209923</v>
      </c>
    </row>
    <row r="46" spans="10:15" s="79" customFormat="1" ht="11.65">
      <c r="J46" s="86">
        <f t="shared" si="3"/>
        <v>0.8200000000000004</v>
      </c>
      <c r="K46" s="84">
        <f t="shared" ca="1" si="2"/>
        <v>121.36000000000006</v>
      </c>
      <c r="L46" s="87" t="str">
        <f t="shared" ca="1" si="0"/>
        <v/>
      </c>
      <c r="M46" s="85" t="str">
        <f t="shared" ca="1" si="1"/>
        <v/>
      </c>
      <c r="N46" s="84">
        <f ca="1">LN('Histogram Data'!K46+0.01)-LN(price)</f>
        <v>-5.3186532801346331E-2</v>
      </c>
      <c r="O46" s="84">
        <f ca="1">_xlfn.NORM.DIST(N46,0+0.03^3,AVERAGE('Valuation Model'!$K$22:$L$22),FALSE)/scaling</f>
        <v>0.1402137260556697</v>
      </c>
    </row>
    <row r="47" spans="10:15" s="79" customFormat="1" ht="11.65">
      <c r="J47" s="86">
        <f t="shared" si="3"/>
        <v>0.84000000000000041</v>
      </c>
      <c r="K47" s="84">
        <f t="shared" ca="1" si="2"/>
        <v>124.32000000000006</v>
      </c>
      <c r="L47" s="87" t="str">
        <f t="shared" ca="1" si="0"/>
        <v/>
      </c>
      <c r="M47" s="85" t="str">
        <f t="shared" ca="1" si="1"/>
        <v/>
      </c>
      <c r="N47" s="84">
        <f ca="1">LN('Histogram Data'!K47+0.01)-LN(price)</f>
        <v>-2.9090942954770327E-2</v>
      </c>
      <c r="O47" s="84">
        <f ca="1">_xlfn.NORM.DIST(N47,0+0.03^3,AVERAGE('Valuation Model'!$K$22:$L$22),FALSE)/scaling</f>
        <v>0.14240346485177827</v>
      </c>
    </row>
    <row r="48" spans="10:15" s="79" customFormat="1" ht="11.65">
      <c r="J48" s="86">
        <f t="shared" si="3"/>
        <v>0.86000000000000043</v>
      </c>
      <c r="K48" s="84">
        <f t="shared" ca="1" si="2"/>
        <v>127.28000000000006</v>
      </c>
      <c r="L48" s="87">
        <f t="shared" ca="1" si="0"/>
        <v>0.125</v>
      </c>
      <c r="M48" s="85" t="str">
        <f t="shared" ca="1" si="1"/>
        <v/>
      </c>
      <c r="N48" s="84">
        <f ca="1">LN('Histogram Data'!K48+0.01)-LN(price)</f>
        <v>-5.5623160372730851E-3</v>
      </c>
      <c r="O48" s="84">
        <f ca="1">_xlfn.NORM.DIST(N48,0+0.03^3,AVERAGE('Valuation Model'!$K$22:$L$22),FALSE)/scaling</f>
        <v>0.14331474585166404</v>
      </c>
    </row>
    <row r="49" spans="10:15" s="79" customFormat="1" ht="11.65">
      <c r="J49" s="86">
        <f t="shared" si="3"/>
        <v>0.88000000000000045</v>
      </c>
      <c r="K49" s="84">
        <f t="shared" ca="1" si="2"/>
        <v>130.24000000000007</v>
      </c>
      <c r="L49" s="87" t="str">
        <f t="shared" ca="1" si="0"/>
        <v/>
      </c>
      <c r="M49" s="85" t="str">
        <f t="shared" ca="1" si="1"/>
        <v/>
      </c>
      <c r="N49" s="84">
        <f ca="1">LN('Histogram Data'!K49+0.01)-LN(price)</f>
        <v>1.7425416713860109E-2</v>
      </c>
      <c r="O49" s="84">
        <f ca="1">_xlfn.NORM.DIST(N49,0+0.03^3,AVERAGE('Valuation Model'!$K$22:$L$22),FALSE)/scaling</f>
        <v>0.14301116636571173</v>
      </c>
    </row>
    <row r="50" spans="10:15" s="79" customFormat="1" ht="11.65">
      <c r="J50" s="86">
        <f t="shared" si="3"/>
        <v>0.90000000000000047</v>
      </c>
      <c r="K50" s="84">
        <f t="shared" ca="1" si="2"/>
        <v>133.20000000000007</v>
      </c>
      <c r="L50" s="87" t="str">
        <f t="shared" ca="1" si="0"/>
        <v/>
      </c>
      <c r="M50" s="85" t="str">
        <f t="shared" ca="1" si="1"/>
        <v/>
      </c>
      <c r="N50" s="84">
        <f ca="1">LN('Histogram Data'!K50+0.01)-LN(price)</f>
        <v>3.9896566443754722E-2</v>
      </c>
      <c r="O50" s="84">
        <f ca="1">_xlfn.NORM.DIST(N50,0+0.03^3,AVERAGE('Valuation Model'!$K$22:$L$22),FALSE)/scaling</f>
        <v>0.14158077431286348</v>
      </c>
    </row>
    <row r="51" spans="10:15" s="79" customFormat="1" ht="11.65">
      <c r="J51" s="86">
        <f t="shared" si="3"/>
        <v>0.92000000000000048</v>
      </c>
      <c r="K51" s="84">
        <f t="shared" ca="1" si="2"/>
        <v>136.16000000000008</v>
      </c>
      <c r="L51" s="87" t="str">
        <f t="shared" ca="1" si="0"/>
        <v/>
      </c>
      <c r="M51" s="85" t="str">
        <f t="shared" ca="1" si="1"/>
        <v/>
      </c>
      <c r="N51" s="84">
        <f ca="1">LN('Histogram Data'!K51+0.01)-LN(price)</f>
        <v>6.1873841216868009E-2</v>
      </c>
      <c r="O51" s="84">
        <f ca="1">_xlfn.NORM.DIST(N51,0+0.03^3,AVERAGE('Valuation Model'!$K$22:$L$22),FALSE)/scaling</f>
        <v>0.13912995219536142</v>
      </c>
    </row>
    <row r="52" spans="10:15" s="79" customFormat="1" ht="11.65">
      <c r="J52" s="86">
        <f t="shared" si="3"/>
        <v>0.9400000000000005</v>
      </c>
      <c r="K52" s="84">
        <f t="shared" ca="1" si="2"/>
        <v>139.12000000000006</v>
      </c>
      <c r="L52" s="87">
        <f t="shared" ca="1" si="0"/>
        <v>0.125</v>
      </c>
      <c r="M52" s="85" t="str">
        <f t="shared" ca="1" si="1"/>
        <v/>
      </c>
      <c r="N52" s="84">
        <f ca="1">LN('Histogram Data'!K52+0.01)-LN(price)</f>
        <v>8.3378483934168912E-2</v>
      </c>
      <c r="O52" s="84">
        <f ca="1">_xlfn.NORM.DIST(N52,0+0.03^3,AVERAGE('Valuation Model'!$K$22:$L$22),FALSE)/scaling</f>
        <v>0.13577753664924688</v>
      </c>
    </row>
    <row r="53" spans="10:15" s="79" customFormat="1" ht="11.65">
      <c r="J53" s="86">
        <f t="shared" si="3"/>
        <v>0.96000000000000052</v>
      </c>
      <c r="K53" s="84">
        <f t="shared" ca="1" si="2"/>
        <v>142.08000000000007</v>
      </c>
      <c r="L53" s="87" t="str">
        <f t="shared" ca="1" si="0"/>
        <v/>
      </c>
      <c r="M53" s="85" t="str">
        <f t="shared" ca="1" si="1"/>
        <v/>
      </c>
      <c r="N53" s="84">
        <f ca="1">LN('Histogram Data'!K53+0.01)-LN(price)</f>
        <v>0.10443039573036739</v>
      </c>
      <c r="O53" s="84">
        <f ca="1">_xlfn.NORM.DIST(N53,0+0.03^3,AVERAGE('Valuation Model'!$K$22:$L$22),FALSE)/scaling</f>
        <v>0.13164941566038071</v>
      </c>
    </row>
    <row r="54" spans="10:15" s="79" customFormat="1" ht="11.65">
      <c r="J54" s="86">
        <f t="shared" si="3"/>
        <v>0.98000000000000054</v>
      </c>
      <c r="K54" s="84">
        <f t="shared" ca="1" si="2"/>
        <v>145.04000000000008</v>
      </c>
      <c r="L54" s="87" t="str">
        <f t="shared" ca="1" si="0"/>
        <v/>
      </c>
      <c r="M54" s="85" t="str">
        <f t="shared" ca="1" si="1"/>
        <v/>
      </c>
      <c r="N54" s="84">
        <f ca="1">LN('Histogram Data'!K54+0.01)-LN(price)</f>
        <v>0.1250482466477969</v>
      </c>
      <c r="O54" s="84">
        <f ca="1">_xlfn.NORM.DIST(N54,0+0.03^3,AVERAGE('Valuation Model'!$K$22:$L$22),FALSE)/scaling</f>
        <v>0.12687376546293355</v>
      </c>
    </row>
    <row r="55" spans="10:15">
      <c r="J55" s="86">
        <f t="shared" si="3"/>
        <v>1.0000000000000004</v>
      </c>
      <c r="K55" s="84">
        <f t="shared" ca="1" si="2"/>
        <v>148.00000000000006</v>
      </c>
      <c r="L55" s="87" t="str">
        <f t="shared" ca="1" si="0"/>
        <v/>
      </c>
      <c r="M55" s="85" t="str">
        <f t="shared" ca="1" si="1"/>
        <v/>
      </c>
      <c r="N55" s="84">
        <f ca="1">LN('Histogram Data'!K55+0.01)-LN(price)</f>
        <v>0.14524957512948067</v>
      </c>
      <c r="O55" s="84">
        <f ca="1">_xlfn.NORM.DIST(N55,0+0.03^3,AVERAGE('Valuation Model'!$K$22:$L$22),FALSE)/scaling</f>
        <v>0.12157701841731292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topLeftCell="A44" workbookViewId="0">
      <selection activeCell="A72" sqref="A72:B73"/>
    </sheetView>
  </sheetViews>
  <sheetFormatPr defaultRowHeight="14.25"/>
  <cols>
    <col min="1" max="1" width="10.73046875" bestFit="1" customWidth="1"/>
    <col min="3" max="3" width="10.730468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v>42916</v>
      </c>
      <c r="B71">
        <v>19246.7</v>
      </c>
    </row>
    <row r="72" spans="1:2">
      <c r="A72" s="133">
        <v>43008</v>
      </c>
      <c r="B72">
        <v>19500.601999999999</v>
      </c>
    </row>
    <row r="73" spans="1:2">
      <c r="A73" s="133">
        <v>43100</v>
      </c>
      <c r="B73">
        <v>19738.886999999999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4.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7</vt:i4>
      </vt:variant>
      <vt:variant>
        <vt:lpstr>Named Ranges</vt:lpstr>
      </vt:variant>
      <vt:variant>
        <vt:i4>44</vt:i4>
      </vt:variant>
    </vt:vector>
  </HeadingPairs>
  <TitlesOfParts>
    <vt:vector size="59" baseType="lpstr">
      <vt:lpstr>Valuation Model</vt:lpstr>
      <vt:lpstr>Segments</vt:lpstr>
      <vt:lpstr>Revenue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2018-02-14T03:11:15Z</dcterms:modified>
</cp:coreProperties>
</file>