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730"/>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GM - General Motors/"/>
    </mc:Choice>
  </mc:AlternateContent>
  <xr:revisionPtr revIDLastSave="10" documentId="B04422A39D88F2EF3A888A8394A8BAD3E46EC8D8" xr6:coauthVersionLast="25" xr6:coauthVersionMax="25" xr10:uidLastSave="{464A20A3-2983-42D1-B643-7AD6730F9420}"/>
  <bookViews>
    <workbookView xWindow="0" yWindow="0" windowWidth="28800" windowHeight="12795" tabRatio="825" xr2:uid="{00000000-000D-0000-FFFF-FFFF00000000}"/>
  </bookViews>
  <sheets>
    <sheet name="Valuation Model" sheetId="1" r:id="rId1"/>
    <sheet name="Company Analysis" sheetId="19" r:id="rId2"/>
    <sheet name="Segments" sheetId="29" r:id="rId3"/>
    <sheet name="Graphing Data" sheetId="21" r:id="rId4"/>
    <sheet name="Revenue History" sheetId="33" r:id="rId5"/>
    <sheet name="Revenue Chart" sheetId="22" r:id="rId6"/>
    <sheet name="Profit History" sheetId="36" r:id="rId7"/>
    <sheet name="Profit Chart" sheetId="23" r:id="rId8"/>
    <sheet name="ECF to OCP Chart" sheetId="25" r:id="rId9"/>
    <sheet name="ECF Breakdown Chart" sheetId="26" r:id="rId10"/>
    <sheet name="FCFO Chart" sheetId="27" r:id="rId11"/>
    <sheet name="OCP vs GDP" sheetId="39" state="hidden" r:id="rId12"/>
    <sheet name="Investment Efficacy Chart" sheetId="28" r:id="rId13"/>
    <sheet name="Valuation Histogram" sheetId="16" r:id="rId14"/>
    <sheet name="Histogram Data" sheetId="17" r:id="rId15"/>
    <sheet name="GDP Data" sheetId="20" r:id="rId16"/>
    <sheet name="Disclaimer" sheetId="18" r:id="rId17"/>
    <sheet name="PSW_Sheet" sheetId="11" state="veryHidden" r:id="rId18"/>
    <sheet name="_SSC" sheetId="12" state="veryHidden" r:id="rId19"/>
    <sheet name="_Options" sheetId="13" state="veryHidden" r:id="rId20"/>
  </sheets>
  <externalReferences>
    <externalReference r:id="rId21"/>
    <externalReference r:id="rId22"/>
    <externalReference r:id="rId23"/>
    <externalReference r:id="rId24"/>
    <externalReference r:id="rId25"/>
    <externalReference r:id="rId26"/>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4"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ffff" hidden="1">'Valuation Model'!#REF!</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fileRecoveryPr autoRecover="0"/>
</workbook>
</file>

<file path=xl/calcChain.xml><?xml version="1.0" encoding="utf-8"?>
<calcChain xmlns="http://schemas.openxmlformats.org/spreadsheetml/2006/main">
  <c r="B58" i="1" l="1"/>
  <c r="P20" i="19"/>
  <c r="M21" i="19"/>
  <c r="M20" i="19" s="1"/>
  <c r="N21" i="19"/>
  <c r="N20" i="19" s="1"/>
  <c r="O21" i="19"/>
  <c r="O20" i="19" s="1"/>
  <c r="P21" i="19"/>
  <c r="Q21" i="19"/>
  <c r="Q20" i="19" s="1"/>
  <c r="R20" i="19"/>
  <c r="R21" i="19"/>
  <c r="L22" i="19"/>
  <c r="M22" i="19"/>
  <c r="N22" i="19"/>
  <c r="O22" i="19"/>
  <c r="P22" i="19"/>
  <c r="Q22" i="19"/>
  <c r="R22" i="19"/>
  <c r="D24" i="19"/>
  <c r="E24" i="19"/>
  <c r="F24" i="19"/>
  <c r="G24" i="19"/>
  <c r="H24" i="19"/>
  <c r="I24" i="19"/>
  <c r="C24" i="19"/>
  <c r="K29" i="19"/>
  <c r="L29" i="19" l="1"/>
  <c r="M29" i="19"/>
  <c r="P29" i="19"/>
  <c r="O29" i="19"/>
  <c r="N29" i="19"/>
  <c r="R29" i="19"/>
  <c r="Q29" i="19"/>
  <c r="C86" i="29"/>
  <c r="C111" i="29" s="1"/>
  <c r="B86" i="29"/>
  <c r="C110" i="29"/>
  <c r="C84" i="29"/>
  <c r="C109" i="29" s="1"/>
  <c r="B84" i="29"/>
  <c r="C108" i="29"/>
  <c r="C106" i="29"/>
  <c r="C80" i="29"/>
  <c r="B80" i="29"/>
  <c r="C105" i="29"/>
  <c r="C104" i="29"/>
  <c r="C102" i="29"/>
  <c r="C76" i="29"/>
  <c r="B76" i="29"/>
  <c r="C101" i="29"/>
  <c r="C100" i="29"/>
  <c r="C99" i="29"/>
  <c r="C97" i="29"/>
  <c r="C71" i="29"/>
  <c r="D96" i="29" s="1"/>
  <c r="B71" i="29"/>
  <c r="C95" i="29"/>
  <c r="C94" i="29"/>
  <c r="C93" i="29"/>
  <c r="C92" i="29"/>
  <c r="D86" i="29"/>
  <c r="E111" i="29" s="1"/>
  <c r="D111" i="29"/>
  <c r="D110" i="29"/>
  <c r="D108" i="29"/>
  <c r="D106" i="29"/>
  <c r="D105" i="29"/>
  <c r="D104" i="29"/>
  <c r="D102" i="29"/>
  <c r="D76" i="29"/>
  <c r="D101" i="29" s="1"/>
  <c r="D100" i="29"/>
  <c r="D99" i="29"/>
  <c r="D97" i="29"/>
  <c r="D95" i="29"/>
  <c r="D94" i="29"/>
  <c r="D93" i="29"/>
  <c r="D92" i="29"/>
  <c r="E93" i="29"/>
  <c r="F93" i="29"/>
  <c r="G93" i="29"/>
  <c r="H93" i="29"/>
  <c r="I93" i="29"/>
  <c r="E94" i="29"/>
  <c r="F94" i="29"/>
  <c r="G94" i="29"/>
  <c r="H94" i="29"/>
  <c r="I94" i="29"/>
  <c r="E95" i="29"/>
  <c r="F95" i="29"/>
  <c r="G95" i="29"/>
  <c r="H95" i="29"/>
  <c r="I95" i="29"/>
  <c r="E86" i="29"/>
  <c r="I86" i="29"/>
  <c r="H86" i="29"/>
  <c r="H111" i="29" s="1"/>
  <c r="G86" i="29"/>
  <c r="F86" i="29"/>
  <c r="F111" i="29" s="1"/>
  <c r="G111" i="29"/>
  <c r="I110" i="29"/>
  <c r="H110" i="29"/>
  <c r="G110" i="29"/>
  <c r="F110" i="29"/>
  <c r="E110" i="29"/>
  <c r="I109" i="29"/>
  <c r="H109" i="29"/>
  <c r="G109" i="29"/>
  <c r="F109" i="29"/>
  <c r="E109" i="29"/>
  <c r="I108" i="29"/>
  <c r="H108" i="29"/>
  <c r="G108" i="29"/>
  <c r="F108" i="29"/>
  <c r="E108" i="29"/>
  <c r="I106" i="29"/>
  <c r="H106" i="29"/>
  <c r="G106" i="29"/>
  <c r="F106" i="29"/>
  <c r="E106" i="29"/>
  <c r="I105" i="29"/>
  <c r="H105" i="29"/>
  <c r="G105" i="29"/>
  <c r="F105" i="29"/>
  <c r="E105" i="29"/>
  <c r="I104" i="29"/>
  <c r="H104" i="29"/>
  <c r="G104" i="29"/>
  <c r="F104" i="29"/>
  <c r="E104" i="29"/>
  <c r="E100" i="29"/>
  <c r="F100" i="29"/>
  <c r="G100" i="29"/>
  <c r="H100" i="29"/>
  <c r="I100" i="29"/>
  <c r="E76" i="29"/>
  <c r="E101" i="29"/>
  <c r="F76" i="29"/>
  <c r="F101" i="29" s="1"/>
  <c r="H101" i="29"/>
  <c r="I101" i="29"/>
  <c r="E102" i="29"/>
  <c r="F102" i="29"/>
  <c r="G102" i="29"/>
  <c r="H102" i="29"/>
  <c r="I102" i="29"/>
  <c r="I99" i="29"/>
  <c r="H99" i="29"/>
  <c r="G99" i="29"/>
  <c r="F99" i="29"/>
  <c r="E99" i="29"/>
  <c r="E96" i="29"/>
  <c r="F96" i="29"/>
  <c r="G96" i="29"/>
  <c r="H96" i="29"/>
  <c r="I96" i="29"/>
  <c r="E97" i="29"/>
  <c r="F97" i="29"/>
  <c r="G97" i="29"/>
  <c r="H97" i="29"/>
  <c r="I97" i="29"/>
  <c r="F92" i="29"/>
  <c r="G92" i="29"/>
  <c r="H92" i="29"/>
  <c r="I92" i="29"/>
  <c r="E92" i="29"/>
  <c r="B35" i="29"/>
  <c r="B34" i="29"/>
  <c r="C45" i="29" s="1"/>
  <c r="B62" i="29"/>
  <c r="C35" i="29"/>
  <c r="C34" i="29"/>
  <c r="C62" i="29"/>
  <c r="D35" i="29"/>
  <c r="D34" i="29" s="1"/>
  <c r="E35" i="29"/>
  <c r="E34" i="29"/>
  <c r="E62" i="29" s="1"/>
  <c r="F35" i="29"/>
  <c r="F34" i="29"/>
  <c r="F62" i="29"/>
  <c r="G35" i="29"/>
  <c r="G34" i="29"/>
  <c r="G62" i="29"/>
  <c r="H35" i="29"/>
  <c r="H34" i="29" s="1"/>
  <c r="I35" i="29"/>
  <c r="I34" i="29"/>
  <c r="I62" i="29" s="1"/>
  <c r="C46" i="29"/>
  <c r="C47" i="29"/>
  <c r="C48" i="29"/>
  <c r="C49" i="29"/>
  <c r="C50" i="29"/>
  <c r="C51" i="29"/>
  <c r="F45" i="29"/>
  <c r="G45" i="29"/>
  <c r="D46" i="29"/>
  <c r="E46" i="29"/>
  <c r="F46" i="29"/>
  <c r="G46" i="29"/>
  <c r="H46" i="29"/>
  <c r="I46" i="29"/>
  <c r="D47" i="29"/>
  <c r="E47" i="29"/>
  <c r="F47" i="29"/>
  <c r="G47" i="29"/>
  <c r="H47" i="29"/>
  <c r="I47" i="29"/>
  <c r="D48" i="29"/>
  <c r="E48" i="29"/>
  <c r="F48" i="29"/>
  <c r="G48" i="29"/>
  <c r="H48" i="29"/>
  <c r="I48" i="29"/>
  <c r="D49" i="29"/>
  <c r="E49" i="29"/>
  <c r="F49" i="29"/>
  <c r="G49" i="29"/>
  <c r="H49" i="29"/>
  <c r="I49" i="29"/>
  <c r="D50" i="29"/>
  <c r="E50" i="29"/>
  <c r="F50" i="29"/>
  <c r="G50" i="29"/>
  <c r="H50" i="29"/>
  <c r="I50" i="29"/>
  <c r="D51" i="29"/>
  <c r="E51" i="29"/>
  <c r="F51" i="29"/>
  <c r="G51" i="29"/>
  <c r="H51" i="29"/>
  <c r="I51" i="29"/>
  <c r="D25" i="29"/>
  <c r="E25" i="29"/>
  <c r="F25" i="29"/>
  <c r="G25" i="29"/>
  <c r="H25" i="29"/>
  <c r="I25" i="29"/>
  <c r="D26" i="29"/>
  <c r="E26" i="29"/>
  <c r="F26" i="29"/>
  <c r="G26" i="29"/>
  <c r="H26" i="29"/>
  <c r="I26" i="29"/>
  <c r="D27" i="29"/>
  <c r="E27" i="29"/>
  <c r="F27" i="29"/>
  <c r="G27" i="29"/>
  <c r="H27" i="29"/>
  <c r="I27" i="29"/>
  <c r="D28" i="29"/>
  <c r="E28" i="29"/>
  <c r="F28" i="29"/>
  <c r="G28" i="29"/>
  <c r="H28" i="29"/>
  <c r="I28" i="29"/>
  <c r="D29" i="29"/>
  <c r="E29" i="29"/>
  <c r="F29" i="29"/>
  <c r="G29" i="29"/>
  <c r="H29" i="29"/>
  <c r="I29" i="29"/>
  <c r="D30" i="29"/>
  <c r="E30" i="29"/>
  <c r="F30" i="29"/>
  <c r="G30" i="29"/>
  <c r="H30" i="29"/>
  <c r="I30" i="29"/>
  <c r="D31" i="29"/>
  <c r="E31" i="29"/>
  <c r="F31" i="29"/>
  <c r="G31" i="29"/>
  <c r="H31" i="29"/>
  <c r="I31" i="29"/>
  <c r="D15" i="29"/>
  <c r="E15" i="29"/>
  <c r="F15" i="29"/>
  <c r="G15" i="29"/>
  <c r="H15" i="29"/>
  <c r="I15" i="29"/>
  <c r="D16" i="29"/>
  <c r="E16" i="29"/>
  <c r="F16" i="29"/>
  <c r="G16" i="29"/>
  <c r="H16" i="29"/>
  <c r="I16" i="29"/>
  <c r="D17" i="29"/>
  <c r="E17" i="29"/>
  <c r="F17" i="29"/>
  <c r="G17" i="29"/>
  <c r="H17" i="29"/>
  <c r="I17" i="29"/>
  <c r="D18" i="29"/>
  <c r="E18" i="29"/>
  <c r="F18" i="29"/>
  <c r="G18" i="29"/>
  <c r="H18" i="29"/>
  <c r="I18" i="29"/>
  <c r="D19" i="29"/>
  <c r="E19" i="29"/>
  <c r="F19" i="29"/>
  <c r="G19" i="29"/>
  <c r="H19" i="29"/>
  <c r="I19" i="29"/>
  <c r="D20" i="29"/>
  <c r="E20" i="29"/>
  <c r="F20" i="29"/>
  <c r="G20" i="29"/>
  <c r="H20" i="29"/>
  <c r="I20" i="29"/>
  <c r="D21" i="29"/>
  <c r="E21" i="29"/>
  <c r="F21" i="29"/>
  <c r="G21" i="29"/>
  <c r="H21" i="29"/>
  <c r="I21" i="29"/>
  <c r="C15" i="29"/>
  <c r="C16" i="29"/>
  <c r="C17" i="29"/>
  <c r="C18" i="29"/>
  <c r="C19" i="29"/>
  <c r="C20" i="29"/>
  <c r="C21" i="29"/>
  <c r="B16" i="29"/>
  <c r="B17" i="29"/>
  <c r="B18" i="29"/>
  <c r="B19" i="29"/>
  <c r="B20" i="29"/>
  <c r="B21" i="29"/>
  <c r="B15" i="29"/>
  <c r="G3" i="1"/>
  <c r="B92" i="1" s="1"/>
  <c r="I11" i="19"/>
  <c r="I12" i="19"/>
  <c r="I13" i="19" s="1"/>
  <c r="D11" i="19"/>
  <c r="D12" i="19" s="1"/>
  <c r="B3" i="1"/>
  <c r="B55" i="29"/>
  <c r="C55" i="29"/>
  <c r="E55" i="29"/>
  <c r="F55" i="29"/>
  <c r="G55" i="29"/>
  <c r="I55" i="29"/>
  <c r="B56" i="29"/>
  <c r="C56" i="29"/>
  <c r="E56" i="29"/>
  <c r="F56" i="29"/>
  <c r="G56" i="29"/>
  <c r="I56" i="29"/>
  <c r="B57" i="29"/>
  <c r="C57" i="29"/>
  <c r="E57" i="29"/>
  <c r="F57" i="29"/>
  <c r="G57" i="29"/>
  <c r="I57" i="29"/>
  <c r="B58" i="29"/>
  <c r="C58" i="29"/>
  <c r="E58" i="29"/>
  <c r="F58" i="29"/>
  <c r="G58" i="29"/>
  <c r="I58" i="29"/>
  <c r="B59" i="29"/>
  <c r="C59" i="29"/>
  <c r="E59" i="29"/>
  <c r="F59" i="29"/>
  <c r="G59" i="29"/>
  <c r="I59" i="29"/>
  <c r="B60" i="29"/>
  <c r="C60" i="29"/>
  <c r="E60" i="29"/>
  <c r="F60" i="29"/>
  <c r="G60" i="29"/>
  <c r="I60" i="29"/>
  <c r="B61" i="29"/>
  <c r="C61" i="29"/>
  <c r="E61" i="29"/>
  <c r="F61" i="29"/>
  <c r="G61" i="29"/>
  <c r="I61" i="29"/>
  <c r="B45" i="29"/>
  <c r="B46" i="29"/>
  <c r="B47" i="29"/>
  <c r="B48" i="29"/>
  <c r="B49" i="29"/>
  <c r="B50" i="29"/>
  <c r="B51" i="29"/>
  <c r="D72" i="21"/>
  <c r="B72" i="21"/>
  <c r="I46" i="21"/>
  <c r="I47" i="21" s="1"/>
  <c r="I48" i="21" s="1"/>
  <c r="I49" i="21" s="1"/>
  <c r="I50" i="21" s="1"/>
  <c r="I51" i="21" s="1"/>
  <c r="I52" i="21" s="1"/>
  <c r="I53" i="21" s="1"/>
  <c r="I54" i="21" s="1"/>
  <c r="I55" i="21" s="1"/>
  <c r="H57" i="21"/>
  <c r="H58" i="21"/>
  <c r="H59" i="21"/>
  <c r="H60" i="21"/>
  <c r="H61" i="21"/>
  <c r="H62" i="21"/>
  <c r="H63" i="21"/>
  <c r="H64" i="21"/>
  <c r="H65" i="21"/>
  <c r="H66" i="21"/>
  <c r="H67" i="21"/>
  <c r="H68" i="21"/>
  <c r="H69" i="21"/>
  <c r="H70" i="21"/>
  <c r="H71" i="21"/>
  <c r="H72" i="21"/>
  <c r="H73" i="21" s="1"/>
  <c r="H56" i="21"/>
  <c r="C72" i="21"/>
  <c r="E72" i="21"/>
  <c r="B11" i="19"/>
  <c r="E11" i="19"/>
  <c r="F11" i="19"/>
  <c r="G11" i="19"/>
  <c r="G12" i="19" s="1"/>
  <c r="H11" i="19"/>
  <c r="H21" i="19" s="1"/>
  <c r="C11" i="19"/>
  <c r="B14" i="29"/>
  <c r="C14" i="29"/>
  <c r="D14" i="29"/>
  <c r="E14" i="29"/>
  <c r="F14" i="29"/>
  <c r="G14" i="29"/>
  <c r="H14" i="29"/>
  <c r="I14" i="29"/>
  <c r="B26" i="21"/>
  <c r="C26" i="21"/>
  <c r="D26" i="21"/>
  <c r="E26" i="21"/>
  <c r="F26" i="21"/>
  <c r="G26" i="21"/>
  <c r="H26" i="21"/>
  <c r="I26" i="21"/>
  <c r="K34" i="21"/>
  <c r="L34" i="21"/>
  <c r="M34" i="21"/>
  <c r="N34" i="21"/>
  <c r="K35" i="21"/>
  <c r="L35" i="21"/>
  <c r="M35" i="21"/>
  <c r="N35" i="21"/>
  <c r="J35" i="21"/>
  <c r="J34" i="21"/>
  <c r="A41" i="21"/>
  <c r="A40" i="21"/>
  <c r="A39" i="21"/>
  <c r="A38" i="21"/>
  <c r="B24" i="21"/>
  <c r="C24" i="21"/>
  <c r="D24" i="21"/>
  <c r="E24" i="21"/>
  <c r="F24" i="21"/>
  <c r="G24" i="21"/>
  <c r="H24" i="21"/>
  <c r="I24" i="21"/>
  <c r="B25" i="21"/>
  <c r="C25" i="21"/>
  <c r="D25" i="21"/>
  <c r="E25" i="21"/>
  <c r="F25" i="21"/>
  <c r="G25" i="21"/>
  <c r="H25" i="21"/>
  <c r="I25" i="21"/>
  <c r="B23" i="21"/>
  <c r="C23" i="21"/>
  <c r="D23" i="21"/>
  <c r="E23" i="21"/>
  <c r="F23" i="21"/>
  <c r="G23" i="21"/>
  <c r="H23" i="21"/>
  <c r="I23" i="21"/>
  <c r="A22" i="21"/>
  <c r="J15" i="21"/>
  <c r="K15" i="21"/>
  <c r="L15" i="21"/>
  <c r="M15" i="21"/>
  <c r="N15" i="21"/>
  <c r="K14" i="21"/>
  <c r="L14" i="21"/>
  <c r="M14" i="21"/>
  <c r="N14" i="21"/>
  <c r="J14" i="21"/>
  <c r="J7" i="21"/>
  <c r="K7" i="21"/>
  <c r="L7" i="21"/>
  <c r="M7" i="21"/>
  <c r="N7" i="21"/>
  <c r="K6" i="21"/>
  <c r="L6" i="21"/>
  <c r="M6" i="21"/>
  <c r="N6" i="21"/>
  <c r="J6" i="21"/>
  <c r="B2" i="21"/>
  <c r="C2" i="21"/>
  <c r="D2" i="21"/>
  <c r="E2" i="21"/>
  <c r="F2" i="21"/>
  <c r="G2" i="21"/>
  <c r="H2" i="21"/>
  <c r="I2" i="21"/>
  <c r="J3" i="21" s="1"/>
  <c r="B2" i="19"/>
  <c r="B1" i="29" s="1"/>
  <c r="C2" i="19"/>
  <c r="C8" i="19" s="1"/>
  <c r="D2" i="19"/>
  <c r="D1" i="29" s="1"/>
  <c r="E2" i="19"/>
  <c r="F2" i="19"/>
  <c r="F19" i="19" s="1"/>
  <c r="G2" i="19"/>
  <c r="G1" i="29" s="1"/>
  <c r="H2" i="19"/>
  <c r="H8" i="19" s="1"/>
  <c r="I2" i="19"/>
  <c r="E1" i="21"/>
  <c r="E9" i="21" s="1"/>
  <c r="E17" i="21" s="1"/>
  <c r="E21" i="21" s="1"/>
  <c r="E1" i="29"/>
  <c r="H1" i="29"/>
  <c r="I1" i="21"/>
  <c r="I37" i="21" s="1"/>
  <c r="I1" i="29"/>
  <c r="E37" i="21"/>
  <c r="I40" i="19"/>
  <c r="I41" i="19" s="1"/>
  <c r="E40" i="19"/>
  <c r="E41" i="19" s="1"/>
  <c r="I29" i="19"/>
  <c r="I27" i="21" s="1"/>
  <c r="H29" i="19"/>
  <c r="H27" i="21" s="1"/>
  <c r="G29" i="19"/>
  <c r="G27" i="21" s="1"/>
  <c r="F29" i="19"/>
  <c r="F27" i="21" s="1"/>
  <c r="E29" i="19"/>
  <c r="E27" i="21" s="1"/>
  <c r="D29" i="19"/>
  <c r="D27" i="21" s="1"/>
  <c r="C29" i="19"/>
  <c r="C27" i="21" s="1"/>
  <c r="B29" i="19"/>
  <c r="B27" i="21" s="1"/>
  <c r="I21" i="19"/>
  <c r="G21" i="19"/>
  <c r="G22" i="21" s="1"/>
  <c r="F21" i="19"/>
  <c r="F22" i="21" s="1"/>
  <c r="E21" i="19"/>
  <c r="C21" i="19"/>
  <c r="B21" i="19"/>
  <c r="I10" i="21"/>
  <c r="I38" i="21" s="1"/>
  <c r="H12" i="19"/>
  <c r="H10" i="21" s="1"/>
  <c r="F12" i="19"/>
  <c r="F10" i="21"/>
  <c r="F38" i="21" s="1"/>
  <c r="E12" i="19"/>
  <c r="E10" i="21" s="1"/>
  <c r="E38" i="21" s="1"/>
  <c r="C12" i="19"/>
  <c r="B12" i="19"/>
  <c r="I8" i="19"/>
  <c r="E8" i="19"/>
  <c r="I6" i="19"/>
  <c r="H6" i="19"/>
  <c r="G6" i="19"/>
  <c r="F6" i="19"/>
  <c r="E6" i="19"/>
  <c r="I5" i="19"/>
  <c r="H5" i="19"/>
  <c r="G5" i="19"/>
  <c r="F5" i="19"/>
  <c r="E5" i="19"/>
  <c r="D5" i="19"/>
  <c r="C5" i="19"/>
  <c r="I4" i="19"/>
  <c r="H4" i="19"/>
  <c r="G4" i="19"/>
  <c r="F4" i="19"/>
  <c r="E4" i="19"/>
  <c r="D4" i="19"/>
  <c r="C4" i="19"/>
  <c r="B4" i="19"/>
  <c r="I19" i="19"/>
  <c r="H40" i="19"/>
  <c r="H41" i="19" s="1"/>
  <c r="E19" i="19"/>
  <c r="I30" i="19"/>
  <c r="E30" i="19"/>
  <c r="E19" i="21" s="1"/>
  <c r="B22" i="21"/>
  <c r="C22" i="21"/>
  <c r="E22" i="21"/>
  <c r="I22" i="21"/>
  <c r="C10" i="21"/>
  <c r="C38" i="21" s="1"/>
  <c r="H13" i="19"/>
  <c r="F13" i="19"/>
  <c r="E33" i="19"/>
  <c r="I33" i="19"/>
  <c r="B40" i="19"/>
  <c r="B41" i="19" s="1"/>
  <c r="C13" i="19"/>
  <c r="D8" i="19"/>
  <c r="C43" i="19"/>
  <c r="H8" i="17"/>
  <c r="E8" i="17" s="1"/>
  <c r="H10" i="17"/>
  <c r="H6" i="17"/>
  <c r="G6" i="17"/>
  <c r="G8" i="17"/>
  <c r="G10" i="17"/>
  <c r="G7" i="17"/>
  <c r="G9" i="17"/>
  <c r="G11" i="17"/>
  <c r="G12" i="17"/>
  <c r="E12" i="17" s="1"/>
  <c r="G5" i="17"/>
  <c r="H5" i="17"/>
  <c r="C2" i="1"/>
  <c r="H7" i="17"/>
  <c r="E7" i="17" s="1"/>
  <c r="H11" i="17"/>
  <c r="H9" i="17"/>
  <c r="E9" i="17" s="1"/>
  <c r="H12" i="17"/>
  <c r="J7" i="17"/>
  <c r="E6" i="17"/>
  <c r="E11" i="17"/>
  <c r="E10" i="17"/>
  <c r="E5" i="17"/>
  <c r="J8" i="17"/>
  <c r="J9" i="17" s="1"/>
  <c r="J10" i="17" s="1"/>
  <c r="D41" i="21"/>
  <c r="J11" i="17"/>
  <c r="J12" i="17" s="1"/>
  <c r="J13" i="17" s="1"/>
  <c r="J14" i="17" s="1"/>
  <c r="J15" i="17" s="1"/>
  <c r="J16" i="17" s="1"/>
  <c r="J17" i="17" s="1"/>
  <c r="J18" i="17" s="1"/>
  <c r="J19" i="17" s="1"/>
  <c r="J20" i="17" s="1"/>
  <c r="J21" i="17" s="1"/>
  <c r="J22" i="17" s="1"/>
  <c r="J23" i="17" s="1"/>
  <c r="J24" i="17" s="1"/>
  <c r="J25" i="17" s="1"/>
  <c r="J26" i="17" s="1"/>
  <c r="J27" i="17" s="1"/>
  <c r="J28" i="17" s="1"/>
  <c r="J29" i="17" s="1"/>
  <c r="J30" i="17" s="1"/>
  <c r="J31" i="17" s="1"/>
  <c r="J32" i="17" s="1"/>
  <c r="J33" i="17" s="1"/>
  <c r="J34" i="17" s="1"/>
  <c r="J35" i="17" s="1"/>
  <c r="J36" i="17" s="1"/>
  <c r="J37" i="17" s="1"/>
  <c r="J38" i="17" s="1"/>
  <c r="J39" i="17" s="1"/>
  <c r="J40" i="17" s="1"/>
  <c r="J41" i="17" s="1"/>
  <c r="J42" i="17" s="1"/>
  <c r="J43" i="17" s="1"/>
  <c r="J44" i="17" s="1"/>
  <c r="J45" i="17" s="1"/>
  <c r="J46" i="17" s="1"/>
  <c r="J47" i="17" s="1"/>
  <c r="J48" i="17" s="1"/>
  <c r="J49" i="17" s="1"/>
  <c r="J50" i="17" s="1"/>
  <c r="J51" i="17" s="1"/>
  <c r="J52" i="17" s="1"/>
  <c r="J53" i="17" s="1"/>
  <c r="J54" i="17" s="1"/>
  <c r="J55" i="17" s="1"/>
  <c r="B51" i="1"/>
  <c r="B45" i="1"/>
  <c r="B46" i="1"/>
  <c r="C25" i="1"/>
  <c r="D25" i="1"/>
  <c r="E25" i="1"/>
  <c r="F25" i="1"/>
  <c r="B47" i="1" s="1"/>
  <c r="B48" i="1" s="1"/>
  <c r="B25" i="1"/>
  <c r="B37" i="1"/>
  <c r="B38" i="1"/>
  <c r="B36" i="1"/>
  <c r="I11" i="1"/>
  <c r="I9" i="1"/>
  <c r="B12" i="17" s="1"/>
  <c r="I8" i="1"/>
  <c r="B10" i="17" s="1"/>
  <c r="I7" i="1"/>
  <c r="B9" i="17"/>
  <c r="I6" i="1"/>
  <c r="B6" i="17" s="1"/>
  <c r="I2" i="1"/>
  <c r="B5" i="17" s="1"/>
  <c r="I4" i="1"/>
  <c r="B8" i="17" s="1"/>
  <c r="I5" i="1"/>
  <c r="B11" i="17" s="1"/>
  <c r="I3" i="1"/>
  <c r="B7" i="17" s="1"/>
  <c r="D18" i="1"/>
  <c r="F129" i="1" s="1"/>
  <c r="D17" i="1"/>
  <c r="F74" i="1" s="1"/>
  <c r="E21" i="1"/>
  <c r="F63" i="1"/>
  <c r="F140" i="1" l="1"/>
  <c r="F85" i="1"/>
  <c r="F118" i="1"/>
  <c r="F96" i="1"/>
  <c r="E31" i="19"/>
  <c r="E34" i="19"/>
  <c r="E35" i="19" s="1"/>
  <c r="H74" i="21"/>
  <c r="D45" i="29"/>
  <c r="D62" i="29"/>
  <c r="D55" i="29"/>
  <c r="D56" i="29"/>
  <c r="D57" i="29"/>
  <c r="D58" i="29"/>
  <c r="D59" i="29"/>
  <c r="D60" i="29"/>
  <c r="D61" i="29"/>
  <c r="F107" i="1"/>
  <c r="I56" i="21"/>
  <c r="I57" i="21" s="1"/>
  <c r="I58" i="21" s="1"/>
  <c r="I59" i="21" s="1"/>
  <c r="I60" i="21" s="1"/>
  <c r="I61" i="21" s="1"/>
  <c r="I62" i="21" s="1"/>
  <c r="I63" i="21" s="1"/>
  <c r="I64" i="21" s="1"/>
  <c r="I65" i="21" s="1"/>
  <c r="I66" i="21" s="1"/>
  <c r="I67" i="21" s="1"/>
  <c r="I68" i="21" s="1"/>
  <c r="I69" i="21" s="1"/>
  <c r="I70" i="21" s="1"/>
  <c r="I71" i="21" s="1"/>
  <c r="I72" i="21" s="1"/>
  <c r="I73" i="21" s="1"/>
  <c r="B52" i="1"/>
  <c r="B53" i="1"/>
  <c r="H45" i="29"/>
  <c r="H62" i="29"/>
  <c r="H55" i="29"/>
  <c r="H56" i="29"/>
  <c r="H57" i="29"/>
  <c r="H58" i="29"/>
  <c r="H59" i="29"/>
  <c r="H60" i="29"/>
  <c r="H61" i="29"/>
  <c r="I111" i="29"/>
  <c r="H19" i="19"/>
  <c r="I42" i="19"/>
  <c r="I45" i="29"/>
  <c r="E45" i="29"/>
  <c r="G101" i="29"/>
  <c r="D109" i="29"/>
  <c r="C96" i="29"/>
  <c r="C15" i="19"/>
  <c r="C30" i="19"/>
  <c r="C19" i="21" s="1"/>
  <c r="E29" i="21"/>
  <c r="C42" i="1"/>
  <c r="G40" i="19"/>
  <c r="G41" i="19" s="1"/>
  <c r="G44" i="19" s="1"/>
  <c r="G41" i="21" s="1"/>
  <c r="C1" i="29"/>
  <c r="H5" i="21"/>
  <c r="B136" i="1"/>
  <c r="C136" i="1" s="1"/>
  <c r="C137" i="1" s="1"/>
  <c r="C138" i="1" s="1"/>
  <c r="C139" i="1" s="1"/>
  <c r="H33" i="19"/>
  <c r="D40" i="19"/>
  <c r="D41" i="19" s="1"/>
  <c r="I9" i="21"/>
  <c r="I17" i="21" s="1"/>
  <c r="I21" i="21" s="1"/>
  <c r="D1" i="21"/>
  <c r="D9" i="21" s="1"/>
  <c r="D17" i="21" s="1"/>
  <c r="D21" i="21" s="1"/>
  <c r="E5" i="21"/>
  <c r="B26" i="1"/>
  <c r="B27" i="1" s="1"/>
  <c r="B28" i="1" s="1"/>
  <c r="B29" i="1" s="1"/>
  <c r="B59" i="1"/>
  <c r="B61" i="1" s="1"/>
  <c r="D19" i="19"/>
  <c r="G5" i="21"/>
  <c r="H30" i="19"/>
  <c r="H19" i="21" s="1"/>
  <c r="H22" i="21"/>
  <c r="C31" i="19"/>
  <c r="G14" i="19"/>
  <c r="G43" i="19" s="1"/>
  <c r="G10" i="21"/>
  <c r="H14" i="19"/>
  <c r="H43" i="19" s="1"/>
  <c r="G13" i="19"/>
  <c r="I15" i="19"/>
  <c r="I45" i="19" s="1"/>
  <c r="H15" i="19"/>
  <c r="H45" i="19" s="1"/>
  <c r="I16" i="19"/>
  <c r="I47" i="19" s="1"/>
  <c r="H38" i="21"/>
  <c r="H18" i="21"/>
  <c r="H13" i="21"/>
  <c r="D14" i="19"/>
  <c r="D43" i="19" s="1"/>
  <c r="F15" i="19"/>
  <c r="F45" i="19" s="1"/>
  <c r="D10" i="21"/>
  <c r="G16" i="19"/>
  <c r="G47" i="19" s="1"/>
  <c r="H16" i="19"/>
  <c r="H47" i="19" s="1"/>
  <c r="E15" i="19"/>
  <c r="E45" i="19" s="1"/>
  <c r="E14" i="19"/>
  <c r="E43" i="19" s="1"/>
  <c r="D13" i="19"/>
  <c r="I40" i="21"/>
  <c r="F1" i="21"/>
  <c r="F9" i="21" s="1"/>
  <c r="F17" i="21" s="1"/>
  <c r="F21" i="21" s="1"/>
  <c r="F16" i="19"/>
  <c r="B30" i="19"/>
  <c r="B1" i="21"/>
  <c r="B9" i="21" s="1"/>
  <c r="B17" i="21" s="1"/>
  <c r="B21" i="21" s="1"/>
  <c r="F1" i="29"/>
  <c r="F14" i="19"/>
  <c r="F43" i="19" s="1"/>
  <c r="I31" i="19"/>
  <c r="G15" i="19"/>
  <c r="G45" i="19" s="1"/>
  <c r="E16" i="19"/>
  <c r="I14" i="19"/>
  <c r="I43" i="19" s="1"/>
  <c r="B13" i="19"/>
  <c r="D15" i="19"/>
  <c r="G30" i="19"/>
  <c r="G19" i="21" s="1"/>
  <c r="F30" i="19"/>
  <c r="F19" i="21" s="1"/>
  <c r="I34" i="19"/>
  <c r="I30" i="21" s="1"/>
  <c r="I33" i="21" s="1"/>
  <c r="F33" i="19"/>
  <c r="G8" i="19"/>
  <c r="B19" i="19"/>
  <c r="D21" i="19"/>
  <c r="I29" i="21"/>
  <c r="I44" i="19"/>
  <c r="I41" i="21" s="1"/>
  <c r="F40" i="19"/>
  <c r="F41" i="19" s="1"/>
  <c r="B8" i="19"/>
  <c r="B10" i="21"/>
  <c r="B14" i="19"/>
  <c r="B43" i="19" s="1"/>
  <c r="F8" i="19"/>
  <c r="E13" i="19"/>
  <c r="I18" i="21"/>
  <c r="B33" i="19"/>
  <c r="E42" i="19"/>
  <c r="E40" i="21" s="1"/>
  <c r="F42" i="19"/>
  <c r="F40" i="21" s="1"/>
  <c r="B114" i="1"/>
  <c r="F13" i="21"/>
  <c r="G1" i="21"/>
  <c r="C5" i="21"/>
  <c r="B70" i="1"/>
  <c r="C70" i="1" s="1"/>
  <c r="D70" i="1" s="1"/>
  <c r="C13" i="21"/>
  <c r="D33" i="19"/>
  <c r="C33" i="19"/>
  <c r="B29" i="21"/>
  <c r="C1" i="21"/>
  <c r="H1" i="21"/>
  <c r="F5" i="21"/>
  <c r="C19" i="19"/>
  <c r="B103" i="1"/>
  <c r="C40" i="19"/>
  <c r="C41" i="19" s="1"/>
  <c r="F44" i="19" s="1"/>
  <c r="G19" i="19"/>
  <c r="F18" i="21"/>
  <c r="G33" i="19"/>
  <c r="D5" i="21"/>
  <c r="J11" i="21"/>
  <c r="K3" i="21"/>
  <c r="C92" i="1"/>
  <c r="B93" i="1"/>
  <c r="B94" i="1" s="1"/>
  <c r="D136" i="1"/>
  <c r="G18" i="21"/>
  <c r="E13" i="21"/>
  <c r="C58" i="1"/>
  <c r="B81" i="1"/>
  <c r="B125" i="1"/>
  <c r="C18" i="21"/>
  <c r="I13" i="21"/>
  <c r="J1" i="21"/>
  <c r="I5" i="21"/>
  <c r="J4" i="21"/>
  <c r="E18" i="21"/>
  <c r="D42" i="1"/>
  <c r="B42" i="1"/>
  <c r="F42" i="1"/>
  <c r="E42" i="1"/>
  <c r="I35" i="19"/>
  <c r="I19" i="21"/>
  <c r="H34" i="19"/>
  <c r="I36" i="19" s="1"/>
  <c r="E30" i="21"/>
  <c r="E33" i="21" s="1"/>
  <c r="C26" i="1" l="1"/>
  <c r="B60" i="1"/>
  <c r="F31" i="19"/>
  <c r="F41" i="21"/>
  <c r="G31" i="19"/>
  <c r="I17" i="19"/>
  <c r="C34" i="19"/>
  <c r="D29" i="21"/>
  <c r="B54" i="1"/>
  <c r="H75" i="21"/>
  <c r="I74" i="21"/>
  <c r="B137" i="1"/>
  <c r="B138" i="1" s="1"/>
  <c r="B139" i="1" s="1"/>
  <c r="B37" i="21"/>
  <c r="G42" i="19"/>
  <c r="I46" i="19"/>
  <c r="F29" i="21"/>
  <c r="C71" i="1"/>
  <c r="C72" i="1" s="1"/>
  <c r="C73" i="1" s="1"/>
  <c r="D37" i="21"/>
  <c r="H44" i="19"/>
  <c r="H42" i="19"/>
  <c r="H40" i="21" s="1"/>
  <c r="B38" i="21"/>
  <c r="B18" i="21"/>
  <c r="D18" i="21"/>
  <c r="D38" i="21"/>
  <c r="D39" i="21" s="1"/>
  <c r="D13" i="21"/>
  <c r="G38" i="21"/>
  <c r="G13" i="21"/>
  <c r="D30" i="19"/>
  <c r="D22" i="21"/>
  <c r="F17" i="19"/>
  <c r="E17" i="19"/>
  <c r="D17" i="19"/>
  <c r="B31" i="19"/>
  <c r="B19" i="21"/>
  <c r="B34" i="19"/>
  <c r="H31" i="19"/>
  <c r="F37" i="21"/>
  <c r="G40" i="21"/>
  <c r="H46" i="19"/>
  <c r="H17" i="19"/>
  <c r="F34" i="19"/>
  <c r="F35" i="19" s="1"/>
  <c r="G34" i="19"/>
  <c r="B13" i="21"/>
  <c r="E39" i="21"/>
  <c r="F39" i="21" s="1"/>
  <c r="H41" i="21"/>
  <c r="G17" i="19"/>
  <c r="C103" i="1"/>
  <c r="B104" i="1"/>
  <c r="B105" i="1" s="1"/>
  <c r="B106" i="1" s="1"/>
  <c r="C37" i="21"/>
  <c r="C9" i="21"/>
  <c r="C17" i="21" s="1"/>
  <c r="C21" i="21" s="1"/>
  <c r="G9" i="21"/>
  <c r="G17" i="21" s="1"/>
  <c r="G21" i="21" s="1"/>
  <c r="G37" i="21"/>
  <c r="B115" i="1"/>
  <c r="B116" i="1" s="1"/>
  <c r="C114" i="1"/>
  <c r="E44" i="19"/>
  <c r="E41" i="21" s="1"/>
  <c r="G46" i="19"/>
  <c r="C42" i="19"/>
  <c r="H37" i="21"/>
  <c r="H9" i="21"/>
  <c r="H17" i="21" s="1"/>
  <c r="H21" i="21" s="1"/>
  <c r="H29" i="21"/>
  <c r="C29" i="21"/>
  <c r="B71" i="1"/>
  <c r="B72" i="1" s="1"/>
  <c r="B73" i="1" s="1"/>
  <c r="D42" i="19"/>
  <c r="D40" i="21" s="1"/>
  <c r="G29" i="21"/>
  <c r="B43" i="1"/>
  <c r="D58" i="1"/>
  <c r="C59" i="1"/>
  <c r="D137" i="1"/>
  <c r="D138" i="1" s="1"/>
  <c r="D139" i="1" s="1"/>
  <c r="E136" i="1"/>
  <c r="E70" i="1"/>
  <c r="D71" i="1"/>
  <c r="D72" i="1" s="1"/>
  <c r="D73" i="1" s="1"/>
  <c r="K1" i="21"/>
  <c r="J9" i="21"/>
  <c r="J29" i="21"/>
  <c r="I14" i="21"/>
  <c r="I15" i="21"/>
  <c r="B82" i="1"/>
  <c r="B83" i="1" s="1"/>
  <c r="B84" i="1" s="1"/>
  <c r="C81" i="1"/>
  <c r="J12" i="21"/>
  <c r="K4" i="21"/>
  <c r="I7" i="21"/>
  <c r="I6" i="21"/>
  <c r="B126" i="1"/>
  <c r="B127" i="1" s="1"/>
  <c r="B128" i="1" s="1"/>
  <c r="C125" i="1"/>
  <c r="B73" i="21"/>
  <c r="C73" i="21" s="1"/>
  <c r="J31" i="21"/>
  <c r="C93" i="1"/>
  <c r="C94" i="1" s="1"/>
  <c r="C95" i="1" s="1"/>
  <c r="D92" i="1"/>
  <c r="K11" i="21"/>
  <c r="L3" i="21"/>
  <c r="B95" i="1"/>
  <c r="B117" i="1"/>
  <c r="B62" i="1"/>
  <c r="H35" i="19"/>
  <c r="H30" i="21"/>
  <c r="H33" i="21" s="1"/>
  <c r="I35" i="21"/>
  <c r="I34" i="21"/>
  <c r="D26" i="1" l="1"/>
  <c r="C27" i="1"/>
  <c r="C28" i="1" s="1"/>
  <c r="C29" i="1" s="1"/>
  <c r="F36" i="19"/>
  <c r="F30" i="21"/>
  <c r="F33" i="21" s="1"/>
  <c r="H76" i="21"/>
  <c r="I75" i="21"/>
  <c r="C30" i="21"/>
  <c r="C33" i="21" s="1"/>
  <c r="C35" i="19"/>
  <c r="G39" i="21"/>
  <c r="H39" i="21" s="1"/>
  <c r="I39" i="21" s="1"/>
  <c r="G30" i="21"/>
  <c r="G33" i="21" s="1"/>
  <c r="G35" i="19"/>
  <c r="B36" i="19"/>
  <c r="B35" i="19"/>
  <c r="B30" i="21"/>
  <c r="B33" i="21" s="1"/>
  <c r="C37" i="19"/>
  <c r="C36" i="19"/>
  <c r="D19" i="21"/>
  <c r="D31" i="19"/>
  <c r="D34" i="19"/>
  <c r="G37" i="19" s="1"/>
  <c r="H36" i="19"/>
  <c r="G36" i="19"/>
  <c r="I37" i="19"/>
  <c r="H37" i="19"/>
  <c r="C104" i="1"/>
  <c r="C105" i="1" s="1"/>
  <c r="C106" i="1" s="1"/>
  <c r="D103" i="1"/>
  <c r="C115" i="1"/>
  <c r="C116" i="1" s="1"/>
  <c r="C117" i="1" s="1"/>
  <c r="D114" i="1"/>
  <c r="C43" i="1"/>
  <c r="K31" i="21"/>
  <c r="B74" i="21"/>
  <c r="C74" i="21" s="1"/>
  <c r="M3" i="21"/>
  <c r="L11" i="21"/>
  <c r="F70" i="1"/>
  <c r="F71" i="1" s="1"/>
  <c r="F72" i="1" s="1"/>
  <c r="E71" i="1"/>
  <c r="E72" i="1" s="1"/>
  <c r="E73" i="1" s="1"/>
  <c r="D93" i="1"/>
  <c r="D94" i="1" s="1"/>
  <c r="D95" i="1" s="1"/>
  <c r="E92" i="1"/>
  <c r="C126" i="1"/>
  <c r="C127" i="1" s="1"/>
  <c r="C128" i="1" s="1"/>
  <c r="D125" i="1"/>
  <c r="K12" i="21"/>
  <c r="L4" i="21"/>
  <c r="K9" i="21"/>
  <c r="K29" i="21"/>
  <c r="L1" i="21"/>
  <c r="E137" i="1"/>
  <c r="E138" i="1" s="1"/>
  <c r="E139" i="1" s="1"/>
  <c r="F136" i="1"/>
  <c r="F137" i="1" s="1"/>
  <c r="F138" i="1" s="1"/>
  <c r="C82" i="1"/>
  <c r="C83" i="1" s="1"/>
  <c r="C84" i="1" s="1"/>
  <c r="D81" i="1"/>
  <c r="E58" i="1"/>
  <c r="D59" i="1"/>
  <c r="J32" i="21"/>
  <c r="D73" i="21"/>
  <c r="E73" i="21" s="1"/>
  <c r="C60" i="1"/>
  <c r="C61" i="1"/>
  <c r="C62" i="1" s="1"/>
  <c r="D27" i="1" l="1"/>
  <c r="D28" i="1" s="1"/>
  <c r="D29" i="1" s="1"/>
  <c r="D43" i="1" s="1"/>
  <c r="E26" i="1"/>
  <c r="H77" i="21"/>
  <c r="I76" i="21"/>
  <c r="E36" i="19"/>
  <c r="G38" i="19"/>
  <c r="H38" i="19"/>
  <c r="E37" i="19"/>
  <c r="D35" i="19"/>
  <c r="F37" i="19"/>
  <c r="D30" i="21"/>
  <c r="D33" i="21" s="1"/>
  <c r="D36" i="19"/>
  <c r="F38" i="19"/>
  <c r="E38" i="19"/>
  <c r="D37" i="19"/>
  <c r="I38" i="19"/>
  <c r="D115" i="1"/>
  <c r="D116" i="1" s="1"/>
  <c r="D117" i="1" s="1"/>
  <c r="E114" i="1"/>
  <c r="E103" i="1"/>
  <c r="D104" i="1"/>
  <c r="D105" i="1" s="1"/>
  <c r="D106" i="1" s="1"/>
  <c r="D60" i="1"/>
  <c r="D61" i="1"/>
  <c r="D62" i="1" s="1"/>
  <c r="F141" i="1"/>
  <c r="F142" i="1" s="1"/>
  <c r="G142" i="1" s="1"/>
  <c r="F139" i="1"/>
  <c r="M1" i="21"/>
  <c r="L29" i="21"/>
  <c r="L9" i="21"/>
  <c r="D74" i="21"/>
  <c r="E74" i="21" s="1"/>
  <c r="K32" i="21"/>
  <c r="N3" i="21"/>
  <c r="N11" i="21" s="1"/>
  <c r="M11" i="21"/>
  <c r="M4" i="21"/>
  <c r="L12" i="21"/>
  <c r="E93" i="1"/>
  <c r="E94" i="1" s="1"/>
  <c r="E95" i="1" s="1"/>
  <c r="F92" i="1"/>
  <c r="F93" i="1" s="1"/>
  <c r="F94" i="1" s="1"/>
  <c r="L31" i="21"/>
  <c r="B75" i="21"/>
  <c r="C75" i="21" s="1"/>
  <c r="D82" i="1"/>
  <c r="D83" i="1" s="1"/>
  <c r="D84" i="1" s="1"/>
  <c r="E81" i="1"/>
  <c r="F75" i="1"/>
  <c r="F76" i="1" s="1"/>
  <c r="G76" i="1" s="1"/>
  <c r="F73" i="1"/>
  <c r="F58" i="1"/>
  <c r="F59" i="1" s="1"/>
  <c r="E59" i="1"/>
  <c r="E125" i="1"/>
  <c r="D126" i="1"/>
  <c r="D127" i="1" s="1"/>
  <c r="D128" i="1" s="1"/>
  <c r="E27" i="1" l="1"/>
  <c r="E28" i="1" s="1"/>
  <c r="E29" i="1" s="1"/>
  <c r="E43" i="1" s="1"/>
  <c r="F26" i="1"/>
  <c r="I77" i="21"/>
  <c r="F114" i="1"/>
  <c r="F115" i="1" s="1"/>
  <c r="F116" i="1" s="1"/>
  <c r="E115" i="1"/>
  <c r="E116" i="1" s="1"/>
  <c r="E117" i="1" s="1"/>
  <c r="E104" i="1"/>
  <c r="E105" i="1" s="1"/>
  <c r="E106" i="1" s="1"/>
  <c r="F103" i="1"/>
  <c r="F104" i="1" s="1"/>
  <c r="F105" i="1" s="1"/>
  <c r="F61" i="1"/>
  <c r="F60" i="1"/>
  <c r="G140" i="1"/>
  <c r="G139" i="1"/>
  <c r="E61" i="1"/>
  <c r="E62" i="1" s="1"/>
  <c r="E60" i="1"/>
  <c r="F97" i="1"/>
  <c r="F98" i="1" s="1"/>
  <c r="G98" i="1" s="1"/>
  <c r="F95" i="1"/>
  <c r="G96" i="1" s="1"/>
  <c r="M9" i="21"/>
  <c r="N1" i="21"/>
  <c r="M29" i="21"/>
  <c r="F125" i="1"/>
  <c r="F126" i="1" s="1"/>
  <c r="F127" i="1" s="1"/>
  <c r="E126" i="1"/>
  <c r="E127" i="1" s="1"/>
  <c r="E128" i="1" s="1"/>
  <c r="N4" i="21"/>
  <c r="N12" i="21" s="1"/>
  <c r="M12" i="21"/>
  <c r="B77" i="21"/>
  <c r="N31" i="21"/>
  <c r="G74" i="1"/>
  <c r="G73" i="1"/>
  <c r="F81" i="1"/>
  <c r="F82" i="1" s="1"/>
  <c r="F83" i="1" s="1"/>
  <c r="E82" i="1"/>
  <c r="E83" i="1" s="1"/>
  <c r="E84" i="1" s="1"/>
  <c r="D75" i="21"/>
  <c r="E75" i="21" s="1"/>
  <c r="L32" i="21"/>
  <c r="B76" i="21"/>
  <c r="C76" i="21" s="1"/>
  <c r="M31" i="21"/>
  <c r="F27" i="1" l="1"/>
  <c r="F28" i="1" s="1"/>
  <c r="F29" i="1" s="1"/>
  <c r="L16" i="1"/>
  <c r="G95" i="1"/>
  <c r="G99" i="1" s="1"/>
  <c r="G100" i="1" s="1"/>
  <c r="K5" i="1" s="1"/>
  <c r="C11" i="17" s="1"/>
  <c r="F106" i="1"/>
  <c r="F108" i="1"/>
  <c r="F109" i="1" s="1"/>
  <c r="G109" i="1" s="1"/>
  <c r="F119" i="1"/>
  <c r="F120" i="1" s="1"/>
  <c r="G120" i="1" s="1"/>
  <c r="F117" i="1"/>
  <c r="G118" i="1" s="1"/>
  <c r="N32" i="21"/>
  <c r="D77" i="21"/>
  <c r="N9" i="21"/>
  <c r="N29" i="21"/>
  <c r="D76" i="21"/>
  <c r="E76" i="21" s="1"/>
  <c r="M32" i="21"/>
  <c r="F86" i="1"/>
  <c r="F87" i="1" s="1"/>
  <c r="G87" i="1" s="1"/>
  <c r="F84" i="1"/>
  <c r="G85" i="1" s="1"/>
  <c r="F130" i="1"/>
  <c r="F131" i="1" s="1"/>
  <c r="G131" i="1" s="1"/>
  <c r="F128" i="1"/>
  <c r="F64" i="1"/>
  <c r="F65" i="1" s="1"/>
  <c r="G65" i="1" s="1"/>
  <c r="F62" i="1"/>
  <c r="G77" i="1"/>
  <c r="G78" i="1" s="1"/>
  <c r="K3" i="1" s="1"/>
  <c r="C7" i="17" s="1"/>
  <c r="C77" i="21"/>
  <c r="G143" i="1"/>
  <c r="G144" i="1" s="1"/>
  <c r="K9" i="1" s="1"/>
  <c r="C12" i="17" s="1"/>
  <c r="F43" i="1" l="1"/>
  <c r="B49" i="1"/>
  <c r="B50" i="1" s="1"/>
  <c r="D21" i="1" s="1"/>
  <c r="L17" i="1"/>
  <c r="G106" i="1"/>
  <c r="G107" i="1"/>
  <c r="G117" i="1"/>
  <c r="G121" i="1" s="1"/>
  <c r="G122" i="1" s="1"/>
  <c r="K7" i="1" s="1"/>
  <c r="C9" i="17" s="1"/>
  <c r="G84" i="1"/>
  <c r="G88" i="1" s="1"/>
  <c r="G89" i="1" s="1"/>
  <c r="K4" i="1" s="1"/>
  <c r="C8" i="17" s="1"/>
  <c r="G63" i="1"/>
  <c r="G62" i="1"/>
  <c r="G129" i="1"/>
  <c r="G128" i="1"/>
  <c r="E77" i="21"/>
  <c r="C21" i="1" l="1"/>
  <c r="B21" i="1"/>
  <c r="G110" i="1"/>
  <c r="G111" i="1" s="1"/>
  <c r="K6" i="1" s="1"/>
  <c r="C6" i="17" s="1"/>
  <c r="G132" i="1"/>
  <c r="G133" i="1" s="1"/>
  <c r="K8" i="1" s="1"/>
  <c r="C10" i="17" s="1"/>
  <c r="G66" i="1"/>
  <c r="G67" i="1" s="1"/>
  <c r="K2" i="1" s="1"/>
  <c r="C5" i="17" s="1"/>
  <c r="F21" i="1" l="1"/>
  <c r="C22" i="1" s="1"/>
  <c r="B1" i="17"/>
  <c r="B2" i="17"/>
  <c r="B22" i="1" l="1"/>
  <c r="I12" i="1"/>
  <c r="L18" i="1"/>
  <c r="E22" i="1"/>
  <c r="D22" i="1"/>
  <c r="K45" i="17"/>
  <c r="K8" i="17"/>
  <c r="K29" i="17"/>
  <c r="K54" i="17"/>
  <c r="K13" i="17"/>
  <c r="K10" i="17"/>
  <c r="K43" i="17"/>
  <c r="K41" i="17"/>
  <c r="K37" i="17"/>
  <c r="K17" i="17"/>
  <c r="K51" i="17"/>
  <c r="K30" i="17"/>
  <c r="K52" i="17"/>
  <c r="K6" i="17"/>
  <c r="K46" i="17"/>
  <c r="K44" i="17"/>
  <c r="K50" i="17"/>
  <c r="K11" i="17"/>
  <c r="K18" i="17"/>
  <c r="K14" i="17"/>
  <c r="K47" i="17"/>
  <c r="K49" i="17"/>
  <c r="K31" i="17"/>
  <c r="K5" i="17"/>
  <c r="K20" i="17"/>
  <c r="K40" i="17"/>
  <c r="K22" i="17"/>
  <c r="K15" i="17"/>
  <c r="K25" i="17"/>
  <c r="K27" i="17"/>
  <c r="K23" i="17"/>
  <c r="K26" i="17"/>
  <c r="K19" i="17"/>
  <c r="K24" i="17"/>
  <c r="K7" i="17"/>
  <c r="K36" i="17"/>
  <c r="K53" i="17"/>
  <c r="K16" i="17"/>
  <c r="K33" i="17"/>
  <c r="K38" i="17"/>
  <c r="K55" i="17"/>
  <c r="K39" i="17"/>
  <c r="K35" i="17"/>
  <c r="K32" i="17"/>
  <c r="K42" i="17"/>
  <c r="K12" i="17"/>
  <c r="K48" i="17"/>
  <c r="K21" i="17"/>
  <c r="K28" i="17"/>
  <c r="K9" i="17"/>
  <c r="K34" i="17"/>
  <c r="N9" i="17" l="1"/>
  <c r="O9" i="17" s="1"/>
  <c r="N39" i="17"/>
  <c r="O39" i="17" s="1"/>
  <c r="N24" i="17"/>
  <c r="O24" i="17" s="1"/>
  <c r="N27" i="17"/>
  <c r="O27" i="17" s="1"/>
  <c r="N49" i="17"/>
  <c r="O49" i="17" s="1"/>
  <c r="N6" i="17"/>
  <c r="O6" i="17" s="1"/>
  <c r="N17" i="17"/>
  <c r="O17" i="17" s="1"/>
  <c r="N8" i="17"/>
  <c r="O8" i="17" s="1"/>
  <c r="N48" i="17"/>
  <c r="O48" i="17" s="1"/>
  <c r="N33" i="17"/>
  <c r="O33" i="17" s="1"/>
  <c r="N23" i="17"/>
  <c r="O23" i="17" s="1"/>
  <c r="N18" i="17"/>
  <c r="O18" i="17" s="1"/>
  <c r="N29" i="17"/>
  <c r="O29" i="17" s="1"/>
  <c r="N21" i="17"/>
  <c r="O21" i="17" s="1"/>
  <c r="N32" i="17"/>
  <c r="O32" i="17" s="1"/>
  <c r="N36" i="17"/>
  <c r="O36" i="17" s="1"/>
  <c r="N15" i="17"/>
  <c r="O15" i="17" s="1"/>
  <c r="N28" i="17"/>
  <c r="O28" i="17" s="1"/>
  <c r="N42" i="17"/>
  <c r="O42" i="17" s="1"/>
  <c r="N55" i="17"/>
  <c r="O55" i="17" s="1"/>
  <c r="N53" i="17"/>
  <c r="O53" i="17" s="1"/>
  <c r="N19" i="17"/>
  <c r="O19" i="17" s="1"/>
  <c r="N25" i="17"/>
  <c r="O25" i="17" s="1"/>
  <c r="N20" i="17"/>
  <c r="O20" i="17" s="1"/>
  <c r="N47" i="17"/>
  <c r="O47" i="17" s="1"/>
  <c r="N50" i="17"/>
  <c r="O50" i="17" s="1"/>
  <c r="N52" i="17"/>
  <c r="O52" i="17" s="1"/>
  <c r="N37" i="17"/>
  <c r="O37" i="17" s="1"/>
  <c r="N13" i="17"/>
  <c r="O13" i="17" s="1"/>
  <c r="N45" i="17"/>
  <c r="O45" i="17" s="1"/>
  <c r="N12" i="17"/>
  <c r="O12" i="17" s="1"/>
  <c r="N16" i="17"/>
  <c r="O16" i="17" s="1"/>
  <c r="N40" i="17"/>
  <c r="O40" i="17" s="1"/>
  <c r="N11" i="17"/>
  <c r="O11" i="17" s="1"/>
  <c r="N10" i="17"/>
  <c r="O10" i="17" s="1"/>
  <c r="N34" i="17"/>
  <c r="O34" i="17" s="1"/>
  <c r="N35" i="17"/>
  <c r="O35" i="17" s="1"/>
  <c r="N7" i="17"/>
  <c r="O7" i="17" s="1"/>
  <c r="N22" i="17"/>
  <c r="O22" i="17" s="1"/>
  <c r="N31" i="17"/>
  <c r="O31" i="17" s="1"/>
  <c r="N46" i="17"/>
  <c r="O46" i="17" s="1"/>
  <c r="N51" i="17"/>
  <c r="O51" i="17" s="1"/>
  <c r="N43" i="17"/>
  <c r="O43" i="17" s="1"/>
  <c r="N38" i="17"/>
  <c r="O38" i="17" s="1"/>
  <c r="N26" i="17"/>
  <c r="O26" i="17" s="1"/>
  <c r="N5" i="17"/>
  <c r="O5" i="17" s="1"/>
  <c r="N14" i="17"/>
  <c r="O14" i="17" s="1"/>
  <c r="N44" i="17"/>
  <c r="O44" i="17" s="1"/>
  <c r="N30" i="17"/>
  <c r="O30" i="17" s="1"/>
  <c r="D7" i="17"/>
  <c r="D12" i="17"/>
  <c r="D6" i="17"/>
  <c r="D9" i="17"/>
  <c r="D11" i="17"/>
  <c r="D8" i="17"/>
  <c r="D10" i="17"/>
  <c r="D5" i="17"/>
  <c r="N41" i="17"/>
  <c r="O41" i="17" s="1"/>
  <c r="N54" i="17"/>
  <c r="O54" i="17" s="1"/>
  <c r="L24" i="17" l="1"/>
  <c r="L39" i="17"/>
  <c r="M41" i="17"/>
  <c r="M32" i="17"/>
  <c r="L5" i="17"/>
  <c r="L43" i="17"/>
  <c r="L51" i="17"/>
  <c r="M22" i="17"/>
  <c r="L11" i="17"/>
  <c r="M45" i="17"/>
  <c r="M52" i="17"/>
  <c r="M50" i="17"/>
  <c r="M25" i="17"/>
  <c r="M19" i="17"/>
  <c r="L42" i="17"/>
  <c r="L28" i="17"/>
  <c r="M21" i="17"/>
  <c r="M23" i="17"/>
  <c r="M24" i="17"/>
  <c r="M5" i="17"/>
  <c r="M26" i="17"/>
  <c r="M51" i="17"/>
  <c r="L35" i="17"/>
  <c r="M11" i="17"/>
  <c r="L40" i="17"/>
  <c r="L45" i="17"/>
  <c r="L47" i="17"/>
  <c r="L19" i="17"/>
  <c r="L29" i="17"/>
  <c r="L33" i="17"/>
  <c r="L30" i="17" s="1"/>
  <c r="L6" i="17"/>
  <c r="L44" i="17"/>
  <c r="L26" i="17"/>
  <c r="L38" i="17"/>
  <c r="L46" i="17"/>
  <c r="M31" i="17"/>
  <c r="M35" i="17"/>
  <c r="L34" i="17"/>
  <c r="M40" i="17"/>
  <c r="L16" i="17"/>
  <c r="M13" i="17"/>
  <c r="L37" i="17"/>
  <c r="M47" i="17"/>
  <c r="M20" i="17"/>
  <c r="L53" i="17"/>
  <c r="L55" i="17"/>
  <c r="M15" i="17"/>
  <c r="L36" i="17"/>
  <c r="M29" i="17"/>
  <c r="L18" i="17"/>
  <c r="M48" i="17"/>
  <c r="M8" i="17"/>
  <c r="L49" i="17"/>
  <c r="M27" i="17"/>
  <c r="L9" i="17"/>
  <c r="L14" i="17"/>
  <c r="M7" i="17"/>
  <c r="L10" i="17"/>
  <c r="L12" i="17"/>
  <c r="M33" i="17"/>
  <c r="M17" i="17"/>
  <c r="M6" i="17"/>
  <c r="M46" i="17"/>
  <c r="L7" i="17"/>
  <c r="L13" i="17"/>
  <c r="L50" i="17"/>
  <c r="M53" i="17"/>
  <c r="M28" i="17"/>
  <c r="L15" i="17"/>
  <c r="L21" i="17"/>
  <c r="L48" i="17"/>
  <c r="M49" i="17"/>
  <c r="M39" i="17"/>
  <c r="M9" i="17"/>
  <c r="M54" i="17"/>
  <c r="L54" i="17"/>
  <c r="L41" i="17"/>
  <c r="M30" i="17"/>
  <c r="M44" i="17"/>
  <c r="M14" i="17"/>
  <c r="M38" i="17"/>
  <c r="M43" i="17"/>
  <c r="L31" i="17"/>
  <c r="L22" i="17"/>
  <c r="M34" i="17"/>
  <c r="M10" i="17"/>
  <c r="M16" i="17"/>
  <c r="M12" i="17"/>
  <c r="M37" i="17"/>
  <c r="L52" i="17"/>
  <c r="L20" i="17"/>
  <c r="L25" i="17"/>
  <c r="M55" i="17"/>
  <c r="M42" i="17"/>
  <c r="M36" i="17"/>
  <c r="L32" i="17"/>
  <c r="M18" i="17"/>
  <c r="L23" i="17"/>
  <c r="L8" i="17"/>
  <c r="L17" i="17"/>
  <c r="L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G4" authorId="0" shapeId="0" xr:uid="{00000000-0006-0000-0000-000002000000}">
      <text>
        <r>
          <rPr>
            <b/>
            <sz val="9"/>
            <color indexed="81"/>
            <rFont val="Tahoma"/>
            <family val="2"/>
          </rPr>
          <t>Erik Kobayashi-Solomon:</t>
        </r>
        <r>
          <rPr>
            <sz val="9"/>
            <color indexed="81"/>
            <rFont val="Tahoma"/>
            <family val="2"/>
          </rPr>
          <t xml:space="preserve">
10-Q September, 2017</t>
        </r>
      </text>
    </comment>
    <comment ref="A5" authorId="0" shapeId="0" xr:uid="{00000000-0006-0000-0000-000003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4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5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6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1"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
</t>
        </r>
        <r>
          <rPr>
            <b/>
            <sz val="9"/>
            <color indexed="81"/>
            <rFont val="Tahoma"/>
            <family val="2"/>
          </rPr>
          <t xml:space="preserve">
Source of Inflation</t>
        </r>
        <r>
          <rPr>
            <sz val="9"/>
            <color indexed="81"/>
            <rFont val="Tahoma"/>
            <family val="2"/>
          </rPr>
          <t xml:space="preserve"> : http://www.inflation.eu/inflation-rates/united-states/historic-inflation/cpi-inflation-united-states.aspx</t>
        </r>
      </text>
    </comment>
    <comment ref="A12"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21"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2"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3"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7" authorId="0" shapeId="0" xr:uid="{00000000-0006-0000-0100-000006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deepg</author>
  </authors>
  <commentList>
    <comment ref="I16" authorId="0" shapeId="0" xr:uid="{00000000-0006-0000-0200-000001000000}">
      <text>
        <r>
          <rPr>
            <sz val="9"/>
            <color indexed="81"/>
            <rFont val="Tahoma"/>
            <family val="2"/>
          </rPr>
          <t>Revenue increased due primarily to: 
(1) increased net wholesale volumes reflecting our strategic decision to reduce daily rental activity, strong retail demand for the Chevrolet Malibu and Spark, full-size trucks and SUVs and the Buick Envision; (2) favorable pricing for Majors of $1.8 billion; and 
(3) favorable mix associated with full-size trucks and SUVs and a
reduction in rental car activities, partially offset by the Chevrolet Malibu and Spark; partially offset by 
(4) unfavorable Other due primarily to the foreign currency effect resulting from the weakening of the Mexican Peso and Canadian Dollar against the U.S. Dollar.</t>
        </r>
      </text>
    </comment>
    <comment ref="H17" authorId="0" shapeId="0" xr:uid="{00000000-0006-0000-0200-000002000000}">
      <text>
        <r>
          <rPr>
            <sz val="9"/>
            <color indexed="81"/>
            <rFont val="Tahoma"/>
            <family val="2"/>
          </rPr>
          <t>Revenue decreased due primarily to: 
(1) decreased net wholesale volumes associated with decreases across the Russian portfolio and lower demand for the Zafira multipurpose vehicle across the region, partially offset by higher demand primarily for the Vivaro commercial van, the Mokka crossover and the Astra and the recently launched KARL passenger vehicles across the region; and 
(2) unfavorable Other due primarily to the foreign currency effect resulting from the weakening of the Euro, British Pound and Russian Ruble against the U.S. Dollar; partially offset by 
(3) favorable pricing primarily related to the next generation Corsa passenger vehicle and Vivaro and the recently launched next generation Astra.</t>
        </r>
      </text>
    </comment>
    <comment ref="H18" authorId="0" shapeId="0" xr:uid="{00000000-0006-0000-0200-000003000000}">
      <text>
        <r>
          <rPr>
            <sz val="9"/>
            <color indexed="81"/>
            <rFont val="Tahoma"/>
            <family val="2"/>
          </rPr>
          <t>Decreased due primarily to: (1) decreased wholesale volumes associated with the withdrawal of the Chevrolet brand from Europe, decreased sales in Korea, India, Southeast Asia and South Africa, partially offset by increased wholesale volumes of new full-size trucks and SUVs in the Middle East; and 
(2) unfavorable Other due primarily to the foreign currency effect of $1.0 billion resulting from the weakening of the Australian Dollar, South Korean Won and South African Rand against the U.S. Dollar and decreased sales of components, parts and accessories of $0.4 billion; partially offset by 
(3) favorable mix and pricing primarily due to increased sales of full-size trucks and SUVs in the Middle East.</t>
        </r>
      </text>
    </comment>
    <comment ref="I18" authorId="0" shapeId="0" xr:uid="{00000000-0006-0000-0200-000004000000}">
      <text>
        <r>
          <rPr>
            <sz val="9"/>
            <color indexed="81"/>
            <rFont val="Tahoma"/>
            <family val="2"/>
          </rPr>
          <t>Revenue decreased due primarily to: (1) decreased wholesale
volumes of pick-up trucks and passenger cars in Egypt and South Africa and full-size trucks and SUVs in the Middle East due to low oil prices, partially offset by increased sales of the Chevrolet Spark and Malibu in Korea and the Middle East; and 
(2) unfavorable Other of $0.4 billion due primarily to the foreign currency effect resulting from the weakening of the Egyptian Pound and South African Rand against the U.S. Dollar.</t>
        </r>
      </text>
    </comment>
    <comment ref="G19" authorId="0" shapeId="0" xr:uid="{00000000-0006-0000-0200-000005000000}">
      <text>
        <r>
          <rPr>
            <sz val="9"/>
            <color indexed="81"/>
            <rFont val="Tahoma"/>
            <family val="2"/>
          </rPr>
          <t>Revenue decreased due primarily to: 
(1) decreased wholesale volumes associated with lower demand for the Chevrolet Celta, Onix and Prisma small vehicles and Cobalt sedan in Brazil and decreases across the portfolio primarily in Chile and Colombia caused by difficult economic conditions; and (2) unfavorable Other of $2.9 billion due primarily to unfavorable foreign currency effect due to the weakening of all currencies across the region against the U.S. Dollar; partially offset by 
(3) favorable pricing due primarily to high inflation in Venezuela and
Argentina; and 
(4) favorable vehicle mix due to decreased sales of lower priced vehicles in Brazil and increased sales of the Chevrolet Silverado and Cruze in Venezuela.</t>
        </r>
      </text>
    </comment>
    <comment ref="H19" authorId="0" shapeId="0" xr:uid="{00000000-0006-0000-0200-000006000000}">
      <text>
        <r>
          <rPr>
            <sz val="9"/>
            <color indexed="81"/>
            <rFont val="Tahoma"/>
            <family val="2"/>
          </rPr>
          <t>Revenue decreased due primarily to: 
(1) decreased wholesale volumes associated with lower
demand for the Chevrolet Celta, Onix and Prisma small vehicles and Cobalt sedan in Brazil and decreases across the portfolio primarily in Chile and Colombia caused by difficult economic conditions; and 
(2) unfavorable Other due primarily to unfavorable foreign currency effect due to the weakening of all currencies across the region against the U.S. Dollar; partially offset by 
(3) favorable pricing due primarily to high inflation in Venezuela and Argentina; and 
(4) favorable vehicle mix due to decreased sales of lower priced vehicles in Brazil and increased sales of the Chevrolet Silverado and Cruze in Venezuela.</t>
        </r>
      </text>
    </comment>
    <comment ref="H47" authorId="0" shapeId="0" xr:uid="{00000000-0006-0000-0200-000007000000}">
      <text>
        <r>
          <rPr>
            <sz val="9"/>
            <color indexed="81"/>
            <rFont val="Tahoma"/>
            <family val="2"/>
          </rPr>
          <t>Total net sales and revenue increased due primarily to: (1) increased net wholesale volumes reflecting our strategic decision to reduce daily rental activity, strong retail demand for the Chevrolet Malibu and Spark, full-size trucks
and SUVs and the Buick Envision; 
(2) favorable pricing for Majors of $1.8 billion; and (3) favorable mix associated with full-size trucks and SUVs and a reduction in rental car activities, partially offset by the Chevrolet Malibu and Spark; partially offset by 
(4) unfavorable Other due primarily to the foreign
currency effect resulting from the weakening of the Mexican Peso and Canadian Dollar against the U.S. Dollar.</t>
        </r>
      </text>
    </comment>
    <comment ref="I49" authorId="0" shapeId="0" xr:uid="{00000000-0006-0000-0200-000008000000}">
      <text>
        <r>
          <rPr>
            <sz val="9"/>
            <color indexed="81"/>
            <rFont val="Tahoma"/>
            <family val="2"/>
          </rPr>
          <t>EBIT-adjusted decreased due primarily to: 
(1) unfavorable mix due primarily to decreased
sales of full size trucks and SUVs in the Middle East as a result of a weaker economy due to low oil prices; 
(2) unfavorable Other due primarily to the foreign
currency effect resulting from the weakening of the Egyptian Pound and South African Rand against the U.S. Dollar; and 
(3) decreased wholesale volume;
partially offset by 
(4) favorable Cost associated with material and freight performance related to carryover vehicles.</t>
        </r>
      </text>
    </comment>
    <comment ref="H50" authorId="0" shapeId="0" xr:uid="{00000000-0006-0000-0200-000009000000}">
      <text>
        <r>
          <rPr>
            <sz val="9"/>
            <color indexed="81"/>
            <rFont val="Tahoma"/>
            <family val="2"/>
          </rPr>
          <t>EBIT (loss)-adjusted increased due primarily to: 
(1) decreased wholesale volumes; and (2) unfavorable Other due primarily to the foreign currency effect due to the weakening of all currencies across the region against the U.S. Dollar; and 
(3) unfavorable Cost due primarily to IT expenses; partially offset by 
(4) favorable pricing.</t>
        </r>
      </text>
    </comment>
    <comment ref="I50" authorId="0" shapeId="0" xr:uid="{00000000-0006-0000-0200-00000A000000}">
      <text>
        <r>
          <rPr>
            <sz val="9"/>
            <color indexed="81"/>
            <rFont val="Tahoma"/>
            <family val="2"/>
          </rPr>
          <t>EBIT (loss)-adjusted decreased due primarily to: 
(1) favorable pricing; and (2) favorable Cost due primarily to lower engineering expenses; partially offset by 
(3) unfavorable mix due primarily to the lack of vehicle sales in Venezuela; 
(4) unfavorable wholesale volumes; and 
(5) unfavorable Other due primarily to the foreign currency effect resulting from the weakening of all currencies across the region against the U.S. Dollar.</t>
        </r>
      </text>
    </comment>
  </commentList>
</comments>
</file>

<file path=xl/sharedStrings.xml><?xml version="1.0" encoding="utf-8"?>
<sst xmlns="http://schemas.openxmlformats.org/spreadsheetml/2006/main" count="496" uniqueCount="246">
  <si>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</si>
  <si>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</si>
  <si>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</si>
  <si>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</si>
  <si>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</si>
  <si>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</si>
  <si>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</si>
  <si>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</si>
  <si>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</si>
  <si>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</si>
  <si>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</si>
  <si>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</si>
  <si>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</si>
  <si>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</si>
  <si>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</si>
  <si>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</si>
  <si>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</si>
  <si>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</si>
  <si>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</si>
  <si>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</si>
  <si>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</si>
  <si>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</si>
  <si>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</si>
  <si>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</si>
  <si>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</si>
  <si>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</si>
  <si>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</si>
  <si>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</si>
  <si>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</si>
  <si>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</si>
  <si>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</si>
  <si>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</si>
  <si>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</si>
  <si>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</si>
  <si>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</si>
  <si>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</si>
  <si>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</si>
  <si>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</si>
  <si>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</si>
  <si>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</si>
  <si>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</si>
  <si>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</si>
  <si>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</si>
  <si>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</si>
  <si>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</si>
  <si>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</si>
  <si>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</si>
  <si>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</si>
  <si>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</si>
  <si>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</si>
  <si>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</si>
  <si>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</si>
  <si>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</si>
  <si>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</si>
  <si>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</si>
  <si>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</si>
  <si>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</si>
  <si>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</si>
  <si>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</si>
  <si>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</si>
  <si>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</si>
  <si>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</si>
  <si>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</si>
  <si>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</si>
  <si>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</si>
  <si>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</si>
  <si>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</si>
  <si>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</si>
  <si>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</si>
  <si>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</si>
  <si>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</si>
  <si>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</si>
  <si>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</si>
  <si>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</si>
  <si>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</si>
  <si>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</si>
  <si>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</si>
  <si>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</si>
  <si>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</si>
  <si>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</si>
  <si>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</si>
  <si>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</si>
  <si>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</si>
  <si>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</si>
  <si>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</si>
  <si>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</si>
  <si>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</si>
  <si>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</si>
  <si>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</si>
  <si>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</si>
  <si>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</si>
  <si>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</si>
  <si>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</si>
  <si>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</si>
  <si>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</si>
  <si>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</si>
  <si>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</si>
  <si>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</si>
  <si>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</si>
  <si>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</si>
  <si>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</si>
  <si>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</si>
  <si>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</si>
  <si>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</si>
  <si>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</si>
  <si>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</si>
  <si>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</si>
  <si>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</si>
  <si>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</si>
  <si>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</si>
  <si>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</si>
  <si>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</si>
  <si>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</si>
  <si>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</si>
  <si>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</si>
  <si>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</si>
  <si>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</si>
  <si>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</si>
  <si>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</si>
  <si>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</si>
  <si>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</si>
  <si>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</si>
  <si>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</si>
  <si>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</si>
  <si>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</si>
  <si>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</si>
  <si>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</si>
  <si>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</si>
  <si>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</si>
  <si>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</si>
  <si>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</si>
  <si>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</si>
  <si>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</si>
  <si>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</si>
  <si>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</si>
  <si>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</si>
  <si>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</si>
  <si>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</si>
  <si>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</si>
  <si>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</si>
  <si>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</si>
  <si>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</si>
  <si>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</si>
  <si>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</si>
  <si>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</si>
  <si>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</si>
  <si>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</si>
  <si>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</si>
  <si>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</si>
  <si>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</si>
  <si>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</si>
  <si>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</si>
  <si>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</si>
  <si>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</si>
  <si>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</si>
  <si>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</si>
  <si>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</si>
  <si>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</si>
  <si>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</si>
  <si>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</si>
  <si>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</si>
  <si>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</si>
  <si>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</si>
  <si>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</si>
  <si>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</si>
  <si>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</si>
  <si>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</si>
  <si>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</si>
  <si>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</si>
  <si>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</si>
  <si>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</si>
  <si>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</si>
  <si>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</si>
  <si>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</si>
  <si>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</si>
  <si>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</si>
  <si>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</si>
  <si>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</si>
  <si>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</si>
  <si>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</si>
  <si>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</si>
  <si>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</si>
  <si>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</si>
  <si>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</si>
  <si>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</si>
  <si>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</si>
  <si>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</si>
  <si>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</si>
  <si>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</si>
  <si>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</si>
  <si>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Depreciation</t>
  </si>
  <si>
    <t>Revenue</t>
  </si>
  <si>
    <t>Yoy %</t>
  </si>
  <si>
    <t>NM</t>
  </si>
  <si>
    <t>% of Total Revenue</t>
  </si>
  <si>
    <t>Segments Detail</t>
  </si>
  <si>
    <t>Geography Segments</t>
  </si>
  <si>
    <t>Best Case</t>
  </si>
  <si>
    <t>Worst Case</t>
  </si>
  <si>
    <t>Valuation Date</t>
  </si>
  <si>
    <t xml:space="preserve">OCP vs GDP Data </t>
  </si>
  <si>
    <t>GDP</t>
  </si>
  <si>
    <t>Date</t>
  </si>
  <si>
    <t>Indexing</t>
  </si>
  <si>
    <t>Yoy % Change</t>
  </si>
  <si>
    <t>China</t>
  </si>
  <si>
    <t>GENERAL MOTORS</t>
  </si>
  <si>
    <t>GM</t>
  </si>
  <si>
    <t xml:space="preserve">  Total Automotive</t>
  </si>
  <si>
    <t xml:space="preserve">    GMNA</t>
  </si>
  <si>
    <t xml:space="preserve">    GME</t>
  </si>
  <si>
    <t xml:space="preserve">    GM Intl Operations</t>
  </si>
  <si>
    <t xml:space="preserve">    GMSA</t>
  </si>
  <si>
    <t xml:space="preserve">    Corporate &amp; Other</t>
  </si>
  <si>
    <t xml:space="preserve">  GM Financial</t>
  </si>
  <si>
    <t xml:space="preserve">  Elimination</t>
  </si>
  <si>
    <t xml:space="preserve">  Eliminations</t>
  </si>
  <si>
    <t>Operating Income</t>
  </si>
  <si>
    <t>% of Total Operating Income</t>
  </si>
  <si>
    <t>North America</t>
  </si>
  <si>
    <t>United States</t>
  </si>
  <si>
    <t>Other</t>
  </si>
  <si>
    <t>Total North America</t>
  </si>
  <si>
    <t>Europe</t>
  </si>
  <si>
    <t>United Kingdom</t>
  </si>
  <si>
    <t>Germany</t>
  </si>
  <si>
    <t>Total Europe(a)</t>
  </si>
  <si>
    <t>Asia/Pacific, Middle East and</t>
  </si>
  <si>
    <t>China(b)</t>
  </si>
  <si>
    <t>Total Asia/Pacific, Middle East</t>
  </si>
  <si>
    <t>South America</t>
  </si>
  <si>
    <t>Brazil</t>
  </si>
  <si>
    <t>Total South America</t>
  </si>
  <si>
    <t>Total Worldwide(c)</t>
  </si>
  <si>
    <t>Cars</t>
  </si>
  <si>
    <t>Trucks</t>
  </si>
  <si>
    <t>Crossovers</t>
  </si>
  <si>
    <t>Volume by Geography</t>
  </si>
  <si>
    <t>Total Europe</t>
  </si>
  <si>
    <t>Retail Sales Data :</t>
  </si>
  <si>
    <t>Purchases of finance receivables, net</t>
  </si>
  <si>
    <t>Principal collections and recoveries on finance receivables</t>
  </si>
  <si>
    <t>Purchases of leased vehicles, net</t>
  </si>
  <si>
    <t>Proceeds from termination of leased vehicles</t>
  </si>
  <si>
    <t>Particulars</t>
  </si>
  <si>
    <t>Loan to JV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</si>
</sst>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yyyy&quot;E&quot;"/>
    <numFmt numFmtId="209" formatCode="_(* #,##0.0000_);_(* \(#,##0.0000\);_(* &quot;-&quot;??_);_(@_)"/>
    <numFmt numFmtId="210" formatCode="_([$$-409]* #,##0.00_);_([$$-409]* \(#,##0.00\);_([$$-409]* &quot;-&quot;??_);_(@_)"/>
  </numFmts>
  <fonts count="5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i/>
      <sz val="11"/>
      <color theme="1"/>
      <name val="Calibri"/>
      <family val="2"/>
      <scheme val="minor"/>
    </font>
    <font>
      <b/>
      <sz val="10"/>
      <color indexed="8"/>
      <name val="Arial"/>
      <family val="2"/>
    </font>
    <font>
      <b/>
      <sz val="12"/>
      <color theme="1"/>
      <name val="Calibri"/>
      <family val="2"/>
      <scheme val="minor"/>
    </font>
    <font>
      <b/>
      <sz val="14"/>
      <color theme="1"/>
      <name val="Calibri"/>
      <family val="2"/>
      <scheme val="minor"/>
    </font>
    <font>
      <sz val="10"/>
      <color indexed="63"/>
      <name val="Arial"/>
      <family val="2"/>
    </font>
    <font>
      <b/>
      <sz val="10"/>
      <color indexed="63"/>
      <name val="Arial"/>
      <family val="2"/>
    </font>
    <font>
      <b/>
      <sz val="10"/>
      <color theme="1"/>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0049AA"/>
        <bgColor indexed="64"/>
      </patternFill>
    </fill>
    <fill>
      <patternFill patternType="solid">
        <fgColor rgb="FFFFFFFF"/>
        <bgColor indexed="64"/>
      </patternFill>
    </fill>
    <fill>
      <patternFill patternType="solid">
        <fgColor rgb="FFFFFF00"/>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170" fontId="7" fillId="0" borderId="0" applyFont="0" applyFill="0" applyBorder="0" applyAlignment="0" applyProtection="0"/>
    <xf numFmtId="171" fontId="7" fillId="0" borderId="0" applyFont="0" applyFill="0" applyBorder="0" applyAlignment="0" applyProtection="0"/>
    <xf numFmtId="172" fontId="7" fillId="0" borderId="0" applyFont="0" applyFill="0" applyBorder="0" applyAlignment="0" applyProtection="0"/>
    <xf numFmtId="9" fontId="8" fillId="0" borderId="0"/>
    <xf numFmtId="173" fontId="9" fillId="4" borderId="0" applyNumberFormat="0" applyFill="0" applyBorder="0" applyAlignment="0" applyProtection="0">
      <protection locked="0"/>
    </xf>
    <xf numFmtId="174" fontId="8" fillId="0" borderId="0" applyFont="0" applyFill="0" applyBorder="0" applyAlignment="0" applyProtection="0"/>
    <xf numFmtId="175" fontId="8" fillId="0" borderId="0" applyFont="0" applyFill="0" applyBorder="0" applyAlignment="0" applyProtection="0"/>
    <xf numFmtId="0" fontId="10" fillId="0" borderId="0">
      <alignment horizontal="center" wrapText="1"/>
      <protection locked="0"/>
    </xf>
    <xf numFmtId="176" fontId="8" fillId="0" borderId="0" applyFont="0" applyFill="0" applyBorder="0" applyAlignment="0" applyProtection="0"/>
    <xf numFmtId="177" fontId="8" fillId="0" borderId="0" applyFont="0" applyFill="0" applyBorder="0" applyAlignment="0" applyProtection="0"/>
    <xf numFmtId="0" fontId="11" fillId="0" borderId="0" applyNumberFormat="0" applyFill="0" applyBorder="0" applyAlignment="0" applyProtection="0"/>
    <xf numFmtId="0" fontId="12" fillId="0" borderId="0"/>
    <xf numFmtId="178" fontId="13" fillId="0" borderId="0" applyFill="0" applyBorder="0" applyAlignment="0"/>
    <xf numFmtId="179" fontId="13" fillId="0" borderId="0" applyFill="0" applyBorder="0" applyAlignment="0"/>
    <xf numFmtId="180" fontId="13" fillId="0" borderId="0" applyFill="0" applyBorder="0" applyAlignment="0"/>
    <xf numFmtId="181" fontId="13" fillId="0" borderId="0" applyFill="0" applyBorder="0" applyAlignment="0"/>
    <xf numFmtId="178" fontId="13" fillId="0" borderId="0" applyFill="0" applyBorder="0" applyAlignment="0"/>
    <xf numFmtId="178" fontId="13" fillId="0" borderId="0" applyFill="0" applyBorder="0" applyAlignment="0"/>
    <xf numFmtId="179" fontId="13" fillId="0" borderId="0" applyFill="0" applyBorder="0" applyAlignment="0"/>
    <xf numFmtId="179" fontId="13" fillId="0" borderId="0" applyFill="0" applyBorder="0" applyAlignment="0"/>
    <xf numFmtId="182" fontId="13" fillId="0" borderId="0"/>
    <xf numFmtId="182" fontId="13" fillId="0" borderId="0"/>
    <xf numFmtId="182" fontId="13" fillId="0" borderId="0"/>
    <xf numFmtId="182" fontId="13" fillId="0" borderId="0"/>
    <xf numFmtId="182" fontId="13" fillId="0" borderId="0"/>
    <xf numFmtId="182" fontId="13" fillId="0" borderId="0"/>
    <xf numFmtId="182" fontId="13" fillId="0" borderId="0"/>
    <xf numFmtId="182" fontId="13" fillId="0" borderId="0"/>
    <xf numFmtId="178" fontId="13" fillId="0" borderId="0" applyFont="0" applyFill="0" applyBorder="0" applyAlignment="0" applyProtection="0"/>
    <xf numFmtId="3" fontId="13" fillId="0" borderId="0" applyFont="0" applyFill="0" applyBorder="0" applyAlignment="0" applyProtection="0"/>
    <xf numFmtId="0" fontId="14" fillId="0" borderId="0" applyNumberFormat="0" applyAlignment="0">
      <alignment horizontal="left"/>
    </xf>
    <xf numFmtId="179" fontId="13" fillId="0" borderId="0" applyFont="0" applyFill="0" applyBorder="0" applyAlignment="0" applyProtection="0"/>
    <xf numFmtId="44" fontId="6" fillId="0" borderId="0" applyFont="0" applyFill="0" applyBorder="0" applyAlignment="0" applyProtection="0"/>
    <xf numFmtId="183" fontId="13" fillId="0" borderId="0" applyFont="0" applyFill="0" applyBorder="0" applyAlignment="0" applyProtection="0"/>
    <xf numFmtId="184" fontId="13" fillId="0" borderId="0" applyFont="0" applyFill="0" applyBorder="0" applyAlignment="0" applyProtection="0"/>
    <xf numFmtId="0" fontId="15" fillId="0" borderId="0" applyFont="0" applyFill="0" applyBorder="0" applyAlignment="0" applyProtection="0"/>
    <xf numFmtId="15" fontId="16" fillId="0" borderId="0"/>
    <xf numFmtId="14" fontId="17" fillId="0" borderId="0" applyFill="0" applyBorder="0" applyAlignment="0"/>
    <xf numFmtId="0" fontId="13" fillId="0" borderId="0" applyFont="0" applyFill="0" applyBorder="0" applyAlignment="0" applyProtection="0"/>
    <xf numFmtId="38" fontId="16" fillId="0" borderId="8">
      <alignment vertical="center"/>
    </xf>
    <xf numFmtId="185" fontId="18" fillId="0" borderId="0" applyFill="0" applyBorder="0" applyAlignment="0" applyProtection="0">
      <alignment horizontal="right"/>
    </xf>
    <xf numFmtId="185" fontId="18" fillId="0" borderId="0" applyFill="0" applyBorder="0" applyAlignment="0">
      <alignment horizontal="right"/>
    </xf>
    <xf numFmtId="186" fontId="18" fillId="0" borderId="0" applyFill="0" applyBorder="0" applyAlignment="0">
      <alignment horizontal="right"/>
    </xf>
    <xf numFmtId="178" fontId="13" fillId="0" borderId="0" applyFill="0" applyBorder="0" applyAlignment="0"/>
    <xf numFmtId="179" fontId="13" fillId="0" borderId="0" applyFill="0" applyBorder="0" applyAlignment="0"/>
    <xf numFmtId="178" fontId="13" fillId="0" borderId="0" applyFill="0" applyBorder="0" applyAlignment="0"/>
    <xf numFmtId="179" fontId="13" fillId="0" borderId="0" applyFill="0" applyBorder="0" applyAlignment="0"/>
    <xf numFmtId="179" fontId="13" fillId="0" borderId="0" applyFill="0" applyBorder="0" applyAlignment="0"/>
    <xf numFmtId="0" fontId="19" fillId="0" borderId="0" applyNumberFormat="0" applyAlignment="0">
      <alignment horizontal="left"/>
    </xf>
    <xf numFmtId="187" fontId="13" fillId="0" borderId="0" applyFont="0" applyFill="0" applyBorder="0" applyAlignment="0" applyProtection="0">
      <alignment vertical="top"/>
    </xf>
    <xf numFmtId="2" fontId="13" fillId="0" borderId="0" applyFont="0" applyFill="0" applyBorder="0" applyAlignment="0" applyProtection="0"/>
    <xf numFmtId="188" fontId="20" fillId="0" borderId="11">
      <alignment horizontal="right"/>
    </xf>
    <xf numFmtId="38" fontId="21" fillId="4" borderId="0" applyNumberFormat="0" applyBorder="0" applyAlignment="0" applyProtection="0"/>
    <xf numFmtId="0" fontId="22" fillId="4" borderId="0"/>
    <xf numFmtId="0" fontId="23" fillId="0" borderId="12" applyNumberFormat="0" applyAlignment="0" applyProtection="0">
      <alignment horizontal="left" vertical="center"/>
    </xf>
    <xf numFmtId="0" fontId="23" fillId="0" borderId="1">
      <alignment horizontal="left" vertical="center"/>
    </xf>
    <xf numFmtId="0" fontId="24" fillId="0" borderId="4">
      <alignment horizontal="center"/>
    </xf>
    <xf numFmtId="0" fontId="24" fillId="0" borderId="0">
      <alignment horizontal="center"/>
    </xf>
    <xf numFmtId="0" fontId="25" fillId="0" borderId="0" applyNumberFormat="0" applyFill="0" applyBorder="0" applyAlignment="0" applyProtection="0">
      <alignment vertical="top"/>
      <protection locked="0"/>
    </xf>
    <xf numFmtId="10" fontId="21" fillId="5" borderId="3" applyNumberFormat="0" applyBorder="0" applyAlignment="0" applyProtection="0"/>
    <xf numFmtId="189" fontId="26" fillId="0" borderId="7" applyBorder="0">
      <protection locked="0"/>
    </xf>
    <xf numFmtId="178" fontId="13" fillId="0" borderId="0" applyFill="0" applyBorder="0" applyAlignment="0"/>
    <xf numFmtId="179" fontId="13" fillId="0" borderId="0" applyFill="0" applyBorder="0" applyAlignment="0"/>
    <xf numFmtId="178" fontId="13" fillId="0" borderId="0" applyFill="0" applyBorder="0" applyAlignment="0"/>
    <xf numFmtId="179" fontId="13" fillId="0" borderId="0" applyFill="0" applyBorder="0" applyAlignment="0"/>
    <xf numFmtId="179" fontId="13" fillId="0" borderId="0" applyFill="0" applyBorder="0" applyAlignment="0"/>
    <xf numFmtId="190" fontId="18" fillId="0" borderId="0" applyFill="0" applyBorder="0" applyAlignment="0">
      <alignment horizontal="right"/>
    </xf>
    <xf numFmtId="0" fontId="27" fillId="0" borderId="0">
      <alignment horizontal="right"/>
    </xf>
    <xf numFmtId="0" fontId="28" fillId="0" borderId="0"/>
    <xf numFmtId="0" fontId="26" fillId="0" borderId="13" applyNumberFormat="0" applyAlignment="0"/>
    <xf numFmtId="37" fontId="29" fillId="0" borderId="0"/>
    <xf numFmtId="191" fontId="30" fillId="0" borderId="0"/>
    <xf numFmtId="0" fontId="6" fillId="0" borderId="0"/>
    <xf numFmtId="0" fontId="1" fillId="0" borderId="0"/>
    <xf numFmtId="0" fontId="1" fillId="0" borderId="0"/>
    <xf numFmtId="0" fontId="1" fillId="0" borderId="0"/>
    <xf numFmtId="0" fontId="1" fillId="0" borderId="0"/>
    <xf numFmtId="14" fontId="10" fillId="0" borderId="0">
      <alignment horizontal="center" wrapText="1"/>
      <protection locked="0"/>
    </xf>
    <xf numFmtId="178" fontId="13" fillId="0" borderId="0" applyFont="0" applyFill="0" applyBorder="0" applyAlignment="0" applyProtection="0"/>
    <xf numFmtId="192" fontId="13" fillId="0" borderId="0" applyFont="0" applyFill="0" applyBorder="0" applyAlignment="0" applyProtection="0"/>
    <xf numFmtId="10" fontId="13" fillId="0" borderId="0" applyFont="0" applyFill="0" applyBorder="0" applyAlignment="0" applyProtection="0"/>
    <xf numFmtId="193" fontId="18" fillId="0" borderId="0" applyFill="0" applyBorder="0" applyAlignment="0">
      <alignment horizontal="right"/>
    </xf>
    <xf numFmtId="194" fontId="18" fillId="0" borderId="0" applyBorder="0" applyAlignment="0">
      <alignment horizontal="right"/>
    </xf>
    <xf numFmtId="195" fontId="31" fillId="0" borderId="2" applyFill="0" applyAlignment="0">
      <alignment horizontal="right"/>
    </xf>
    <xf numFmtId="196" fontId="32" fillId="0" borderId="0" applyNumberFormat="0" applyFill="0" applyBorder="0" applyAlignment="0">
      <alignment horizontal="right"/>
    </xf>
    <xf numFmtId="194" fontId="18" fillId="6" borderId="0" applyFont="0" applyBorder="0" applyAlignment="0">
      <alignment horizontal="right"/>
    </xf>
    <xf numFmtId="0" fontId="33" fillId="0" borderId="0" applyFill="0" applyBorder="0">
      <alignment horizontal="right"/>
    </xf>
    <xf numFmtId="0" fontId="34" fillId="0" borderId="0" applyFont="0"/>
    <xf numFmtId="178" fontId="13" fillId="0" borderId="0" applyFill="0" applyBorder="0" applyAlignment="0"/>
    <xf numFmtId="179" fontId="13" fillId="0" borderId="0" applyFill="0" applyBorder="0" applyAlignment="0"/>
    <xf numFmtId="178" fontId="13" fillId="0" borderId="0" applyFill="0" applyBorder="0" applyAlignment="0"/>
    <xf numFmtId="179" fontId="13" fillId="0" borderId="0" applyFill="0" applyBorder="0" applyAlignment="0"/>
    <xf numFmtId="179" fontId="13" fillId="0" borderId="0" applyFill="0" applyBorder="0" applyAlignment="0"/>
    <xf numFmtId="197" fontId="7" fillId="0" borderId="0" applyFont="0" applyFill="0" applyBorder="0" applyAlignment="0" applyProtection="0"/>
    <xf numFmtId="0" fontId="35" fillId="7" borderId="0" applyNumberFormat="0" applyFont="0" applyBorder="0" applyAlignment="0">
      <alignment horizontal="center"/>
    </xf>
    <xf numFmtId="198" fontId="36" fillId="0" borderId="0" applyNumberFormat="0" applyFill="0" applyBorder="0" applyAlignment="0" applyProtection="0">
      <alignment horizontal="left"/>
    </xf>
    <xf numFmtId="199" fontId="21" fillId="0" borderId="0">
      <alignment vertical="center"/>
    </xf>
    <xf numFmtId="38" fontId="28" fillId="0" borderId="0" applyNumberFormat="0" applyFont="0" applyFill="0" applyBorder="0" applyAlignment="0"/>
    <xf numFmtId="200" fontId="28" fillId="0" borderId="0">
      <protection locked="0"/>
    </xf>
    <xf numFmtId="0" fontId="35" fillId="1" borderId="1" applyNumberFormat="0" applyFont="0" applyAlignment="0">
      <alignment horizontal="center"/>
    </xf>
    <xf numFmtId="0" fontId="37" fillId="0" borderId="0" applyNumberFormat="0" applyFill="0" applyBorder="0" applyAlignment="0" applyProtection="0">
      <alignment vertical="top"/>
      <protection locked="0"/>
    </xf>
    <xf numFmtId="0" fontId="38" fillId="0" borderId="0" applyNumberFormat="0" applyFill="0" applyBorder="0" applyAlignment="0">
      <alignment horizontal="center"/>
    </xf>
    <xf numFmtId="3" fontId="13" fillId="4" borderId="14" applyFont="0" applyFill="0" applyBorder="0" applyAlignment="0" applyProtection="0"/>
    <xf numFmtId="39" fontId="13" fillId="4" borderId="14" applyFont="0" applyFill="0" applyBorder="0" applyAlignment="0" applyProtection="0"/>
    <xf numFmtId="201" fontId="13" fillId="4" borderId="14" applyFont="0" applyFill="0" applyBorder="0" applyAlignment="0" applyProtection="0"/>
    <xf numFmtId="37" fontId="13" fillId="4" borderId="15" applyFont="0" applyFill="0" applyBorder="0" applyAlignment="0" applyProtection="0"/>
    <xf numFmtId="10" fontId="13" fillId="4" borderId="14" applyFont="0" applyFill="0" applyBorder="0" applyAlignment="0" applyProtection="0"/>
    <xf numFmtId="9" fontId="13" fillId="4" borderId="14" applyFont="0" applyFill="0" applyBorder="0" applyAlignment="0" applyProtection="0"/>
    <xf numFmtId="2" fontId="13" fillId="4" borderId="14" applyFont="0" applyFill="0" applyBorder="0" applyAlignment="0" applyProtection="0"/>
    <xf numFmtId="0" fontId="13" fillId="0" borderId="0"/>
    <xf numFmtId="40" fontId="39" fillId="0" borderId="0" applyBorder="0">
      <alignment horizontal="right"/>
    </xf>
    <xf numFmtId="49" fontId="17" fillId="0" borderId="0" applyFill="0" applyBorder="0" applyAlignment="0"/>
    <xf numFmtId="202" fontId="13" fillId="0" borderId="0" applyFill="0" applyBorder="0" applyAlignment="0"/>
    <xf numFmtId="178" fontId="13" fillId="0" borderId="0" applyFill="0" applyBorder="0" applyAlignment="0"/>
    <xf numFmtId="0" fontId="13" fillId="0" borderId="0" applyFont="0" applyFill="0" applyBorder="0" applyAlignment="0" applyProtection="0"/>
    <xf numFmtId="0" fontId="13" fillId="0" borderId="0" applyFont="0" applyFill="0" applyBorder="0" applyAlignment="0" applyProtection="0"/>
    <xf numFmtId="0" fontId="13" fillId="0" borderId="0"/>
    <xf numFmtId="203" fontId="13" fillId="0" borderId="0" applyFont="0" applyFill="0" applyBorder="0" applyAlignment="0" applyProtection="0"/>
    <xf numFmtId="204" fontId="13" fillId="0" borderId="0" applyFont="0" applyFill="0" applyBorder="0" applyAlignment="0" applyProtection="0"/>
    <xf numFmtId="0" fontId="53" fillId="10" borderId="18"/>
    <xf numFmtId="0" fontId="56" fillId="10" borderId="18"/>
  </cellStyleXfs>
  <cellXfs count="200">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5" fillId="0" borderId="0" xfId="0" applyFont="1" applyAlignment="1">
      <alignment horizontal="right"/>
    </xf>
    <xf numFmtId="166" fontId="5" fillId="0" borderId="0" xfId="0" applyNumberFormat="1" applyFont="1"/>
    <xf numFmtId="0" fontId="5" fillId="0" borderId="0" xfId="0" applyFont="1"/>
    <xf numFmtId="0" fontId="3"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44" fontId="0" fillId="0" borderId="0" xfId="0" applyNumberFormat="1"/>
    <xf numFmtId="0" fontId="3" fillId="0" borderId="0" xfId="0" applyFont="1" applyAlignment="1">
      <alignment horizontal="center"/>
    </xf>
    <xf numFmtId="43" fontId="0" fillId="0" borderId="0" xfId="1" applyNumberFormat="1" applyFont="1"/>
    <xf numFmtId="43" fontId="0" fillId="0" borderId="0" xfId="0" applyNumberFormat="1"/>
    <xf numFmtId="164" fontId="0" fillId="0" borderId="0" xfId="0" applyNumberFormat="1"/>
    <xf numFmtId="0" fontId="5" fillId="0" borderId="0" xfId="0" applyNumberFormat="1" applyFont="1" applyAlignment="1">
      <alignment horizontal="right"/>
    </xf>
    <xf numFmtId="9" fontId="3"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2"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5" fillId="0" borderId="0" xfId="0" applyFont="1" applyFill="1" applyBorder="1"/>
    <xf numFmtId="0" fontId="0" fillId="0" borderId="18" xfId="0" applyBorder="1"/>
    <xf numFmtId="43" fontId="0" fillId="2" borderId="0" xfId="1" applyFont="1" applyFill="1" applyBorder="1"/>
    <xf numFmtId="0" fontId="42" fillId="2" borderId="0" xfId="0" applyFont="1" applyFill="1" applyBorder="1"/>
    <xf numFmtId="9" fontId="0" fillId="2" borderId="4" xfId="0" applyNumberForma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2" fillId="3" borderId="4" xfId="0" applyFont="1" applyFill="1" applyBorder="1"/>
    <xf numFmtId="9" fontId="0" fillId="0" borderId="0" xfId="3" applyFont="1" applyAlignment="1">
      <alignment horizontal="right"/>
    </xf>
    <xf numFmtId="0" fontId="43" fillId="3" borderId="4" xfId="0" applyFont="1" applyFill="1" applyBorder="1"/>
    <xf numFmtId="0" fontId="2" fillId="3" borderId="17" xfId="4" applyFont="1" applyFill="1" applyBorder="1" applyAlignment="1">
      <alignment horizontal="center"/>
    </xf>
    <xf numFmtId="0" fontId="2"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2" fillId="3" borderId="0" xfId="0" applyFont="1" applyFill="1" applyBorder="1" applyAlignment="1">
      <alignment horizontal="center"/>
    </xf>
    <xf numFmtId="0" fontId="2"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1" fillId="0" borderId="0" xfId="4"/>
    <xf numFmtId="43" fontId="6" fillId="0" borderId="0" xfId="5" applyNumberFormat="1"/>
    <xf numFmtId="0" fontId="44" fillId="0" borderId="0" xfId="4" applyFont="1"/>
    <xf numFmtId="0" fontId="45" fillId="3" borderId="0" xfId="4" applyFont="1" applyFill="1"/>
    <xf numFmtId="0" fontId="45" fillId="3" borderId="0" xfId="4" applyFont="1" applyFill="1" applyAlignment="1">
      <alignment horizontal="right"/>
    </xf>
    <xf numFmtId="0" fontId="46" fillId="0" borderId="0" xfId="4" applyFont="1" applyAlignment="1">
      <alignment horizontal="right"/>
    </xf>
    <xf numFmtId="165" fontId="44" fillId="0" borderId="0" xfId="6" applyNumberFormat="1" applyFont="1"/>
    <xf numFmtId="43" fontId="44" fillId="0" borderId="0" xfId="4" applyNumberFormat="1" applyFont="1"/>
    <xf numFmtId="9" fontId="44" fillId="0" borderId="0" xfId="7" applyFont="1"/>
    <xf numFmtId="9" fontId="44" fillId="0" borderId="0" xfId="4" applyNumberFormat="1" applyFont="1"/>
    <xf numFmtId="9" fontId="47" fillId="0" borderId="0" xfId="7" applyFont="1"/>
    <xf numFmtId="0" fontId="46" fillId="0" borderId="0" xfId="4" applyFont="1"/>
    <xf numFmtId="165" fontId="46" fillId="0" borderId="0" xfId="4" applyNumberFormat="1" applyFont="1"/>
    <xf numFmtId="205" fontId="44" fillId="0" borderId="0" xfId="4" applyNumberFormat="1" applyFont="1"/>
    <xf numFmtId="0" fontId="2"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8" fillId="0" borderId="19" xfId="0" applyFont="1" applyFill="1" applyBorder="1" applyAlignment="1">
      <alignment horizontal="center"/>
    </xf>
    <xf numFmtId="9" fontId="48" fillId="0" borderId="19" xfId="3" applyFont="1" applyFill="1" applyBorder="1" applyAlignment="1">
      <alignment horizontal="center"/>
    </xf>
    <xf numFmtId="0" fontId="48" fillId="0" borderId="19" xfId="0" applyFont="1" applyBorder="1" applyAlignment="1">
      <alignment horizontal="center"/>
    </xf>
    <xf numFmtId="0" fontId="48" fillId="0" borderId="20" xfId="0" applyFont="1" applyBorder="1" applyAlignment="1">
      <alignment horizontal="center"/>
    </xf>
    <xf numFmtId="0" fontId="4" fillId="0" borderId="0" xfId="0" applyFont="1"/>
    <xf numFmtId="9" fontId="0" fillId="0" borderId="0" xfId="0" applyNumberFormat="1"/>
    <xf numFmtId="0" fontId="0" fillId="0" borderId="10" xfId="0" applyBorder="1"/>
    <xf numFmtId="0" fontId="2" fillId="3" borderId="18" xfId="0" applyFont="1" applyFill="1" applyBorder="1"/>
    <xf numFmtId="0" fontId="2"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165" fontId="0" fillId="2" borderId="1" xfId="1" applyNumberFormat="1" applyFont="1" applyFill="1" applyBorder="1" applyProtection="1">
      <protection locked="0"/>
    </xf>
    <xf numFmtId="0" fontId="49" fillId="0" borderId="0" xfId="0" applyFont="1" applyAlignment="1">
      <alignment horizontal="left" indent="1"/>
    </xf>
    <xf numFmtId="9" fontId="49" fillId="0" borderId="0" xfId="3" applyFont="1" applyAlignment="1">
      <alignment horizontal="right"/>
    </xf>
    <xf numFmtId="9" fontId="49" fillId="0" borderId="0" xfId="3" applyFont="1"/>
    <xf numFmtId="206" fontId="50"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1" fillId="0" borderId="0" xfId="1" applyNumberFormat="1" applyFont="1" applyFill="1"/>
    <xf numFmtId="0" fontId="49" fillId="0" borderId="0" xfId="0" applyFont="1"/>
    <xf numFmtId="0" fontId="51" fillId="0" borderId="0" xfId="0" applyFont="1" applyAlignment="1">
      <alignment horizontal="left" indent="2"/>
    </xf>
    <xf numFmtId="0" fontId="51" fillId="8" borderId="0" xfId="0" applyFont="1" applyFill="1" applyAlignment="1">
      <alignment horizontal="left" indent="2"/>
    </xf>
    <xf numFmtId="0" fontId="51" fillId="0" borderId="23" xfId="0" applyFont="1" applyBorder="1" applyAlignment="1">
      <alignment horizontal="left" indent="2"/>
    </xf>
    <xf numFmtId="165" fontId="0" fillId="0" borderId="0" xfId="1" applyNumberFormat="1" applyFont="1" applyFill="1" applyProtection="1">
      <protection locked="0"/>
    </xf>
    <xf numFmtId="0" fontId="0" fillId="0" borderId="2" xfId="0" applyBorder="1"/>
    <xf numFmtId="207" fontId="50" fillId="3" borderId="4" xfId="0" applyNumberFormat="1" applyFont="1" applyFill="1" applyBorder="1"/>
    <xf numFmtId="0" fontId="0" fillId="0" borderId="12" xfId="0" applyBorder="1"/>
    <xf numFmtId="165" fontId="1"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2" borderId="9" xfId="3" applyFont="1" applyFill="1" applyBorder="1"/>
    <xf numFmtId="9" fontId="1" fillId="2" borderId="0" xfId="3" applyFont="1" applyFill="1" applyBorder="1"/>
    <xf numFmtId="167" fontId="0" fillId="0" borderId="0" xfId="3" applyNumberFormat="1" applyFont="1"/>
    <xf numFmtId="9" fontId="49" fillId="0" borderId="0" xfId="3" applyNumberFormat="1" applyFont="1" applyAlignment="1">
      <alignment horizontal="right"/>
    </xf>
    <xf numFmtId="0" fontId="4" fillId="9" borderId="0" xfId="0" applyFont="1" applyFill="1"/>
    <xf numFmtId="0" fontId="2" fillId="9" borderId="0" xfId="0" applyFont="1" applyFill="1"/>
    <xf numFmtId="3" fontId="0" fillId="0" borderId="0" xfId="0" applyNumberFormat="1"/>
    <xf numFmtId="165" fontId="3" fillId="0" borderId="0" xfId="1" applyNumberFormat="1" applyFont="1"/>
    <xf numFmtId="167" fontId="3" fillId="0" borderId="0" xfId="3" applyNumberFormat="1" applyFont="1" applyAlignment="1">
      <alignment horizontal="right"/>
    </xf>
    <xf numFmtId="0" fontId="52" fillId="0" borderId="0" xfId="0" applyFont="1"/>
    <xf numFmtId="206" fontId="3" fillId="0" borderId="0" xfId="0" applyNumberFormat="1" applyFont="1"/>
    <xf numFmtId="167" fontId="1" fillId="0" borderId="0" xfId="3" applyNumberFormat="1" applyFont="1" applyAlignment="1">
      <alignment horizontal="right"/>
    </xf>
    <xf numFmtId="0" fontId="53" fillId="10" borderId="18" xfId="127" applyNumberFormat="1" applyFont="1" applyFill="1" applyBorder="1" applyAlignment="1" applyProtection="1"/>
    <xf numFmtId="208" fontId="3" fillId="0" borderId="0" xfId="0" applyNumberFormat="1" applyFont="1"/>
    <xf numFmtId="9" fontId="4" fillId="0" borderId="0" xfId="3" applyFont="1"/>
    <xf numFmtId="39" fontId="3" fillId="0" borderId="0" xfId="1" applyNumberFormat="1" applyFont="1"/>
    <xf numFmtId="165" fontId="0" fillId="2" borderId="0" xfId="1" applyNumberFormat="1" applyFont="1" applyFill="1" applyBorder="1"/>
    <xf numFmtId="39" fontId="3" fillId="0" borderId="0" xfId="1" applyNumberFormat="1" applyFont="1" applyFill="1"/>
    <xf numFmtId="168" fontId="3" fillId="0" borderId="0" xfId="0" applyNumberFormat="1" applyFont="1"/>
    <xf numFmtId="165" fontId="1" fillId="2" borderId="23" xfId="1" applyNumberFormat="1" applyFont="1" applyFill="1" applyBorder="1" applyProtection="1">
      <protection locked="0"/>
    </xf>
    <xf numFmtId="43" fontId="1" fillId="2" borderId="0" xfId="1" applyFont="1" applyFill="1" applyProtection="1">
      <protection locked="0"/>
    </xf>
    <xf numFmtId="0" fontId="54" fillId="0" borderId="0" xfId="0" applyFont="1" applyAlignment="1">
      <alignment horizontal="left"/>
    </xf>
    <xf numFmtId="209" fontId="0" fillId="0" borderId="0" xfId="1" applyNumberFormat="1" applyFont="1"/>
    <xf numFmtId="43" fontId="0" fillId="0" borderId="0" xfId="1" applyFont="1" applyBorder="1"/>
    <xf numFmtId="14" fontId="0" fillId="0" borderId="0" xfId="0" applyNumberFormat="1" applyAlignment="1">
      <alignment horizontal="left"/>
    </xf>
    <xf numFmtId="164" fontId="0" fillId="0" borderId="0" xfId="1" applyNumberFormat="1" applyFont="1"/>
    <xf numFmtId="0" fontId="3" fillId="0" borderId="0" xfId="0" applyFont="1" applyAlignment="1">
      <alignment horizontal="right"/>
    </xf>
    <xf numFmtId="165" fontId="1" fillId="0" borderId="0" xfId="1" applyNumberFormat="1" applyFont="1"/>
    <xf numFmtId="0" fontId="55" fillId="0" borderId="0" xfId="0" applyFont="1"/>
    <xf numFmtId="165" fontId="3" fillId="0" borderId="0" xfId="1" applyNumberFormat="1" applyFont="1" applyFill="1"/>
    <xf numFmtId="0" fontId="0" fillId="0" borderId="0" xfId="0" applyFont="1"/>
    <xf numFmtId="9" fontId="49" fillId="0" borderId="0" xfId="3" applyFont="1" applyFill="1" applyAlignment="1">
      <alignment horizontal="right"/>
    </xf>
    <xf numFmtId="167" fontId="0" fillId="0" borderId="0" xfId="3" applyNumberFormat="1" applyFont="1" applyFill="1" applyAlignment="1">
      <alignment horizontal="right"/>
    </xf>
    <xf numFmtId="9" fontId="0" fillId="0" borderId="0" xfId="3" applyFont="1" applyFill="1" applyBorder="1"/>
    <xf numFmtId="210" fontId="0" fillId="0" borderId="0" xfId="0" applyNumberFormat="1"/>
    <xf numFmtId="0" fontId="56" fillId="10" borderId="18" xfId="128" applyNumberFormat="1" applyFont="1" applyFill="1" applyBorder="1" applyAlignment="1" applyProtection="1"/>
    <xf numFmtId="0" fontId="57" fillId="10" borderId="18" xfId="128" applyNumberFormat="1" applyFont="1" applyFill="1" applyBorder="1" applyAlignment="1" applyProtection="1"/>
    <xf numFmtId="9" fontId="3" fillId="0" borderId="0" xfId="3" applyFont="1"/>
    <xf numFmtId="0" fontId="56" fillId="10" borderId="0" xfId="128" applyNumberFormat="1" applyFont="1" applyFill="1" applyBorder="1" applyAlignment="1" applyProtection="1"/>
    <xf numFmtId="3" fontId="3" fillId="0" borderId="0" xfId="0" applyNumberFormat="1" applyFont="1"/>
    <xf numFmtId="0" fontId="0" fillId="0" borderId="0" xfId="0" applyAlignment="1">
      <alignment horizontal="left" indent="2"/>
    </xf>
    <xf numFmtId="167" fontId="1" fillId="11" borderId="0" xfId="3" applyNumberFormat="1" applyFont="1" applyFill="1" applyAlignment="1">
      <alignment horizontal="right"/>
    </xf>
    <xf numFmtId="0" fontId="58" fillId="0" borderId="3" xfId="0" applyFont="1" applyBorder="1"/>
    <xf numFmtId="164" fontId="1" fillId="2" borderId="0" xfId="1" applyNumberFormat="1" applyFont="1" applyFill="1" applyBorder="1" applyProtection="1">
      <protection locked="0"/>
    </xf>
    <xf numFmtId="0" fontId="51" fillId="0" borderId="3" xfId="0" applyFont="1" applyBorder="1"/>
    <xf numFmtId="165" fontId="51" fillId="0" borderId="3" xfId="1" applyNumberFormat="1" applyFont="1" applyBorder="1"/>
    <xf numFmtId="165" fontId="58" fillId="0" borderId="3" xfId="1" applyNumberFormat="1" applyFont="1" applyBorder="1"/>
    <xf numFmtId="0" fontId="2"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2" fillId="8" borderId="16" xfId="4" applyFont="1" applyFill="1" applyBorder="1" applyAlignment="1">
      <alignment horizontal="center"/>
    </xf>
    <xf numFmtId="0" fontId="42" fillId="8" borderId="5" xfId="4" applyFont="1" applyFill="1" applyBorder="1" applyAlignment="1">
      <alignment horizontal="center"/>
    </xf>
    <xf numFmtId="0" fontId="2" fillId="3" borderId="16"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2" fillId="3" borderId="10" xfId="0" applyFont="1" applyFill="1" applyBorder="1" applyAlignment="1">
      <alignment horizontal="center"/>
    </xf>
    <xf numFmtId="0" fontId="2" fillId="3" borderId="6"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3" borderId="1" xfId="0" applyFont="1" applyFill="1" applyBorder="1" applyAlignment="1">
      <alignment horizontal="center"/>
    </xf>
    <xf numFmtId="0" fontId="2" fillId="3" borderId="22" xfId="0" applyFont="1" applyFill="1" applyBorder="1" applyAlignment="1">
      <alignment horizontal="center"/>
    </xf>
    <xf numFmtId="0" fontId="3"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165" fontId="49" fillId="0" borderId="0" xfId="0" applyNumberFormat="1" applyFont="1"/>
    <xf numFmtId="43" fontId="49" fillId="0" borderId="0" xfId="0" applyNumberFormat="1" applyFont="1"/>
  </cellXfs>
  <cellStyles count="129">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a_row_header_bold" xfId="127" xr:uid="{00000000-0005-0000-0000-000035000000}"/>
    <cellStyle name="fa_row_header_standard" xfId="128" xr:uid="{00000000-0005-0000-0000-000036000000}"/>
    <cellStyle name="Fixed" xfId="58" xr:uid="{00000000-0005-0000-0000-000037000000}"/>
    <cellStyle name="Formula" xfId="59" xr:uid="{00000000-0005-0000-0000-000038000000}"/>
    <cellStyle name="Grey" xfId="60" xr:uid="{00000000-0005-0000-0000-000039000000}"/>
    <cellStyle name="Header" xfId="61" xr:uid="{00000000-0005-0000-0000-00003A000000}"/>
    <cellStyle name="Header1" xfId="62" xr:uid="{00000000-0005-0000-0000-00003B000000}"/>
    <cellStyle name="Header2" xfId="63" xr:uid="{00000000-0005-0000-0000-00003C000000}"/>
    <cellStyle name="HEADINGS" xfId="64" xr:uid="{00000000-0005-0000-0000-00003D000000}"/>
    <cellStyle name="HEADINGSTOP" xfId="65" xr:uid="{00000000-0005-0000-0000-00003E000000}"/>
    <cellStyle name="Hypertextový odkaz" xfId="66" xr:uid="{00000000-0005-0000-0000-00003F000000}"/>
    <cellStyle name="Input [yellow]" xfId="67" xr:uid="{00000000-0005-0000-0000-000040000000}"/>
    <cellStyle name="Inputs" xfId="68" xr:uid="{00000000-0005-0000-0000-000041000000}"/>
    <cellStyle name="Link Currency (0)" xfId="69" xr:uid="{00000000-0005-0000-0000-000042000000}"/>
    <cellStyle name="Link Currency (2)" xfId="70" xr:uid="{00000000-0005-0000-0000-000043000000}"/>
    <cellStyle name="Link Units (0)" xfId="71" xr:uid="{00000000-0005-0000-0000-000044000000}"/>
    <cellStyle name="Link Units (1)" xfId="72" xr:uid="{00000000-0005-0000-0000-000045000000}"/>
    <cellStyle name="Link Units (2)" xfId="73" xr:uid="{00000000-0005-0000-0000-000046000000}"/>
    <cellStyle name="Multiple" xfId="74" xr:uid="{00000000-0005-0000-0000-000047000000}"/>
    <cellStyle name="Name" xfId="75" xr:uid="{00000000-0005-0000-0000-000048000000}"/>
    <cellStyle name="New Times Roman" xfId="76" xr:uid="{00000000-0005-0000-0000-000049000000}"/>
    <cellStyle name="NewAcct" xfId="77" xr:uid="{00000000-0005-0000-0000-00004A000000}"/>
    <cellStyle name="no dec" xfId="78" xr:uid="{00000000-0005-0000-0000-00004B000000}"/>
    <cellStyle name="Normal" xfId="0" builtinId="0"/>
    <cellStyle name="Normal - Style1" xfId="79" xr:uid="{00000000-0005-0000-0000-00004D000000}"/>
    <cellStyle name="Normal 2" xfId="5" xr:uid="{00000000-0005-0000-0000-00004E000000}"/>
    <cellStyle name="Normal 3" xfId="80" xr:uid="{00000000-0005-0000-0000-00004F000000}"/>
    <cellStyle name="Normal 4" xfId="81" xr:uid="{00000000-0005-0000-0000-000050000000}"/>
    <cellStyle name="Normal 5" xfId="82" xr:uid="{00000000-0005-0000-0000-000051000000}"/>
    <cellStyle name="Normal 6" xfId="83" xr:uid="{00000000-0005-0000-0000-000052000000}"/>
    <cellStyle name="Normal 6 2" xfId="84" xr:uid="{00000000-0005-0000-0000-000053000000}"/>
    <cellStyle name="Normal 6 3" xfId="4" xr:uid="{00000000-0005-0000-0000-000054000000}"/>
    <cellStyle name="per.style" xfId="85" xr:uid="{00000000-0005-0000-0000-000055000000}"/>
    <cellStyle name="Percent" xfId="3" builtinId="5"/>
    <cellStyle name="Percent [0]" xfId="86" xr:uid="{00000000-0005-0000-0000-000057000000}"/>
    <cellStyle name="Percent [00]" xfId="87" xr:uid="{00000000-0005-0000-0000-000058000000}"/>
    <cellStyle name="Percent [2]" xfId="88" xr:uid="{00000000-0005-0000-0000-000059000000}"/>
    <cellStyle name="Percent 2" xfId="7" xr:uid="{00000000-0005-0000-0000-00005A000000}"/>
    <cellStyle name="Plain2Decimals" xfId="89" xr:uid="{00000000-0005-0000-0000-00005B000000}"/>
    <cellStyle name="PlainDollar" xfId="90" xr:uid="{00000000-0005-0000-0000-00005C000000}"/>
    <cellStyle name="PlainDollarBoldwBorders" xfId="91" xr:uid="{00000000-0005-0000-0000-00005D000000}"/>
    <cellStyle name="PlainDollardBLUndLine" xfId="92" xr:uid="{00000000-0005-0000-0000-00005E000000}"/>
    <cellStyle name="PlainDollarSS" xfId="93" xr:uid="{00000000-0005-0000-0000-00005F000000}"/>
    <cellStyle name="PlainDollarUndLine" xfId="94" xr:uid="{00000000-0005-0000-0000-000060000000}"/>
    <cellStyle name="Popis" xfId="95" xr:uid="{00000000-0005-0000-0000-000061000000}"/>
    <cellStyle name="PrePop Currency (0)" xfId="96" xr:uid="{00000000-0005-0000-0000-000062000000}"/>
    <cellStyle name="PrePop Currency (2)" xfId="97" xr:uid="{00000000-0005-0000-0000-000063000000}"/>
    <cellStyle name="PrePop Units (0)" xfId="98" xr:uid="{00000000-0005-0000-0000-000064000000}"/>
    <cellStyle name="PrePop Units (1)" xfId="99" xr:uid="{00000000-0005-0000-0000-000065000000}"/>
    <cellStyle name="PrePop Units (2)" xfId="100" xr:uid="{00000000-0005-0000-0000-000066000000}"/>
    <cellStyle name="R(0)" xfId="101" xr:uid="{00000000-0005-0000-0000-000067000000}"/>
    <cellStyle name="regstoresfromspecstores" xfId="102" xr:uid="{00000000-0005-0000-0000-000068000000}"/>
    <cellStyle name="RevList" xfId="103" xr:uid="{00000000-0005-0000-0000-000069000000}"/>
    <cellStyle name="Row head" xfId="104" xr:uid="{00000000-0005-0000-0000-00006A000000}"/>
    <cellStyle name="SCH1" xfId="105" xr:uid="{00000000-0005-0000-0000-00006B000000}"/>
    <cellStyle name="ScratchPad" xfId="106" xr:uid="{00000000-0005-0000-0000-00006C000000}"/>
    <cellStyle name="SHADEDSTORES" xfId="107" xr:uid="{00000000-0005-0000-0000-00006D000000}"/>
    <cellStyle name="Sledovaný hypertextový odkaz" xfId="108" xr:uid="{00000000-0005-0000-0000-00006E000000}"/>
    <cellStyle name="specstores" xfId="109" xr:uid="{00000000-0005-0000-0000-00006F000000}"/>
    <cellStyle name="SSComma0" xfId="110" xr:uid="{00000000-0005-0000-0000-000070000000}"/>
    <cellStyle name="SSComma2" xfId="111" xr:uid="{00000000-0005-0000-0000-000071000000}"/>
    <cellStyle name="SSDecs3" xfId="112" xr:uid="{00000000-0005-0000-0000-000072000000}"/>
    <cellStyle name="SSDflt" xfId="113" xr:uid="{00000000-0005-0000-0000-000073000000}"/>
    <cellStyle name="SSDfltPct" xfId="114" xr:uid="{00000000-0005-0000-0000-000074000000}"/>
    <cellStyle name="SSDfltPct0" xfId="115" xr:uid="{00000000-0005-0000-0000-000075000000}"/>
    <cellStyle name="SSFixed2" xfId="116" xr:uid="{00000000-0005-0000-0000-000076000000}"/>
    <cellStyle name="Standard_Balance Sheet" xfId="117" xr:uid="{00000000-0005-0000-0000-000077000000}"/>
    <cellStyle name="Subtotal" xfId="118" xr:uid="{00000000-0005-0000-0000-000078000000}"/>
    <cellStyle name="Text Indent A" xfId="119" xr:uid="{00000000-0005-0000-0000-000079000000}"/>
    <cellStyle name="Text Indent B" xfId="120" xr:uid="{00000000-0005-0000-0000-00007A000000}"/>
    <cellStyle name="Text Indent C" xfId="121" xr:uid="{00000000-0005-0000-0000-00007B000000}"/>
    <cellStyle name="桁区切り [0.00]_PERSONAL" xfId="122" xr:uid="{00000000-0005-0000-0000-00007C000000}"/>
    <cellStyle name="桁区切り_PERSONAL" xfId="123" xr:uid="{00000000-0005-0000-0000-00007D000000}"/>
    <cellStyle name="標準_PERSONAL" xfId="124" xr:uid="{00000000-0005-0000-0000-00007E000000}"/>
    <cellStyle name="通貨 [0.00]_PERSONAL" xfId="125" xr:uid="{00000000-0005-0000-0000-00007F000000}"/>
    <cellStyle name="通貨_PERSONAL" xfId="126" xr:uid="{00000000-0005-0000-0000-000080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hartsheet" Target="chartsheets/sheet9.xml"/><Relationship Id="rId18" Type="http://schemas.openxmlformats.org/officeDocument/2006/relationships/worksheet" Target="worksheets/sheet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chartsheet" Target="chartsheets/sheet3.xml"/><Relationship Id="rId12" Type="http://schemas.openxmlformats.org/officeDocument/2006/relationships/chartsheet" Target="chartsheets/sheet8.xml"/><Relationship Id="rId17" Type="http://schemas.openxmlformats.org/officeDocument/2006/relationships/worksheet" Target="worksheets/sheet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6.xml"/><Relationship Id="rId20" Type="http://schemas.openxmlformats.org/officeDocument/2006/relationships/worksheet" Target="worksheets/sheet1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24" Type="http://schemas.openxmlformats.org/officeDocument/2006/relationships/externalLink" Target="externalLinks/externalLink4.xml"/><Relationship Id="rId5" Type="http://schemas.openxmlformats.org/officeDocument/2006/relationships/chartsheet" Target="chartsheets/sheet1.xml"/><Relationship Id="rId15" Type="http://schemas.openxmlformats.org/officeDocument/2006/relationships/worksheet" Target="worksheets/sheet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chartsheet" Target="chartsheets/sheet6.xml"/><Relationship Id="rId19"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chartsheet" Target="chartsheets/sheet10.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Data'!$C$1:$I$1</c:f>
              <c:numCache>
                <c:formatCode>yyyy</c:formatCode>
                <c:ptCount val="7"/>
                <c:pt idx="0">
                  <c:v>40543</c:v>
                </c:pt>
                <c:pt idx="1">
                  <c:v>40908</c:v>
                </c:pt>
                <c:pt idx="2">
                  <c:v>41274</c:v>
                </c:pt>
                <c:pt idx="3">
                  <c:v>41639</c:v>
                </c:pt>
                <c:pt idx="4">
                  <c:v>42004</c:v>
                </c:pt>
                <c:pt idx="5">
                  <c:v>42369</c:v>
                </c:pt>
                <c:pt idx="6">
                  <c:v>42735</c:v>
                </c:pt>
              </c:numCache>
            </c:numRef>
          </c:cat>
          <c:val>
            <c:numRef>
              <c:f>'Graphing Data'!$C$2:$I$2</c:f>
              <c:numCache>
                <c:formatCode>_(* #,##0_);_(* \(#,##0\);_(* "-"??_);_(@_)</c:formatCode>
                <c:ptCount val="7"/>
                <c:pt idx="0">
                  <c:v>135592</c:v>
                </c:pt>
                <c:pt idx="1">
                  <c:v>150276</c:v>
                </c:pt>
                <c:pt idx="2">
                  <c:v>152256</c:v>
                </c:pt>
                <c:pt idx="3">
                  <c:v>155427</c:v>
                </c:pt>
                <c:pt idx="4">
                  <c:v>155929</c:v>
                </c:pt>
                <c:pt idx="5">
                  <c:v>152356</c:v>
                </c:pt>
                <c:pt idx="6">
                  <c:v>166380</c:v>
                </c:pt>
              </c:numCache>
            </c:numRef>
          </c:val>
          <c:extLst>
            <c:ext xmlns:c16="http://schemas.microsoft.com/office/drawing/2014/chart" uri="{C3380CC4-5D6E-409C-BE32-E72D297353CC}">
              <c16:uniqueId val="{00000000-13D4-4FC6-8747-5433839411EC}"/>
            </c:ext>
          </c:extLst>
        </c:ser>
        <c:dLbls>
          <c:showLegendKey val="0"/>
          <c:showVal val="0"/>
          <c:showCatName val="0"/>
          <c:showSerName val="0"/>
          <c:showPercent val="0"/>
          <c:showBubbleSize val="0"/>
        </c:dLbls>
        <c:gapWidth val="150"/>
        <c:axId val="187717888"/>
        <c:axId val="187719680"/>
      </c:barChart>
      <c:lineChart>
        <c:grouping val="standard"/>
        <c:varyColors val="0"/>
        <c:ser>
          <c:idx val="3"/>
          <c:order val="1"/>
          <c:tx>
            <c:strRef>
              <c:f>'Graphing Data'!$A$5</c:f>
              <c:strCache>
                <c:ptCount val="1"/>
                <c:pt idx="0">
                  <c:v>Percent Revenue Change (RHS)</c:v>
                </c:pt>
              </c:strCache>
            </c:strRef>
          </c:tx>
          <c:spPr>
            <a:ln w="19050" cap="rnd">
              <a:solidFill>
                <a:schemeClr val="tx1"/>
              </a:solidFill>
              <a:round/>
            </a:ln>
            <a:effectLst/>
          </c:spPr>
          <c:marker>
            <c:symbol val="none"/>
          </c:marker>
          <c:cat>
            <c:numRef>
              <c:f>'Graphing Data'!$C$1:$I$1</c:f>
              <c:numCache>
                <c:formatCode>yyyy</c:formatCode>
                <c:ptCount val="7"/>
                <c:pt idx="0">
                  <c:v>40543</c:v>
                </c:pt>
                <c:pt idx="1">
                  <c:v>40908</c:v>
                </c:pt>
                <c:pt idx="2">
                  <c:v>41274</c:v>
                </c:pt>
                <c:pt idx="3">
                  <c:v>41639</c:v>
                </c:pt>
                <c:pt idx="4">
                  <c:v>42004</c:v>
                </c:pt>
                <c:pt idx="5">
                  <c:v>42369</c:v>
                </c:pt>
                <c:pt idx="6">
                  <c:v>42735</c:v>
                </c:pt>
              </c:numCache>
            </c:numRef>
          </c:cat>
          <c:val>
            <c:numRef>
              <c:f>'Graphing Data'!$C$5:$I$5</c:f>
              <c:numCache>
                <c:formatCode>0%</c:formatCode>
                <c:ptCount val="7"/>
                <c:pt idx="0">
                  <c:v>0.29642696650699407</c:v>
                </c:pt>
                <c:pt idx="1">
                  <c:v>0.10829547465927192</c:v>
                </c:pt>
                <c:pt idx="2">
                  <c:v>1.3175756607841649E-2</c:v>
                </c:pt>
                <c:pt idx="3">
                  <c:v>2.0826765447667039E-2</c:v>
                </c:pt>
                <c:pt idx="4">
                  <c:v>3.2298120661147234E-3</c:v>
                </c:pt>
                <c:pt idx="5">
                  <c:v>-2.2914275086738156E-2</c:v>
                </c:pt>
                <c:pt idx="6">
                  <c:v>9.2047572790044274E-2</c:v>
                </c:pt>
              </c:numCache>
            </c:numRef>
          </c:val>
          <c:smooth val="0"/>
          <c:extLst>
            <c:ext xmlns:c16="http://schemas.microsoft.com/office/drawing/2014/chart" uri="{C3380CC4-5D6E-409C-BE32-E72D297353CC}">
              <c16:uniqueId val="{00000003-13D4-4FC6-8747-5433839411EC}"/>
            </c:ext>
          </c:extLst>
        </c:ser>
        <c:dLbls>
          <c:showLegendKey val="0"/>
          <c:showVal val="0"/>
          <c:showCatName val="0"/>
          <c:showSerName val="0"/>
          <c:showPercent val="0"/>
          <c:showBubbleSize val="0"/>
        </c:dLbls>
        <c:marker val="1"/>
        <c:smooth val="0"/>
        <c:axId val="187722752"/>
        <c:axId val="187721216"/>
      </c:lineChart>
      <c:dateAx>
        <c:axId val="187717888"/>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187719680"/>
        <c:crosses val="autoZero"/>
        <c:auto val="1"/>
        <c:lblOffset val="100"/>
        <c:baseTimeUnit val="years"/>
      </c:dateAx>
      <c:valAx>
        <c:axId val="1877196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187717888"/>
        <c:crosses val="autoZero"/>
        <c:crossBetween val="between"/>
      </c:valAx>
      <c:valAx>
        <c:axId val="1877212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187722752"/>
        <c:crosses val="max"/>
        <c:crossBetween val="between"/>
      </c:valAx>
      <c:dateAx>
        <c:axId val="187722752"/>
        <c:scaling>
          <c:orientation val="minMax"/>
        </c:scaling>
        <c:delete val="1"/>
        <c:axPos val="b"/>
        <c:numFmt formatCode="yyyy" sourceLinked="1"/>
        <c:majorTickMark val="out"/>
        <c:minorTickMark val="none"/>
        <c:tickLblPos val="none"/>
        <c:crossAx val="1877212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GENERAL MOTORS (GM)</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638E-2"/>
          <c:w val="0.95473066885577462"/>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187613952"/>
        <c:axId val="187615872"/>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5.3968985649246146E-240</c:v>
                </c:pt>
                <c:pt idx="1">
                  <c:v>3.8440541243384021E-98</c:v>
                </c:pt>
                <c:pt idx="2">
                  <c:v>2.1325041464069639E-75</c:v>
                </c:pt>
                <c:pt idx="3">
                  <c:v>2.4989918691390405E-63</c:v>
                </c:pt>
                <c:pt idx="4">
                  <c:v>2.274809616992627E-55</c:v>
                </c:pt>
                <c:pt idx="5">
                  <c:v>1.4896950833370324E-49</c:v>
                </c:pt>
                <c:pt idx="6">
                  <c:v>4.8860949402510219E-45</c:v>
                </c:pt>
                <c:pt idx="7">
                  <c:v>2.1842692130731054E-41</c:v>
                </c:pt>
                <c:pt idx="8">
                  <c:v>2.3774419738584032E-38</c:v>
                </c:pt>
                <c:pt idx="9">
                  <c:v>9.0711524400571342E-36</c:v>
                </c:pt>
                <c:pt idx="10">
                  <c:v>1.5469391299927544E-33</c:v>
                </c:pt>
                <c:pt idx="11">
                  <c:v>1.3968553598464931E-31</c:v>
                </c:pt>
                <c:pt idx="12">
                  <c:v>7.5499488528415774E-30</c:v>
                </c:pt>
                <c:pt idx="13">
                  <c:v>2.6762092738717498E-28</c:v>
                </c:pt>
                <c:pt idx="14">
                  <c:v>6.6706048774609207E-27</c:v>
                </c:pt>
                <c:pt idx="15">
                  <c:v>1.2344784249440377E-25</c:v>
                </c:pt>
                <c:pt idx="16">
                  <c:v>1.7709218308468792E-24</c:v>
                </c:pt>
                <c:pt idx="17">
                  <c:v>2.0388972099123407E-23</c:v>
                </c:pt>
                <c:pt idx="18">
                  <c:v>1.9381332103009206E-22</c:v>
                </c:pt>
                <c:pt idx="19">
                  <c:v>1.5571639828974782E-21</c:v>
                </c:pt>
                <c:pt idx="20">
                  <c:v>1.0782923444863445E-20</c:v>
                </c:pt>
                <c:pt idx="21">
                  <c:v>6.5424833147365833E-20</c:v>
                </c:pt>
                <c:pt idx="22">
                  <c:v>3.5271996202273218E-19</c:v>
                </c:pt>
                <c:pt idx="23">
                  <c:v>1.7100238552977446E-18</c:v>
                </c:pt>
                <c:pt idx="24">
                  <c:v>7.5326034011160638E-18</c:v>
                </c:pt>
                <c:pt idx="25">
                  <c:v>3.0419428557018468E-17</c:v>
                </c:pt>
                <c:pt idx="26">
                  <c:v>1.1350542527271294E-16</c:v>
                </c:pt>
                <c:pt idx="27">
                  <c:v>3.9402318144217358E-16</c:v>
                </c:pt>
                <c:pt idx="28">
                  <c:v>1.2802472702338012E-15</c:v>
                </c:pt>
                <c:pt idx="29">
                  <c:v>3.9143524500109247E-15</c:v>
                </c:pt>
                <c:pt idx="30">
                  <c:v>1.1315918503411857E-14</c:v>
                </c:pt>
                <c:pt idx="31">
                  <c:v>3.1062173046225522E-14</c:v>
                </c:pt>
                <c:pt idx="32">
                  <c:v>8.1272311838404713E-14</c:v>
                </c:pt>
                <c:pt idx="33">
                  <c:v>2.033817900635853E-13</c:v>
                </c:pt>
                <c:pt idx="34">
                  <c:v>4.8829752555304126E-13</c:v>
                </c:pt>
                <c:pt idx="35">
                  <c:v>1.1279157277144764E-12</c:v>
                </c:pt>
                <c:pt idx="36">
                  <c:v>2.5130013753437827E-12</c:v>
                </c:pt>
                <c:pt idx="37">
                  <c:v>5.4129961288641296E-12</c:v>
                </c:pt>
                <c:pt idx="38">
                  <c:v>1.1296100712000266E-11</c:v>
                </c:pt>
                <c:pt idx="39">
                  <c:v>2.2882520968903396E-11</c:v>
                </c:pt>
                <c:pt idx="40">
                  <c:v>4.5074655425424545E-11</c:v>
                </c:pt>
                <c:pt idx="41">
                  <c:v>8.6480947257255373E-11</c:v>
                </c:pt>
                <c:pt idx="42">
                  <c:v>1.6185200547127114E-10</c:v>
                </c:pt>
                <c:pt idx="43">
                  <c:v>2.9588642458619369E-10</c:v>
                </c:pt>
                <c:pt idx="44">
                  <c:v>5.2904848111230574E-10</c:v>
                </c:pt>
                <c:pt idx="45">
                  <c:v>9.2628024626215042E-10</c:v>
                </c:pt>
                <c:pt idx="46">
                  <c:v>1.5897966200182897E-9</c:v>
                </c:pt>
                <c:pt idx="47">
                  <c:v>2.6775331291949486E-9</c:v>
                </c:pt>
                <c:pt idx="48">
                  <c:v>4.4292819361333568E-9</c:v>
                </c:pt>
                <c:pt idx="49">
                  <c:v>7.2031086559895287E-9</c:v>
                </c:pt>
                <c:pt idx="50">
                  <c:v>1.1525296145349098E-8</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187613952"/>
        <c:axId val="187615872"/>
      </c:lineChart>
      <c:catAx>
        <c:axId val="187613952"/>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187615872"/>
        <c:crosses val="autoZero"/>
        <c:auto val="0"/>
        <c:lblAlgn val="ctr"/>
        <c:lblOffset val="100"/>
        <c:tickLblSkip val="10"/>
        <c:tickMarkSkip val="10"/>
        <c:noMultiLvlLbl val="0"/>
      </c:catAx>
      <c:valAx>
        <c:axId val="187615872"/>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one"/>
        <c:crossAx val="187613952"/>
        <c:crosses val="autoZero"/>
        <c:crossBetween val="midCat"/>
      </c:valAx>
      <c:spPr>
        <a:ln>
          <a:noFill/>
        </a:ln>
      </c:spPr>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Data'!$C$1:$N$1</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Data'!$C$2:$N$2</c:f>
              <c:numCache>
                <c:formatCode>_(* #,##0_);_(* \(#,##0\);_(* "-"??_);_(@_)</c:formatCode>
                <c:ptCount val="12"/>
                <c:pt idx="0">
                  <c:v>135592</c:v>
                </c:pt>
                <c:pt idx="1">
                  <c:v>150276</c:v>
                </c:pt>
                <c:pt idx="2">
                  <c:v>152256</c:v>
                </c:pt>
                <c:pt idx="3">
                  <c:v>155427</c:v>
                </c:pt>
                <c:pt idx="4">
                  <c:v>155929</c:v>
                </c:pt>
                <c:pt idx="5">
                  <c:v>152356</c:v>
                </c:pt>
                <c:pt idx="6">
                  <c:v>166380</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Data'!$C$1:$N$1</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Data'!$C$3:$N$3</c:f>
              <c:numCache>
                <c:formatCode>General</c:formatCode>
                <c:ptCount val="12"/>
                <c:pt idx="7" formatCode="_(* #,##0_);_(* \(#,##0\);_(* &quot;-&quot;??_);_(@_)">
                  <c:v>166380</c:v>
                </c:pt>
                <c:pt idx="8" formatCode="_(* #,##0_);_(* \(#,##0\);_(* &quot;-&quot;??_);_(@_)">
                  <c:v>166380</c:v>
                </c:pt>
                <c:pt idx="9" formatCode="_(* #,##0_);_(* \(#,##0\);_(* &quot;-&quot;??_);_(@_)">
                  <c:v>166380</c:v>
                </c:pt>
                <c:pt idx="10" formatCode="_(* #,##0_);_(* \(#,##0\);_(* &quot;-&quot;??_);_(@_)">
                  <c:v>166380</c:v>
                </c:pt>
                <c:pt idx="11" formatCode="_(* #,##0_);_(* \(#,##0\);_(* &quot;-&quot;??_);_(@_)">
                  <c:v>166380</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Data'!$C$1:$N$1</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Data'!$C$4:$N$4</c:f>
              <c:numCache>
                <c:formatCode>General</c:formatCode>
                <c:ptCount val="12"/>
                <c:pt idx="7" formatCode="_(* #,##0_);_(* \(#,##0\);_(* &quot;-&quot;??_);_(@_)">
                  <c:v>166380</c:v>
                </c:pt>
                <c:pt idx="8" formatCode="_(* #,##0_);_(* \(#,##0\);_(* &quot;-&quot;??_);_(@_)">
                  <c:v>166380</c:v>
                </c:pt>
                <c:pt idx="9" formatCode="_(* #,##0_);_(* \(#,##0\);_(* &quot;-&quot;??_);_(@_)">
                  <c:v>166380</c:v>
                </c:pt>
                <c:pt idx="10" formatCode="_(* #,##0_);_(* \(#,##0\);_(* &quot;-&quot;??_);_(@_)">
                  <c:v>166380</c:v>
                </c:pt>
                <c:pt idx="11" formatCode="_(* #,##0_);_(* \(#,##0\);_(* &quot;-&quot;??_);_(@_)">
                  <c:v>166380</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187075200"/>
        <c:axId val="187085184"/>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Data'!$C$1:$N$1</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Data'!$C$5:$N$5</c:f>
              <c:numCache>
                <c:formatCode>0%</c:formatCode>
                <c:ptCount val="12"/>
                <c:pt idx="0">
                  <c:v>0.29642696650699407</c:v>
                </c:pt>
                <c:pt idx="1">
                  <c:v>0.10829547465927192</c:v>
                </c:pt>
                <c:pt idx="2">
                  <c:v>1.3175756607841649E-2</c:v>
                </c:pt>
                <c:pt idx="3">
                  <c:v>2.0826765447667039E-2</c:v>
                </c:pt>
                <c:pt idx="4">
                  <c:v>3.2298120661147234E-3</c:v>
                </c:pt>
                <c:pt idx="5">
                  <c:v>-2.2914275086738156E-2</c:v>
                </c:pt>
                <c:pt idx="6">
                  <c:v>9.2047572790044274E-2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Data'!$C$1:$N$1</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Data'!$C$6:$N$6</c:f>
              <c:numCache>
                <c:formatCode>General</c:formatCode>
                <c:ptCount val="12"/>
                <c:pt idx="6" formatCode="0%">
                  <c:v>9.2047572790044274E-2</c:v>
                </c:pt>
                <c:pt idx="7" formatCode="0%">
                  <c:v>0</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Data'!$C$1:$N$1</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Data'!$C$7:$N$7</c:f>
              <c:numCache>
                <c:formatCode>General</c:formatCode>
                <c:ptCount val="12"/>
                <c:pt idx="6" formatCode="0%">
                  <c:v>9.2047572790044274E-2</c:v>
                </c:pt>
                <c:pt idx="7" formatCode="0%">
                  <c:v>0</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187088256"/>
        <c:axId val="187086720"/>
      </c:lineChart>
      <c:dateAx>
        <c:axId val="187075200"/>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187085184"/>
        <c:crosses val="autoZero"/>
        <c:auto val="1"/>
        <c:lblOffset val="100"/>
        <c:baseTimeUnit val="years"/>
      </c:dateAx>
      <c:valAx>
        <c:axId val="1870851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187075200"/>
        <c:crosses val="autoZero"/>
        <c:crossBetween val="between"/>
      </c:valAx>
      <c:valAx>
        <c:axId val="18708672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187088256"/>
        <c:crosses val="max"/>
        <c:crossBetween val="between"/>
      </c:valAx>
      <c:dateAx>
        <c:axId val="187088256"/>
        <c:scaling>
          <c:orientation val="minMax"/>
        </c:scaling>
        <c:delete val="1"/>
        <c:axPos val="b"/>
        <c:numFmt formatCode="yyyy" sourceLinked="1"/>
        <c:majorTickMark val="out"/>
        <c:minorTickMark val="none"/>
        <c:tickLblPos val="none"/>
        <c:crossAx val="18708672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Profit History and Scenarios</a:t>
            </a:r>
          </a:p>
        </c:rich>
      </c:tx>
      <c:overlay val="0"/>
      <c:spPr>
        <a:noFill/>
        <a:ln>
          <a:noFill/>
        </a:ln>
        <a:effectLst/>
      </c:sp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Data'!$C$9:$I$9</c:f>
              <c:numCache>
                <c:formatCode>yyyy</c:formatCode>
                <c:ptCount val="7"/>
                <c:pt idx="0">
                  <c:v>40543</c:v>
                </c:pt>
                <c:pt idx="1">
                  <c:v>40908</c:v>
                </c:pt>
                <c:pt idx="2">
                  <c:v>41274</c:v>
                </c:pt>
                <c:pt idx="3">
                  <c:v>41639</c:v>
                </c:pt>
                <c:pt idx="4">
                  <c:v>42004</c:v>
                </c:pt>
                <c:pt idx="5">
                  <c:v>42369</c:v>
                </c:pt>
                <c:pt idx="6">
                  <c:v>42735</c:v>
                </c:pt>
              </c:numCache>
            </c:numRef>
          </c:cat>
          <c:val>
            <c:numRef>
              <c:f>'Graphing Data'!$C$10:$I$10</c:f>
              <c:numCache>
                <c:formatCode>_(* #,##0_);_(* \(#,##0\);_(* "-"??_);_(@_)</c:formatCode>
                <c:ptCount val="7"/>
                <c:pt idx="0">
                  <c:v>-246.84499999999935</c:v>
                </c:pt>
                <c:pt idx="1">
                  <c:v>519.16079999999965</c:v>
                </c:pt>
                <c:pt idx="2">
                  <c:v>1585.7489999999998</c:v>
                </c:pt>
                <c:pt idx="3">
                  <c:v>4468.3850000000011</c:v>
                </c:pt>
                <c:pt idx="4">
                  <c:v>2764.9911999999995</c:v>
                </c:pt>
                <c:pt idx="5">
                  <c:v>3615.4758999999995</c:v>
                </c:pt>
                <c:pt idx="6">
                  <c:v>5921.5544000000009</c:v>
                </c:pt>
              </c:numCache>
            </c:numRef>
          </c:val>
          <c:extLst>
            <c:ext xmlns:c16="http://schemas.microsoft.com/office/drawing/2014/chart" uri="{C3380CC4-5D6E-409C-BE32-E72D297353CC}">
              <c16:uniqueId val="{00000000-13D4-4FC6-8747-5433839411EC}"/>
            </c:ext>
          </c:extLst>
        </c:ser>
        <c:dLbls>
          <c:showLegendKey val="0"/>
          <c:showVal val="0"/>
          <c:showCatName val="0"/>
          <c:showSerName val="0"/>
          <c:showPercent val="0"/>
          <c:showBubbleSize val="0"/>
        </c:dLbls>
        <c:gapWidth val="150"/>
        <c:axId val="187902208"/>
        <c:axId val="187904000"/>
      </c:barChart>
      <c:lineChart>
        <c:grouping val="standard"/>
        <c:varyColors val="0"/>
        <c:ser>
          <c:idx val="3"/>
          <c:order val="1"/>
          <c:tx>
            <c:strRef>
              <c:f>'Graphing Data'!$A$13</c:f>
              <c:strCache>
                <c:ptCount val="1"/>
                <c:pt idx="0">
                  <c:v>OCP Margin (RHS)</c:v>
                </c:pt>
              </c:strCache>
            </c:strRef>
          </c:tx>
          <c:spPr>
            <a:ln w="19050" cap="rnd">
              <a:solidFill>
                <a:schemeClr val="tx1"/>
              </a:solidFill>
              <a:round/>
            </a:ln>
            <a:effectLst/>
          </c:spPr>
          <c:marker>
            <c:symbol val="none"/>
          </c:marker>
          <c:cat>
            <c:numRef>
              <c:f>'Graphing Data'!$C$9:$I$9</c:f>
              <c:numCache>
                <c:formatCode>yyyy</c:formatCode>
                <c:ptCount val="7"/>
                <c:pt idx="0">
                  <c:v>40543</c:v>
                </c:pt>
                <c:pt idx="1">
                  <c:v>40908</c:v>
                </c:pt>
                <c:pt idx="2">
                  <c:v>41274</c:v>
                </c:pt>
                <c:pt idx="3">
                  <c:v>41639</c:v>
                </c:pt>
                <c:pt idx="4">
                  <c:v>42004</c:v>
                </c:pt>
                <c:pt idx="5">
                  <c:v>42369</c:v>
                </c:pt>
                <c:pt idx="6">
                  <c:v>42735</c:v>
                </c:pt>
              </c:numCache>
            </c:numRef>
          </c:cat>
          <c:val>
            <c:numRef>
              <c:f>'Graphing Data'!$C$13:$I$13</c:f>
              <c:numCache>
                <c:formatCode>0%</c:formatCode>
                <c:ptCount val="7"/>
                <c:pt idx="0">
                  <c:v>-1.8204982594843305E-3</c:v>
                </c:pt>
                <c:pt idx="1">
                  <c:v>3.454715323804198E-3</c:v>
                </c:pt>
                <c:pt idx="2">
                  <c:v>1.0415018127364438E-2</c:v>
                </c:pt>
                <c:pt idx="3">
                  <c:v>2.8749091213238376E-2</c:v>
                </c:pt>
                <c:pt idx="4">
                  <c:v>1.7732373067229312E-2</c:v>
                </c:pt>
                <c:pt idx="5">
                  <c:v>2.3730446454356898E-2</c:v>
                </c:pt>
                <c:pt idx="6">
                  <c:v>3.5590542132467852E-2</c:v>
                </c:pt>
              </c:numCache>
            </c:numRef>
          </c:val>
          <c:smooth val="0"/>
          <c:extLst>
            <c:ext xmlns:c16="http://schemas.microsoft.com/office/drawing/2014/chart" uri="{C3380CC4-5D6E-409C-BE32-E72D297353CC}">
              <c16:uniqueId val="{00000003-13D4-4FC6-8747-5433839411EC}"/>
            </c:ext>
          </c:extLst>
        </c:ser>
        <c:dLbls>
          <c:showLegendKey val="0"/>
          <c:showVal val="0"/>
          <c:showCatName val="0"/>
          <c:showSerName val="0"/>
          <c:showPercent val="0"/>
          <c:showBubbleSize val="0"/>
        </c:dLbls>
        <c:marker val="1"/>
        <c:smooth val="0"/>
        <c:axId val="187907072"/>
        <c:axId val="187905536"/>
      </c:lineChart>
      <c:dateAx>
        <c:axId val="187902208"/>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187904000"/>
        <c:crosses val="autoZero"/>
        <c:auto val="1"/>
        <c:lblOffset val="100"/>
        <c:baseTimeUnit val="years"/>
      </c:dateAx>
      <c:valAx>
        <c:axId val="1879040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187902208"/>
        <c:crosses val="autoZero"/>
        <c:crossBetween val="between"/>
      </c:valAx>
      <c:valAx>
        <c:axId val="18790553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187907072"/>
        <c:crosses val="max"/>
        <c:crossBetween val="between"/>
      </c:valAx>
      <c:dateAx>
        <c:axId val="187907072"/>
        <c:scaling>
          <c:orientation val="minMax"/>
        </c:scaling>
        <c:delete val="1"/>
        <c:axPos val="b"/>
        <c:numFmt formatCode="yyyy" sourceLinked="1"/>
        <c:majorTickMark val="out"/>
        <c:minorTickMark val="none"/>
        <c:tickLblPos val="none"/>
        <c:crossAx val="18790553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Data'!$C$9:$N$9</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Data'!$C$10:$N$10</c:f>
              <c:numCache>
                <c:formatCode>_(* #,##0_);_(* \(#,##0\);_(* "-"??_);_(@_)</c:formatCode>
                <c:ptCount val="12"/>
                <c:pt idx="0">
                  <c:v>-246.84499999999935</c:v>
                </c:pt>
                <c:pt idx="1">
                  <c:v>519.16079999999965</c:v>
                </c:pt>
                <c:pt idx="2">
                  <c:v>1585.7489999999998</c:v>
                </c:pt>
                <c:pt idx="3">
                  <c:v>4468.3850000000011</c:v>
                </c:pt>
                <c:pt idx="4">
                  <c:v>2764.9911999999995</c:v>
                </c:pt>
                <c:pt idx="5">
                  <c:v>3615.4758999999995</c:v>
                </c:pt>
                <c:pt idx="6">
                  <c:v>5921.5544000000009</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Data'!$C$9:$N$9</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Data'!$C$11:$N$11</c:f>
              <c:numCache>
                <c:formatCode>General</c:formatCode>
                <c:ptCount val="12"/>
                <c:pt idx="7" formatCode="_(* #,##0_);_(* \(#,##0\);_(* &quot;-&quot;??_);_(@_)">
                  <c:v>0</c:v>
                </c:pt>
                <c:pt idx="8" formatCode="_(* #,##0_);_(* \(#,##0\);_(* &quot;-&quot;??_);_(@_)">
                  <c:v>0</c:v>
                </c:pt>
                <c:pt idx="9" formatCode="_(* #,##0_);_(* \(#,##0\);_(* &quot;-&quot;??_);_(@_)">
                  <c:v>0</c:v>
                </c:pt>
                <c:pt idx="10" formatCode="_(* #,##0_);_(* \(#,##0\);_(* &quot;-&quot;??_);_(@_)">
                  <c:v>0</c:v>
                </c:pt>
                <c:pt idx="11"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Data'!$C$9:$N$9</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Data'!$C$12:$N$12</c:f>
              <c:numCache>
                <c:formatCode>General</c:formatCode>
                <c:ptCount val="12"/>
                <c:pt idx="7" formatCode="_(* #,##0_);_(* \(#,##0\);_(* &quot;-&quot;??_);_(@_)">
                  <c:v>0</c:v>
                </c:pt>
                <c:pt idx="8" formatCode="_(* #,##0_);_(* \(#,##0\);_(* &quot;-&quot;??_);_(@_)">
                  <c:v>0</c:v>
                </c:pt>
                <c:pt idx="9" formatCode="_(* #,##0_);_(* \(#,##0\);_(* &quot;-&quot;??_);_(@_)">
                  <c:v>0</c:v>
                </c:pt>
                <c:pt idx="10" formatCode="_(* #,##0_);_(* \(#,##0\);_(* &quot;-&quot;??_);_(@_)">
                  <c:v>0</c:v>
                </c:pt>
                <c:pt idx="11"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188004992"/>
        <c:axId val="188027264"/>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Data'!$C$9:$N$9</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Data'!$C$13:$N$13</c:f>
              <c:numCache>
                <c:formatCode>0%</c:formatCode>
                <c:ptCount val="12"/>
                <c:pt idx="0">
                  <c:v>-1.8204982594843305E-3</c:v>
                </c:pt>
                <c:pt idx="1">
                  <c:v>3.454715323804198E-3</c:v>
                </c:pt>
                <c:pt idx="2">
                  <c:v>1.0415018127364438E-2</c:v>
                </c:pt>
                <c:pt idx="3">
                  <c:v>2.8749091213238376E-2</c:v>
                </c:pt>
                <c:pt idx="4">
                  <c:v>1.7732373067229312E-2</c:v>
                </c:pt>
                <c:pt idx="5">
                  <c:v>2.3730446454356898E-2</c:v>
                </c:pt>
                <c:pt idx="6">
                  <c:v>3.5590542132467852E-2</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Data'!$C$9:$N$9</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Data'!$C$14:$N$14</c:f>
              <c:numCache>
                <c:formatCode>General</c:formatCode>
                <c:ptCount val="12"/>
                <c:pt idx="6" formatCode="0%">
                  <c:v>3.5590542132467852E-2</c:v>
                </c:pt>
                <c:pt idx="7" formatCode="0%">
                  <c:v>0</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Data'!$C$9:$N$9</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Data'!$C$15:$N$15</c:f>
              <c:numCache>
                <c:formatCode>General</c:formatCode>
                <c:ptCount val="12"/>
                <c:pt idx="6" formatCode="0%">
                  <c:v>3.5590542132467852E-2</c:v>
                </c:pt>
                <c:pt idx="7" formatCode="0%">
                  <c:v>0</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188030336"/>
        <c:axId val="188028800"/>
      </c:lineChart>
      <c:dateAx>
        <c:axId val="188004992"/>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188027264"/>
        <c:crosses val="autoZero"/>
        <c:auto val="1"/>
        <c:lblOffset val="100"/>
        <c:baseTimeUnit val="years"/>
      </c:dateAx>
      <c:valAx>
        <c:axId val="18802726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188004992"/>
        <c:crosses val="autoZero"/>
        <c:crossBetween val="between"/>
      </c:valAx>
      <c:valAx>
        <c:axId val="1880288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188030336"/>
        <c:crosses val="max"/>
        <c:crossBetween val="between"/>
      </c:valAx>
      <c:dateAx>
        <c:axId val="188030336"/>
        <c:scaling>
          <c:orientation val="minMax"/>
        </c:scaling>
        <c:delete val="1"/>
        <c:axPos val="b"/>
        <c:numFmt formatCode="yyyy" sourceLinked="1"/>
        <c:majorTickMark val="out"/>
        <c:minorTickMark val="none"/>
        <c:tickLblPos val="none"/>
        <c:crossAx val="1880288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Data'!$C$17:$I$17</c:f>
              <c:numCache>
                <c:formatCode>yyyy</c:formatCode>
                <c:ptCount val="7"/>
                <c:pt idx="0">
                  <c:v>40543</c:v>
                </c:pt>
                <c:pt idx="1">
                  <c:v>40908</c:v>
                </c:pt>
                <c:pt idx="2">
                  <c:v>41274</c:v>
                </c:pt>
                <c:pt idx="3">
                  <c:v>41639</c:v>
                </c:pt>
                <c:pt idx="4">
                  <c:v>42004</c:v>
                </c:pt>
                <c:pt idx="5">
                  <c:v>42369</c:v>
                </c:pt>
                <c:pt idx="6">
                  <c:v>42735</c:v>
                </c:pt>
              </c:numCache>
            </c:numRef>
          </c:cat>
          <c:val>
            <c:numRef>
              <c:f>'Graphing Data'!$C$18:$I$18</c:f>
              <c:numCache>
                <c:formatCode>_(* #,##0_);_(* \(#,##0\);_(* "-"??_);_(@_)</c:formatCode>
                <c:ptCount val="7"/>
                <c:pt idx="0">
                  <c:v>-246.84499999999935</c:v>
                </c:pt>
                <c:pt idx="1">
                  <c:v>519.16079999999965</c:v>
                </c:pt>
                <c:pt idx="2">
                  <c:v>1585.7489999999998</c:v>
                </c:pt>
                <c:pt idx="3">
                  <c:v>4468.3850000000011</c:v>
                </c:pt>
                <c:pt idx="4">
                  <c:v>2764.9911999999995</c:v>
                </c:pt>
                <c:pt idx="5">
                  <c:v>3615.4758999999995</c:v>
                </c:pt>
                <c:pt idx="6">
                  <c:v>5921.5544000000009</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Data'!$C$17:$I$17</c:f>
              <c:numCache>
                <c:formatCode>yyyy</c:formatCode>
                <c:ptCount val="7"/>
                <c:pt idx="0">
                  <c:v>40543</c:v>
                </c:pt>
                <c:pt idx="1">
                  <c:v>40908</c:v>
                </c:pt>
                <c:pt idx="2">
                  <c:v>41274</c:v>
                </c:pt>
                <c:pt idx="3">
                  <c:v>41639</c:v>
                </c:pt>
                <c:pt idx="4">
                  <c:v>42004</c:v>
                </c:pt>
                <c:pt idx="5">
                  <c:v>42369</c:v>
                </c:pt>
                <c:pt idx="6">
                  <c:v>42735</c:v>
                </c:pt>
              </c:numCache>
            </c:numRef>
          </c:cat>
          <c:val>
            <c:numRef>
              <c:f>'Graphing Data'!$C$19:$I$19</c:f>
              <c:numCache>
                <c:formatCode>_(* #,##0_);_(* \(#,##0\);_(* "-"??_);_(@_)</c:formatCode>
                <c:ptCount val="7"/>
                <c:pt idx="0">
                  <c:v>-548.84499999999935</c:v>
                </c:pt>
                <c:pt idx="1">
                  <c:v>-4054.6581519047622</c:v>
                </c:pt>
                <c:pt idx="2">
                  <c:v>2287.9293952569169</c:v>
                </c:pt>
                <c:pt idx="3">
                  <c:v>7003.8642094861661</c:v>
                </c:pt>
                <c:pt idx="4">
                  <c:v>8297.2032237154144</c:v>
                </c:pt>
                <c:pt idx="5">
                  <c:v>20811.301405928851</c:v>
                </c:pt>
                <c:pt idx="6">
                  <c:v>21791.252548936172</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188061184"/>
        <c:axId val="188062720"/>
      </c:barChart>
      <c:dateAx>
        <c:axId val="188061184"/>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188062720"/>
        <c:crosses val="autoZero"/>
        <c:auto val="1"/>
        <c:lblOffset val="100"/>
        <c:baseTimeUnit val="years"/>
      </c:dateAx>
      <c:valAx>
        <c:axId val="188062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188061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Data'!$C$21:$I$21</c:f>
              <c:numCache>
                <c:formatCode>yyyy</c:formatCode>
                <c:ptCount val="7"/>
                <c:pt idx="0">
                  <c:v>40543</c:v>
                </c:pt>
                <c:pt idx="1">
                  <c:v>40908</c:v>
                </c:pt>
                <c:pt idx="2">
                  <c:v>41274</c:v>
                </c:pt>
                <c:pt idx="3">
                  <c:v>41639</c:v>
                </c:pt>
                <c:pt idx="4">
                  <c:v>42004</c:v>
                </c:pt>
                <c:pt idx="5">
                  <c:v>42369</c:v>
                </c:pt>
                <c:pt idx="6">
                  <c:v>42735</c:v>
                </c:pt>
              </c:numCache>
            </c:numRef>
          </c:cat>
          <c:val>
            <c:numRef>
              <c:f>'Graphing Data'!$C$22:$I$22</c:f>
              <c:numCache>
                <c:formatCode>_(* #,##0_);_(* \(#,##0\);_(* "-"??_);_(@_)</c:formatCode>
                <c:ptCount val="7"/>
                <c:pt idx="0">
                  <c:v>-3014.8449999999993</c:v>
                </c:pt>
                <c:pt idx="1">
                  <c:v>-1397.8392000000003</c:v>
                </c:pt>
                <c:pt idx="2">
                  <c:v>-951.2510000000002</c:v>
                </c:pt>
                <c:pt idx="3">
                  <c:v>-596.61499999999887</c:v>
                </c:pt>
                <c:pt idx="4">
                  <c:v>-202.00880000000052</c:v>
                </c:pt>
                <c:pt idx="5">
                  <c:v>-201.52410000000054</c:v>
                </c:pt>
                <c:pt idx="6">
                  <c:v>-1081.4455999999991</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Data'!$C$21:$I$21</c:f>
              <c:numCache>
                <c:formatCode>yyyy</c:formatCode>
                <c:ptCount val="7"/>
                <c:pt idx="0">
                  <c:v>40543</c:v>
                </c:pt>
                <c:pt idx="1">
                  <c:v>40908</c:v>
                </c:pt>
                <c:pt idx="2">
                  <c:v>41274</c:v>
                </c:pt>
                <c:pt idx="3">
                  <c:v>41639</c:v>
                </c:pt>
                <c:pt idx="4">
                  <c:v>42004</c:v>
                </c:pt>
                <c:pt idx="5">
                  <c:v>42369</c:v>
                </c:pt>
                <c:pt idx="6">
                  <c:v>42735</c:v>
                </c:pt>
              </c:numCache>
            </c:numRef>
          </c:cat>
          <c:val>
            <c:numRef>
              <c:f>'Graphing Data'!$C$24:$I$24</c:f>
              <c:numCache>
                <c:formatCode>_(* #,##0_);_(* \(#,##0\);_(* "-"??_);_(@_)</c:formatCode>
                <c:ptCount val="7"/>
                <c:pt idx="0">
                  <c:v>3042</c:v>
                </c:pt>
                <c:pt idx="1">
                  <c:v>53</c:v>
                </c:pt>
                <c:pt idx="2">
                  <c:v>44</c:v>
                </c:pt>
                <c:pt idx="3">
                  <c:v>2623</c:v>
                </c:pt>
                <c:pt idx="4">
                  <c:v>53</c:v>
                </c:pt>
                <c:pt idx="5">
                  <c:v>928</c:v>
                </c:pt>
                <c:pt idx="6">
                  <c:v>809</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Data'!$C$21:$I$21</c:f>
              <c:numCache>
                <c:formatCode>yyyy</c:formatCode>
                <c:ptCount val="7"/>
                <c:pt idx="0">
                  <c:v>40543</c:v>
                </c:pt>
                <c:pt idx="1">
                  <c:v>40908</c:v>
                </c:pt>
                <c:pt idx="2">
                  <c:v>41274</c:v>
                </c:pt>
                <c:pt idx="3">
                  <c:v>41639</c:v>
                </c:pt>
                <c:pt idx="4">
                  <c:v>42004</c:v>
                </c:pt>
                <c:pt idx="5">
                  <c:v>42369</c:v>
                </c:pt>
                <c:pt idx="6">
                  <c:v>42735</c:v>
                </c:pt>
              </c:numCache>
            </c:numRef>
          </c:cat>
          <c:val>
            <c:numRef>
              <c:f>'Graphing Data'!$C$27:$I$27</c:f>
              <c:numCache>
                <c:formatCode>_(* #,##0_);_(* \(#,##0\);_(* "-"??_);_(@_)</c:formatCode>
                <c:ptCount val="7"/>
                <c:pt idx="0">
                  <c:v>0</c:v>
                </c:pt>
                <c:pt idx="1">
                  <c:v>28.181048095238037</c:v>
                </c:pt>
                <c:pt idx="2">
                  <c:v>107.18039525691711</c:v>
                </c:pt>
                <c:pt idx="3">
                  <c:v>553.47920948616479</c:v>
                </c:pt>
                <c:pt idx="4">
                  <c:v>319.2120237154154</c:v>
                </c:pt>
                <c:pt idx="5">
                  <c:v>253.82550592885346</c:v>
                </c:pt>
                <c:pt idx="6">
                  <c:v>299.69814893617036</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Data'!$C$21:$I$21</c:f>
              <c:numCache>
                <c:formatCode>yyyy</c:formatCode>
                <c:ptCount val="7"/>
                <c:pt idx="0">
                  <c:v>40543</c:v>
                </c:pt>
                <c:pt idx="1">
                  <c:v>40908</c:v>
                </c:pt>
                <c:pt idx="2">
                  <c:v>41274</c:v>
                </c:pt>
                <c:pt idx="3">
                  <c:v>41639</c:v>
                </c:pt>
                <c:pt idx="4">
                  <c:v>42004</c:v>
                </c:pt>
                <c:pt idx="5">
                  <c:v>42369</c:v>
                </c:pt>
                <c:pt idx="6">
                  <c:v>42735</c:v>
                </c:pt>
              </c:numCache>
            </c:numRef>
          </c:cat>
          <c:val>
            <c:numRef>
              <c:f>'Graphing Data'!$C$25:$I$25</c:f>
              <c:numCache>
                <c:formatCode>_(* #,##0_);_(* \(#,##0\);_(* "-"??_);_(@_)</c:formatCode>
                <c:ptCount val="7"/>
                <c:pt idx="0">
                  <c:v>-259</c:v>
                </c:pt>
                <c:pt idx="1">
                  <c:v>2083</c:v>
                </c:pt>
                <c:pt idx="2">
                  <c:v>3106</c:v>
                </c:pt>
                <c:pt idx="3">
                  <c:v>5320</c:v>
                </c:pt>
                <c:pt idx="4">
                  <c:v>8127</c:v>
                </c:pt>
                <c:pt idx="5">
                  <c:v>19831</c:v>
                </c:pt>
                <c:pt idx="6">
                  <c:v>21764</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Data'!$C$21:$I$21</c:f>
              <c:numCache>
                <c:formatCode>yyyy</c:formatCode>
                <c:ptCount val="7"/>
                <c:pt idx="0">
                  <c:v>40543</c:v>
                </c:pt>
                <c:pt idx="1">
                  <c:v>40908</c:v>
                </c:pt>
                <c:pt idx="2">
                  <c:v>41274</c:v>
                </c:pt>
                <c:pt idx="3">
                  <c:v>41639</c:v>
                </c:pt>
                <c:pt idx="4">
                  <c:v>42004</c:v>
                </c:pt>
                <c:pt idx="5">
                  <c:v>42369</c:v>
                </c:pt>
                <c:pt idx="6">
                  <c:v>42735</c:v>
                </c:pt>
              </c:numCache>
            </c:numRef>
          </c:cat>
          <c:val>
            <c:numRef>
              <c:f>'Graphing Data'!$C$23:$I$23</c:f>
              <c:numCache>
                <c:formatCode>_(* #,##0_);_(* \(#,##0\);_(* "-"??_);_(@_)</c:formatCode>
                <c:ptCount val="7"/>
                <c:pt idx="0">
                  <c:v>-317</c:v>
                </c:pt>
                <c:pt idx="1">
                  <c:v>-4821</c:v>
                </c:pt>
                <c:pt idx="2">
                  <c:v>-18</c:v>
                </c:pt>
                <c:pt idx="3">
                  <c:v>-896</c:v>
                </c:pt>
                <c:pt idx="4">
                  <c:v>0</c:v>
                </c:pt>
                <c:pt idx="5">
                  <c:v>0</c:v>
                </c:pt>
                <c:pt idx="6">
                  <c:v>0</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Data'!$C$21:$I$21</c:f>
              <c:numCache>
                <c:formatCode>yyyy</c:formatCode>
                <c:ptCount val="7"/>
                <c:pt idx="0">
                  <c:v>40543</c:v>
                </c:pt>
                <c:pt idx="1">
                  <c:v>40908</c:v>
                </c:pt>
                <c:pt idx="2">
                  <c:v>41274</c:v>
                </c:pt>
                <c:pt idx="3">
                  <c:v>41639</c:v>
                </c:pt>
                <c:pt idx="4">
                  <c:v>42004</c:v>
                </c:pt>
                <c:pt idx="5">
                  <c:v>42369</c:v>
                </c:pt>
                <c:pt idx="6">
                  <c:v>42735</c:v>
                </c:pt>
              </c:numCache>
            </c:numRef>
          </c:cat>
          <c:val>
            <c:numRef>
              <c:f>'Graphing Data'!$C$26:$I$26</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187205504"/>
        <c:axId val="187207040"/>
      </c:barChart>
      <c:dateAx>
        <c:axId val="18720550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187207040"/>
        <c:crosses val="autoZero"/>
        <c:auto val="1"/>
        <c:lblOffset val="100"/>
        <c:baseTimeUnit val="years"/>
      </c:dateAx>
      <c:valAx>
        <c:axId val="1872070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18720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Ref>
              <c:f>'Graphing Data'!$C$1:$N$1</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Data'!$C$30:$N$30</c:f>
              <c:numCache>
                <c:formatCode>_(* #,##0_);_(* \(#,##0\);_(* "-"??_);_(@_)</c:formatCode>
                <c:ptCount val="12"/>
                <c:pt idx="0">
                  <c:v>302</c:v>
                </c:pt>
                <c:pt idx="1">
                  <c:v>4573.8189519047619</c:v>
                </c:pt>
                <c:pt idx="2">
                  <c:v>-702.18039525691711</c:v>
                </c:pt>
                <c:pt idx="3">
                  <c:v>-2535.479209486165</c:v>
                </c:pt>
                <c:pt idx="4">
                  <c:v>-5532.2120237154149</c:v>
                </c:pt>
                <c:pt idx="5">
                  <c:v>-17195.825505928849</c:v>
                </c:pt>
                <c:pt idx="6">
                  <c:v>-15869.698148936171</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Ref>
              <c:f>'Graphing Data'!$C$1:$N$1</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Data'!$C$32:$N$32</c:f>
              <c:numCache>
                <c:formatCode>General</c:formatCode>
                <c:ptCount val="12"/>
                <c:pt idx="7" formatCode="_(* #,##0_);_(* \(#,##0\);_(* &quot;-&quot;??_);_(@_)">
                  <c:v>0</c:v>
                </c:pt>
                <c:pt idx="8" formatCode="_(* #,##0_);_(* \(#,##0\);_(* &quot;-&quot;??_);_(@_)">
                  <c:v>0</c:v>
                </c:pt>
                <c:pt idx="9" formatCode="_(* #,##0_);_(* \(#,##0\);_(* &quot;-&quot;??_);_(@_)">
                  <c:v>0</c:v>
                </c:pt>
                <c:pt idx="10" formatCode="_(* #,##0_);_(* \(#,##0\);_(* &quot;-&quot;??_);_(@_)">
                  <c:v>0</c:v>
                </c:pt>
                <c:pt idx="11"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Ref>
              <c:f>'Graphing Data'!$C$1:$N$1</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Data'!$C$31:$N$31</c:f>
              <c:numCache>
                <c:formatCode>General</c:formatCode>
                <c:ptCount val="12"/>
                <c:pt idx="7" formatCode="_(* #,##0_);_(* \(#,##0\);_(* &quot;-&quot;??_);_(@_)">
                  <c:v>0</c:v>
                </c:pt>
                <c:pt idx="8" formatCode="_(* #,##0_);_(* \(#,##0\);_(* &quot;-&quot;??_);_(@_)">
                  <c:v>0</c:v>
                </c:pt>
                <c:pt idx="9" formatCode="_(* #,##0_);_(* \(#,##0\);_(* &quot;-&quot;??_);_(@_)">
                  <c:v>0</c:v>
                </c:pt>
                <c:pt idx="10" formatCode="_(* #,##0_);_(* \(#,##0\);_(* &quot;-&quot;??_);_(@_)">
                  <c:v>0</c:v>
                </c:pt>
                <c:pt idx="11"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187412480"/>
        <c:axId val="187414016"/>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Data'!$C$29:$N$29</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Data'!$C$33:$N$33</c:f>
              <c:numCache>
                <c:formatCode>0.0%</c:formatCode>
                <c:ptCount val="12"/>
                <c:pt idx="0">
                  <c:v>2.2272700454304089E-3</c:v>
                </c:pt>
                <c:pt idx="1">
                  <c:v>3.043612387809605E-2</c:v>
                </c:pt>
                <c:pt idx="2">
                  <c:v>-4.6118405531270831E-3</c:v>
                </c:pt>
                <c:pt idx="3">
                  <c:v>-1.6312990725460601E-2</c:v>
                </c:pt>
                <c:pt idx="4">
                  <c:v>-3.5479045102036276E-2</c:v>
                </c:pt>
                <c:pt idx="5">
                  <c:v>-0.11286608670435591</c:v>
                </c:pt>
                <c:pt idx="6">
                  <c:v>-9.538224635735168E-2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Data'!$C$29:$N$29</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Data'!$C$35:$N$35</c:f>
              <c:numCache>
                <c:formatCode>General</c:formatCode>
                <c:ptCount val="12"/>
                <c:pt idx="6" formatCode="0%">
                  <c:v>-9.538224635735168E-2</c:v>
                </c:pt>
                <c:pt idx="7" formatCode="0.0%">
                  <c:v>0</c:v>
                </c:pt>
                <c:pt idx="8" formatCode="0.0%">
                  <c:v>0</c:v>
                </c:pt>
                <c:pt idx="9" formatCode="0.0%">
                  <c:v>0</c:v>
                </c:pt>
                <c:pt idx="10" formatCode="0.0%">
                  <c:v>0</c:v>
                </c:pt>
                <c:pt idx="11"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Data'!$C$29:$N$29</c:f>
              <c:numCache>
                <c:formatCode>yyyy</c:formatCode>
                <c:ptCount val="12"/>
                <c:pt idx="0">
                  <c:v>40543</c:v>
                </c:pt>
                <c:pt idx="1">
                  <c:v>40908</c:v>
                </c:pt>
                <c:pt idx="2">
                  <c:v>41274</c:v>
                </c:pt>
                <c:pt idx="3">
                  <c:v>41639</c:v>
                </c:pt>
                <c:pt idx="4">
                  <c:v>42004</c:v>
                </c:pt>
                <c:pt idx="5">
                  <c:v>42369</c:v>
                </c:pt>
                <c:pt idx="6">
                  <c:v>42735</c:v>
                </c:pt>
                <c:pt idx="7">
                  <c:v>43100</c:v>
                </c:pt>
                <c:pt idx="8">
                  <c:v>43465</c:v>
                </c:pt>
                <c:pt idx="9">
                  <c:v>43830</c:v>
                </c:pt>
                <c:pt idx="10">
                  <c:v>44195</c:v>
                </c:pt>
                <c:pt idx="11">
                  <c:v>44560</c:v>
                </c:pt>
              </c:numCache>
            </c:numRef>
          </c:cat>
          <c:val>
            <c:numRef>
              <c:f>'Graphing Data'!$C$34:$N$34</c:f>
              <c:numCache>
                <c:formatCode>General</c:formatCode>
                <c:ptCount val="12"/>
                <c:pt idx="6" formatCode="0%">
                  <c:v>-9.538224635735168E-2</c:v>
                </c:pt>
                <c:pt idx="7" formatCode="0.0%">
                  <c:v>0</c:v>
                </c:pt>
                <c:pt idx="8" formatCode="0.0%">
                  <c:v>0</c:v>
                </c:pt>
                <c:pt idx="9" formatCode="0.0%">
                  <c:v>0</c:v>
                </c:pt>
                <c:pt idx="10" formatCode="0.0%">
                  <c:v>0</c:v>
                </c:pt>
                <c:pt idx="11"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187425536"/>
        <c:axId val="187415552"/>
      </c:lineChart>
      <c:dateAx>
        <c:axId val="187412480"/>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187414016"/>
        <c:crosses val="autoZero"/>
        <c:auto val="1"/>
        <c:lblOffset val="100"/>
        <c:baseTimeUnit val="years"/>
      </c:dateAx>
      <c:valAx>
        <c:axId val="1874140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187412480"/>
        <c:crosses val="autoZero"/>
        <c:crossBetween val="between"/>
      </c:valAx>
      <c:valAx>
        <c:axId val="18741555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187425536"/>
        <c:crosses val="max"/>
        <c:crossBetween val="between"/>
      </c:valAx>
      <c:dateAx>
        <c:axId val="187425536"/>
        <c:scaling>
          <c:orientation val="minMax"/>
        </c:scaling>
        <c:delete val="1"/>
        <c:axPos val="b"/>
        <c:numFmt formatCode="yyyy" sourceLinked="1"/>
        <c:majorTickMark val="out"/>
        <c:minorTickMark val="none"/>
        <c:tickLblPos val="none"/>
        <c:crossAx val="187415552"/>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26680643247814E-2"/>
          <c:y val="0.18068681311265178"/>
          <c:w val="0.90287755052290286"/>
          <c:h val="0.74772374716972123"/>
        </c:manualLayout>
      </c:layout>
      <c:lineChart>
        <c:grouping val="standard"/>
        <c:varyColors val="0"/>
        <c:ser>
          <c:idx val="4"/>
          <c:order val="4"/>
          <c:tx>
            <c:v>Historical OCP</c:v>
          </c:tx>
          <c:spPr>
            <a:ln w="25400"/>
          </c:spPr>
          <c:marker>
            <c:symbol val="none"/>
          </c:marker>
          <c:cat>
            <c:multiLvlStrRef>
              <c:f>'Graphing Data'!$A$45:$A$77</c:f>
            </c:multiLvlStrRef>
          </c:cat>
          <c:val>
            <c:numRef>
              <c:f>'Graphing Data'!#REF!</c:f>
              <c:numCache>
                <c:formatCode>General</c:formatCode>
                <c:ptCount val="1"/>
                <c:pt idx="0">
                  <c:v>1</c:v>
                </c:pt>
              </c:numCache>
            </c:numRef>
          </c:val>
          <c:smooth val="0"/>
          <c:extLst>
            <c:ext xmlns:c16="http://schemas.microsoft.com/office/drawing/2014/chart" uri="{C3380CC4-5D6E-409C-BE32-E72D297353CC}">
              <c16:uniqueId val="{00000000-7410-4344-8543-AA2767FED641}"/>
            </c:ext>
          </c:extLst>
        </c:ser>
        <c:ser>
          <c:idx val="5"/>
          <c:order val="5"/>
          <c:tx>
            <c:v>Best Case</c:v>
          </c:tx>
          <c:spPr>
            <a:ln w="25400">
              <a:solidFill>
                <a:schemeClr val="tx2">
                  <a:lumMod val="40000"/>
                  <a:lumOff val="60000"/>
                </a:schemeClr>
              </a:solidFill>
              <a:prstDash val="dash"/>
            </a:ln>
          </c:spPr>
          <c:marker>
            <c:symbol val="none"/>
          </c:marker>
          <c:cat>
            <c:multiLvlStrRef>
              <c:f>'Graphing Data'!$A$45:$A$77</c:f>
            </c:multiLvlStrRef>
          </c:cat>
          <c:val>
            <c:numRef>
              <c:f>'Graphing Data'!$C$45:$C$77</c:f>
            </c:numRef>
          </c:val>
          <c:smooth val="0"/>
          <c:extLst>
            <c:ext xmlns:c16="http://schemas.microsoft.com/office/drawing/2014/chart" uri="{C3380CC4-5D6E-409C-BE32-E72D297353CC}">
              <c16:uniqueId val="{00000001-7410-4344-8543-AA2767FED641}"/>
            </c:ext>
          </c:extLst>
        </c:ser>
        <c:ser>
          <c:idx val="6"/>
          <c:order val="6"/>
          <c:tx>
            <c:v>Worst Case</c:v>
          </c:tx>
          <c:spPr>
            <a:ln w="25400">
              <a:solidFill>
                <a:srgbClr val="FFC000"/>
              </a:solidFill>
              <a:prstDash val="dash"/>
            </a:ln>
          </c:spPr>
          <c:marker>
            <c:symbol val="none"/>
          </c:marker>
          <c:cat>
            <c:multiLvlStrRef>
              <c:f>'Graphing Data'!$A$45:$A$77</c:f>
            </c:multiLvlStrRef>
          </c:cat>
          <c:val>
            <c:numRef>
              <c:f>'Graphing Data'!$E$45:$E$77</c:f>
            </c:numRef>
          </c:val>
          <c:smooth val="0"/>
          <c:extLst>
            <c:ext xmlns:c16="http://schemas.microsoft.com/office/drawing/2014/chart" uri="{C3380CC4-5D6E-409C-BE32-E72D297353CC}">
              <c16:uniqueId val="{00000002-7410-4344-8543-AA2767FED641}"/>
            </c:ext>
          </c:extLst>
        </c:ser>
        <c:ser>
          <c:idx val="7"/>
          <c:order val="7"/>
          <c:tx>
            <c:v>Nominal US GDP</c:v>
          </c:tx>
          <c:spPr>
            <a:ln w="25400">
              <a:solidFill>
                <a:schemeClr val="tx1"/>
              </a:solidFill>
              <a:prstDash val="dash"/>
            </a:ln>
          </c:spPr>
          <c:marker>
            <c:symbol val="none"/>
          </c:marker>
          <c:cat>
            <c:multiLvlStrRef>
              <c:f>'Graphing Data'!$A$45:$A$77</c:f>
            </c:multiLvlStrRef>
          </c:cat>
          <c:val>
            <c:numRef>
              <c:f>'Graphing Data'!$I$45:$I$77</c:f>
            </c:numRef>
          </c:val>
          <c:smooth val="0"/>
          <c:extLst>
            <c:ext xmlns:c16="http://schemas.microsoft.com/office/drawing/2014/chart" uri="{C3380CC4-5D6E-409C-BE32-E72D297353CC}">
              <c16:uniqueId val="{00000003-7410-4344-8543-AA2767FED641}"/>
            </c:ext>
          </c:extLst>
        </c:ser>
        <c:ser>
          <c:idx val="0"/>
          <c:order val="0"/>
          <c:tx>
            <c:v>Historical OCP</c:v>
          </c:tx>
          <c:spPr>
            <a:ln w="25400"/>
          </c:spPr>
          <c:marker>
            <c:symbol val="none"/>
          </c:marker>
          <c:cat>
            <c:multiLvlStrRef>
              <c:f>'Graphing Data'!$A$45:$A$77</c:f>
            </c:multiLvlStrRef>
          </c:cat>
          <c:val>
            <c:numRef>
              <c:f>'Graphing Data'!#REF!</c:f>
              <c:numCache>
                <c:formatCode>General</c:formatCode>
                <c:ptCount val="1"/>
                <c:pt idx="0">
                  <c:v>1</c:v>
                </c:pt>
              </c:numCache>
            </c:numRef>
          </c:val>
          <c:smooth val="0"/>
          <c:extLst>
            <c:ext xmlns:c16="http://schemas.microsoft.com/office/drawing/2014/chart" uri="{C3380CC4-5D6E-409C-BE32-E72D297353CC}">
              <c16:uniqueId val="{00000004-7410-4344-8543-AA2767FED641}"/>
            </c:ext>
          </c:extLst>
        </c:ser>
        <c:ser>
          <c:idx val="1"/>
          <c:order val="1"/>
          <c:tx>
            <c:v>Best Case</c:v>
          </c:tx>
          <c:spPr>
            <a:ln w="25400">
              <a:solidFill>
                <a:schemeClr val="tx2">
                  <a:lumMod val="40000"/>
                  <a:lumOff val="60000"/>
                </a:schemeClr>
              </a:solidFill>
              <a:prstDash val="dash"/>
            </a:ln>
          </c:spPr>
          <c:marker>
            <c:symbol val="none"/>
          </c:marker>
          <c:cat>
            <c:multiLvlStrRef>
              <c:f>'Graphing Data'!$A$45:$A$77</c:f>
            </c:multiLvlStrRef>
          </c:cat>
          <c:val>
            <c:numRef>
              <c:f>'Graphing Data'!$C$45:$C$77</c:f>
            </c:numRef>
          </c:val>
          <c:smooth val="0"/>
          <c:extLst>
            <c:ext xmlns:c16="http://schemas.microsoft.com/office/drawing/2014/chart" uri="{C3380CC4-5D6E-409C-BE32-E72D297353CC}">
              <c16:uniqueId val="{00000005-7410-4344-8543-AA2767FED641}"/>
            </c:ext>
          </c:extLst>
        </c:ser>
        <c:ser>
          <c:idx val="2"/>
          <c:order val="2"/>
          <c:tx>
            <c:v>Worst Case</c:v>
          </c:tx>
          <c:spPr>
            <a:ln w="25400">
              <a:solidFill>
                <a:srgbClr val="FFC000"/>
              </a:solidFill>
              <a:prstDash val="dash"/>
            </a:ln>
          </c:spPr>
          <c:marker>
            <c:symbol val="none"/>
          </c:marker>
          <c:cat>
            <c:multiLvlStrRef>
              <c:f>'Graphing Data'!$A$45:$A$77</c:f>
            </c:multiLvlStrRef>
          </c:cat>
          <c:val>
            <c:numRef>
              <c:f>'Graphing Data'!$E$45:$E$77</c:f>
            </c:numRef>
          </c:val>
          <c:smooth val="0"/>
          <c:extLst>
            <c:ext xmlns:c16="http://schemas.microsoft.com/office/drawing/2014/chart" uri="{C3380CC4-5D6E-409C-BE32-E72D297353CC}">
              <c16:uniqueId val="{00000006-7410-4344-8543-AA2767FED641}"/>
            </c:ext>
          </c:extLst>
        </c:ser>
        <c:ser>
          <c:idx val="3"/>
          <c:order val="3"/>
          <c:tx>
            <c:v>Nominal US GDP</c:v>
          </c:tx>
          <c:spPr>
            <a:ln w="25400">
              <a:solidFill>
                <a:schemeClr val="tx1"/>
              </a:solidFill>
              <a:prstDash val="dash"/>
            </a:ln>
          </c:spPr>
          <c:marker>
            <c:symbol val="none"/>
          </c:marker>
          <c:cat>
            <c:multiLvlStrRef>
              <c:f>'Graphing Data'!$A$45:$A$77</c:f>
            </c:multiLvlStrRef>
          </c:cat>
          <c:val>
            <c:numRef>
              <c:f>'Graphing Data'!$I$45:$I$77</c:f>
            </c:numRef>
          </c:val>
          <c:smooth val="0"/>
          <c:extLst>
            <c:ext xmlns:c16="http://schemas.microsoft.com/office/drawing/2014/chart" uri="{C3380CC4-5D6E-409C-BE32-E72D297353CC}">
              <c16:uniqueId val="{00000007-7410-4344-8543-AA2767FED641}"/>
            </c:ext>
          </c:extLst>
        </c:ser>
        <c:dLbls>
          <c:showLegendKey val="0"/>
          <c:showVal val="0"/>
          <c:showCatName val="0"/>
          <c:showSerName val="0"/>
          <c:showPercent val="0"/>
          <c:showBubbleSize val="0"/>
        </c:dLbls>
        <c:smooth val="0"/>
        <c:axId val="184996608"/>
        <c:axId val="184998144"/>
      </c:lineChart>
      <c:catAx>
        <c:axId val="184996608"/>
        <c:scaling>
          <c:orientation val="minMax"/>
        </c:scaling>
        <c:delete val="0"/>
        <c:axPos val="b"/>
        <c:numFmt formatCode="yyyy" sourceLinked="0"/>
        <c:majorTickMark val="out"/>
        <c:minorTickMark val="none"/>
        <c:tickLblPos val="nextTo"/>
        <c:spPr>
          <a:ln>
            <a:noFill/>
          </a:ln>
        </c:spPr>
        <c:crossAx val="184998144"/>
        <c:crosses val="autoZero"/>
        <c:auto val="1"/>
        <c:lblAlgn val="ctr"/>
        <c:lblOffset val="100"/>
        <c:noMultiLvlLbl val="0"/>
      </c:catAx>
      <c:valAx>
        <c:axId val="184998144"/>
        <c:scaling>
          <c:orientation val="minMax"/>
        </c:scaling>
        <c:delete val="0"/>
        <c:axPos val="l"/>
        <c:majorGridlines>
          <c:spPr>
            <a:ln w="6350">
              <a:solidFill>
                <a:schemeClr val="bg1">
                  <a:lumMod val="85000"/>
                </a:schemeClr>
              </a:solidFill>
            </a:ln>
          </c:spPr>
        </c:majorGridlines>
        <c:numFmt formatCode="General" sourceLinked="0"/>
        <c:majorTickMark val="out"/>
        <c:minorTickMark val="none"/>
        <c:tickLblPos val="nextTo"/>
        <c:spPr>
          <a:ln>
            <a:noFill/>
          </a:ln>
        </c:spPr>
        <c:crossAx val="184996608"/>
        <c:crosses val="autoZero"/>
        <c:crossBetween val="between"/>
      </c:valAx>
    </c:plotArea>
    <c:legend>
      <c:legendPos val="t"/>
      <c:layout>
        <c:manualLayout>
          <c:xMode val="edge"/>
          <c:yMode val="edge"/>
          <c:x val="9.8150743657043252E-2"/>
          <c:y val="0.11197215539257434"/>
          <c:w val="0.83259436223722749"/>
          <c:h val="6.4294803149606533E-2"/>
        </c:manualLayout>
      </c:layout>
      <c:overlay val="0"/>
    </c:legend>
    <c:plotVisOnly val="1"/>
    <c:dispBlanksAs val="gap"/>
    <c:showDLblsOverMax val="0"/>
  </c:chart>
  <c:spPr>
    <a:ln>
      <a:solidFill>
        <a:schemeClr val="bg1">
          <a:lumMod val="75000"/>
        </a:schemeClr>
      </a:solidFill>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GM Actual OCP ($, LHS)</c:v>
                </c:pt>
              </c:strCache>
            </c:strRef>
          </c:tx>
          <c:spPr>
            <a:solidFill>
              <a:srgbClr val="0046AD"/>
            </a:solidFill>
            <a:ln>
              <a:noFill/>
            </a:ln>
            <a:effectLst/>
          </c:spPr>
          <c:invertIfNegative val="0"/>
          <c:cat>
            <c:numRef>
              <c:f>'Company Analysis'!$D$40:$I$40</c:f>
              <c:numCache>
                <c:formatCode>mm/yyyy</c:formatCode>
                <c:ptCount val="6"/>
                <c:pt idx="0">
                  <c:v>40908</c:v>
                </c:pt>
                <c:pt idx="1">
                  <c:v>41274</c:v>
                </c:pt>
                <c:pt idx="2">
                  <c:v>41639</c:v>
                </c:pt>
                <c:pt idx="3">
                  <c:v>42004</c:v>
                </c:pt>
                <c:pt idx="4">
                  <c:v>42369</c:v>
                </c:pt>
                <c:pt idx="5">
                  <c:v>42735</c:v>
                </c:pt>
              </c:numCache>
            </c:numRef>
          </c:cat>
          <c:val>
            <c:numRef>
              <c:f>'Graphing Data'!$D$38:$I$38</c:f>
              <c:numCache>
                <c:formatCode>_(* #,##0_);_(* \(#,##0\);_(* "-"??_);_(@_)</c:formatCode>
                <c:ptCount val="6"/>
                <c:pt idx="0">
                  <c:v>519.16079999999965</c:v>
                </c:pt>
                <c:pt idx="1">
                  <c:v>1585.7489999999998</c:v>
                </c:pt>
                <c:pt idx="2">
                  <c:v>4468.3850000000011</c:v>
                </c:pt>
                <c:pt idx="3">
                  <c:v>2764.9911999999995</c:v>
                </c:pt>
                <c:pt idx="4">
                  <c:v>3615.4758999999995</c:v>
                </c:pt>
                <c:pt idx="5">
                  <c:v>5921.5544000000009</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GM OCP if GDP-Growth ($, LHS)</c:v>
                </c:pt>
              </c:strCache>
            </c:strRef>
          </c:tx>
          <c:spPr>
            <a:solidFill>
              <a:srgbClr val="0046AD">
                <a:alpha val="50000"/>
              </a:srgbClr>
            </a:solidFill>
            <a:ln>
              <a:noFill/>
            </a:ln>
            <a:effectLst/>
          </c:spPr>
          <c:invertIfNegative val="0"/>
          <c:cat>
            <c:numRef>
              <c:f>'Company Analysis'!$D$40:$I$40</c:f>
              <c:numCache>
                <c:formatCode>mm/yyyy</c:formatCode>
                <c:ptCount val="6"/>
                <c:pt idx="0">
                  <c:v>40908</c:v>
                </c:pt>
                <c:pt idx="1">
                  <c:v>41274</c:v>
                </c:pt>
                <c:pt idx="2">
                  <c:v>41639</c:v>
                </c:pt>
                <c:pt idx="3">
                  <c:v>42004</c:v>
                </c:pt>
                <c:pt idx="4">
                  <c:v>42369</c:v>
                </c:pt>
                <c:pt idx="5">
                  <c:v>42735</c:v>
                </c:pt>
              </c:numCache>
            </c:numRef>
          </c:cat>
          <c:val>
            <c:numRef>
              <c:f>'Graphing Data'!$D$39:$I$39</c:f>
              <c:numCache>
                <c:formatCode>_(* #,##0_);_(* \(#,##0\);_(* "-"??_);_(@_)</c:formatCode>
                <c:ptCount val="6"/>
                <c:pt idx="0">
                  <c:v>519.16079999999965</c:v>
                </c:pt>
                <c:pt idx="1">
                  <c:v>537.15759383730403</c:v>
                </c:pt>
                <c:pt idx="2">
                  <c:v>561.68611877126159</c:v>
                </c:pt>
                <c:pt idx="3">
                  <c:v>582.2548228389702</c:v>
                </c:pt>
                <c:pt idx="4">
                  <c:v>597.41988431261973</c:v>
                </c:pt>
                <c:pt idx="5">
                  <c:v>620.59338748835921</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196915968"/>
        <c:axId val="196917504"/>
      </c:barChart>
      <c:lineChart>
        <c:grouping val="standard"/>
        <c:varyColors val="0"/>
        <c:ser>
          <c:idx val="2"/>
          <c:order val="2"/>
          <c:tx>
            <c:strRef>
              <c:f>'Graphing Data'!$A$40</c:f>
              <c:strCache>
                <c:ptCount val="1"/>
                <c:pt idx="0">
                  <c:v>GM - GDP Growth Difference (YoY, %, RHS)</c:v>
                </c:pt>
              </c:strCache>
            </c:strRef>
          </c:tx>
          <c:spPr>
            <a:ln w="19050" cap="rnd">
              <a:solidFill>
                <a:sysClr val="windowText" lastClr="000000"/>
              </a:solidFill>
              <a:prstDash val="dash"/>
              <a:round/>
            </a:ln>
            <a:effectLst/>
          </c:spPr>
          <c:marker>
            <c:symbol val="none"/>
          </c:marker>
          <c:cat>
            <c:numRef>
              <c:f>'Graphing Data'!$C$37:$I$37</c:f>
              <c:numCache>
                <c:formatCode>yyyy</c:formatCode>
                <c:ptCount val="7"/>
                <c:pt idx="0">
                  <c:v>40543</c:v>
                </c:pt>
                <c:pt idx="1">
                  <c:v>40908</c:v>
                </c:pt>
                <c:pt idx="2">
                  <c:v>41274</c:v>
                </c:pt>
                <c:pt idx="3">
                  <c:v>41639</c:v>
                </c:pt>
                <c:pt idx="4">
                  <c:v>42004</c:v>
                </c:pt>
                <c:pt idx="5">
                  <c:v>42369</c:v>
                </c:pt>
                <c:pt idx="6">
                  <c:v>42735</c:v>
                </c:pt>
              </c:numCache>
            </c:numRef>
          </c:cat>
          <c:val>
            <c:numRef>
              <c:f>'Graphing Data'!$D$40:$I$40</c:f>
              <c:numCache>
                <c:formatCode>0%</c:formatCode>
                <c:ptCount val="6"/>
                <c:pt idx="0">
                  <c:v>3.0667380779761921</c:v>
                </c:pt>
                <c:pt idx="1">
                  <c:v>2.0197815516169486</c:v>
                </c:pt>
                <c:pt idx="2">
                  <c:v>1.7721752083659186</c:v>
                </c:pt>
                <c:pt idx="3">
                  <c:v>-0.41782973863813566</c:v>
                </c:pt>
                <c:pt idx="4">
                  <c:v>0.28154497926610267</c:v>
                </c:pt>
                <c:pt idx="5">
                  <c:v>0.59904608854365993</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GM - GDP Growth Difference (3Y, %, RHS)</c:v>
                </c:pt>
              </c:strCache>
            </c:strRef>
          </c:tx>
          <c:spPr>
            <a:ln w="19050" cap="rnd">
              <a:solidFill>
                <a:sysClr val="windowText" lastClr="000000"/>
              </a:solidFill>
              <a:round/>
            </a:ln>
            <a:effectLst/>
          </c:spPr>
          <c:marker>
            <c:symbol val="none"/>
          </c:marker>
          <c:cat>
            <c:numRef>
              <c:f>'Graphing Data'!$C$37:$I$37</c:f>
              <c:numCache>
                <c:formatCode>yyyy</c:formatCode>
                <c:ptCount val="7"/>
                <c:pt idx="0">
                  <c:v>40543</c:v>
                </c:pt>
                <c:pt idx="1">
                  <c:v>40908</c:v>
                </c:pt>
                <c:pt idx="2">
                  <c:v>41274</c:v>
                </c:pt>
                <c:pt idx="3">
                  <c:v>41639</c:v>
                </c:pt>
                <c:pt idx="4">
                  <c:v>42004</c:v>
                </c:pt>
                <c:pt idx="5">
                  <c:v>42369</c:v>
                </c:pt>
                <c:pt idx="6">
                  <c:v>42735</c:v>
                </c:pt>
              </c:numCache>
            </c:numRef>
          </c:cat>
          <c:val>
            <c:numRef>
              <c:f>'Graphing Data'!$D$41:$I$41</c:f>
              <c:numCache>
                <c:formatCode>0%</c:formatCode>
                <c:ptCount val="6"/>
                <c:pt idx="0">
                  <c:v>0</c:v>
                </c:pt>
                <c:pt idx="1">
                  <c:v>-1.103573910389674</c:v>
                </c:pt>
                <c:pt idx="2">
                  <c:v>2.4986779308815903</c:v>
                </c:pt>
                <c:pt idx="3">
                  <c:v>0.30266481061314154</c:v>
                </c:pt>
                <c:pt idx="4">
                  <c:v>0.19430362260518352</c:v>
                </c:pt>
                <c:pt idx="5">
                  <c:v>0.1001185392270727</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196924928"/>
        <c:axId val="196923392"/>
      </c:lineChart>
      <c:dateAx>
        <c:axId val="19691596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196917504"/>
        <c:crosses val="autoZero"/>
        <c:auto val="1"/>
        <c:lblOffset val="100"/>
        <c:baseTimeUnit val="years"/>
      </c:dateAx>
      <c:valAx>
        <c:axId val="19691750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196915968"/>
        <c:crosses val="autoZero"/>
        <c:crossBetween val="between"/>
      </c:valAx>
      <c:valAx>
        <c:axId val="19692339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196924928"/>
        <c:crosses val="max"/>
        <c:crossBetween val="between"/>
      </c:valAx>
      <c:dateAx>
        <c:axId val="196924928"/>
        <c:scaling>
          <c:orientation val="minMax"/>
        </c:scaling>
        <c:delete val="1"/>
        <c:axPos val="b"/>
        <c:numFmt formatCode="yyyy" sourceLinked="1"/>
        <c:majorTickMark val="out"/>
        <c:minorTickMark val="none"/>
        <c:tickLblPos val="none"/>
        <c:crossAx val="196923392"/>
        <c:crosses val="autoZero"/>
        <c:auto val="1"/>
        <c:lblOffset val="100"/>
        <c:baseTimeUnit val="years"/>
        <c:majorUnit val="1"/>
        <c:minorUnit val="1"/>
      </c:dateAx>
      <c:spPr>
        <a:noFill/>
        <a:ln>
          <a:noFill/>
        </a:ln>
        <a:effectLst/>
      </c:spPr>
    </c:plotArea>
    <c:legend>
      <c:legendPos val="t"/>
      <c:layout>
        <c:manualLayout>
          <c:xMode val="edge"/>
          <c:yMode val="edge"/>
          <c:x val="1.3358494514692287E-2"/>
          <c:y val="6.4881424394211101E-2"/>
          <c:w val="0.97474969425330804"/>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workbookViewId="0"/>
  </sheetViews>
  <pageMargins left="0.7" right="0.7" top="0.75" bottom="0.75" header="0.3" footer="0.3"/>
  <pageSetup paperSize="5" orientation="landscape" r:id="rId1"/>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workbookViewId="0"/>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workbookViewId="0"/>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workbookViewId="0"/>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workbookViewId="0"/>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workbookViewId="0"/>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workbookViewId="0"/>
  </sheetViews>
  <pageMargins left="0.7" right="0.7" top="0.75" bottom="0.75" header="0.3" footer="0.3"/>
  <pageSetup paperSize="5"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 right="0.7" top="0.75" bottom="0.75" header="0.3" footer="0.3"/>
  <pageSetup paperSize="5"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 right="0.7" top="0.75" bottom="0.75" header="0.3" footer="0.3"/>
  <pageSetup paperSize="5"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1" y="0"/>
    <xdr:ext cx="11430000" cy="6297521"/>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0.36378</cdr:x>
      <cdr:y>0.03134</cdr:y>
    </cdr:from>
    <cdr:to>
      <cdr:x>0.76935</cdr:x>
      <cdr:y>0.13675</cdr:y>
    </cdr:to>
    <cdr:sp macro="" textlink="">
      <cdr:nvSpPr>
        <cdr:cNvPr id="2" name="TextBox 1"/>
        <cdr:cNvSpPr txBox="1"/>
      </cdr:nvSpPr>
      <cdr:spPr>
        <a:xfrm xmlns:a="http://schemas.openxmlformats.org/drawingml/2006/main">
          <a:off x="2238375" y="104775"/>
          <a:ext cx="249555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0.36378</cdr:x>
      <cdr:y>0.03134</cdr:y>
    </cdr:from>
    <cdr:to>
      <cdr:x>0.76935</cdr:x>
      <cdr:y>0.13675</cdr:y>
    </cdr:to>
    <cdr:sp macro="" textlink="">
      <cdr:nvSpPr>
        <cdr:cNvPr id="3" name="TextBox 1"/>
        <cdr:cNvSpPr txBox="1"/>
      </cdr:nvSpPr>
      <cdr:spPr>
        <a:xfrm xmlns:a="http://schemas.openxmlformats.org/drawingml/2006/main">
          <a:off x="2238375" y="104775"/>
          <a:ext cx="249555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0.36378</cdr:x>
      <cdr:y>0.03134</cdr:y>
    </cdr:from>
    <cdr:to>
      <cdr:x>0.76935</cdr:x>
      <cdr:y>0.13675</cdr:y>
    </cdr:to>
    <cdr:sp macro="" textlink="">
      <cdr:nvSpPr>
        <cdr:cNvPr id="4" name="TextBox 1"/>
        <cdr:cNvSpPr txBox="1"/>
      </cdr:nvSpPr>
      <cdr:spPr>
        <a:xfrm xmlns:a="http://schemas.openxmlformats.org/drawingml/2006/main">
          <a:off x="2238375" y="104775"/>
          <a:ext cx="249555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0.31333</cdr:x>
      <cdr:y>0.03479</cdr:y>
    </cdr:from>
    <cdr:to>
      <cdr:x>0.6375</cdr:x>
      <cdr:y>0.13461</cdr:y>
    </cdr:to>
    <cdr:sp macro="" textlink="">
      <cdr:nvSpPr>
        <cdr:cNvPr id="5" name="TextBox 3"/>
        <cdr:cNvSpPr txBox="1"/>
      </cdr:nvSpPr>
      <cdr:spPr>
        <a:xfrm xmlns:a="http://schemas.openxmlformats.org/drawingml/2006/main">
          <a:off x="3581400" y="219075"/>
          <a:ext cx="3705226" cy="628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100">
              <a:ln>
                <a:noFill/>
              </a:ln>
            </a:rPr>
            <a:t>       Disney</a:t>
          </a:r>
          <a:r>
            <a:rPr lang="en-US" sz="1100" baseline="0">
              <a:ln>
                <a:noFill/>
              </a:ln>
            </a:rPr>
            <a:t> Owner's Cash Profits versus Nominal  US GDP                  	US GDP Projections  = 5% per year</a:t>
          </a:r>
          <a:endParaRPr lang="en-US" sz="1100">
            <a:ln>
              <a:noFill/>
            </a:ln>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1" y="0"/>
    <xdr:ext cx="11430000" cy="6297521"/>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32947" y="-9525"/>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410950" cy="629602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11430000" cy="6297521"/>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6"/>
  <sheetViews>
    <sheetView showGridLines="0" tabSelected="1" zoomScaleNormal="100" workbookViewId="0">
      <selection activeCell="D8" sqref="D8"/>
    </sheetView>
  </sheetViews>
  <sheetFormatPr defaultRowHeight="15" outlineLevelRow="1"/>
  <cols>
    <col min="1" max="1" width="38.7109375" bestFit="1" customWidth="1"/>
    <col min="2" max="6" width="11.7109375" customWidth="1"/>
    <col min="7" max="7" width="12.5703125" bestFit="1"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75" t="s">
        <v>61</v>
      </c>
      <c r="B1" s="175"/>
      <c r="C1" s="175"/>
      <c r="D1" s="175"/>
      <c r="E1" s="175"/>
      <c r="F1" s="175"/>
      <c r="G1" s="175"/>
      <c r="I1" s="184" t="s">
        <v>51</v>
      </c>
      <c r="J1" s="185"/>
      <c r="K1" s="87" t="s">
        <v>58</v>
      </c>
      <c r="L1" s="59" t="s">
        <v>108</v>
      </c>
    </row>
    <row r="2" spans="1:13">
      <c r="A2" s="49" t="s">
        <v>206</v>
      </c>
      <c r="B2" s="42" t="s">
        <v>207</v>
      </c>
      <c r="C2" s="94" t="str">
        <f>A2&amp;" ("&amp;ticker&amp;")"</f>
        <v>GENERAL MOTORS (GM)</v>
      </c>
      <c r="E2" s="3" t="s">
        <v>57</v>
      </c>
      <c r="F2" s="3"/>
      <c r="G2" s="48">
        <v>44</v>
      </c>
      <c r="I2" s="180" t="e">
        <f>(ROUND(AVERAGE(C9:G9)*100,0)&amp;"% | "&amp;ROUND(AVERAGE(C11:G11)*100,0)&amp;"% | "&amp;ROUND(C18*100,0)&amp;"%")</f>
        <v>#DIV/0!</v>
      </c>
      <c r="J2" s="181"/>
      <c r="K2" s="88">
        <f ca="1">TRUNC(Scenario1)+B13/G4</f>
        <v>0</v>
      </c>
      <c r="L2" s="90" t="s">
        <v>53</v>
      </c>
      <c r="M2" s="43"/>
    </row>
    <row r="3" spans="1:13">
      <c r="A3" t="s">
        <v>199</v>
      </c>
      <c r="B3" s="13">
        <f ca="1">TODAY()</f>
        <v>43119</v>
      </c>
      <c r="E3" t="s">
        <v>60</v>
      </c>
      <c r="G3" s="31">
        <f>'Company Analysis'!I3</f>
        <v>166380</v>
      </c>
      <c r="I3" s="180" t="e">
        <f>(ROUND(AVERAGE(C9:G9)*100,0)&amp;"% | "&amp;ROUND(AVERAGE(C11:G11)*100,0)&amp;"% | "&amp;ROUND(C17*100,0)&amp;"%")</f>
        <v>#DIV/0!</v>
      </c>
      <c r="J3" s="181"/>
      <c r="K3" s="88">
        <f ca="1">TRUNC(Scenario2)+B13/G4</f>
        <v>0</v>
      </c>
      <c r="L3" s="90" t="s">
        <v>53</v>
      </c>
      <c r="M3" s="44"/>
    </row>
    <row r="4" spans="1:13">
      <c r="A4" t="s">
        <v>0</v>
      </c>
      <c r="B4" s="13">
        <v>42735</v>
      </c>
      <c r="E4" s="3" t="s">
        <v>6</v>
      </c>
      <c r="F4" s="3"/>
      <c r="G4" s="144">
        <v>1483</v>
      </c>
      <c r="I4" s="180" t="e">
        <f>(ROUND(AVERAGE(C9:G9)*100,0)&amp;"% | "&amp;ROUND(AVERAGE(C10:G10)*100,0)&amp;"% | "&amp;ROUND(C18*100,0)&amp;"%")</f>
        <v>#DIV/0!</v>
      </c>
      <c r="J4" s="181"/>
      <c r="K4" s="88">
        <f ca="1">TRUNC(Scenario3)+B13/G4</f>
        <v>0</v>
      </c>
      <c r="L4" s="91" t="s">
        <v>53</v>
      </c>
      <c r="M4" s="45"/>
    </row>
    <row r="5" spans="1:13" ht="15.75" thickBot="1">
      <c r="A5" s="64" t="s">
        <v>1</v>
      </c>
      <c r="B5" s="50">
        <v>0.1</v>
      </c>
      <c r="C5" s="12"/>
      <c r="D5" s="12"/>
      <c r="E5" s="12"/>
      <c r="F5" s="12"/>
      <c r="G5" s="12"/>
      <c r="I5" s="180" t="e">
        <f>(ROUND(AVERAGE(C9:G9)*100,0)&amp;"% | "&amp;ROUND(AVERAGE(C10:G10)*100,0)&amp;"% | "&amp;ROUND(C17*100,0)&amp;"%")</f>
        <v>#DIV/0!</v>
      </c>
      <c r="J5" s="181"/>
      <c r="K5" s="88">
        <f ca="1">TRUNC(Scenario4)+B13/G4</f>
        <v>0</v>
      </c>
      <c r="L5" s="91" t="s">
        <v>53</v>
      </c>
      <c r="M5" s="45"/>
    </row>
    <row r="6" spans="1:13" s="9" customFormat="1" ht="15.75" thickBot="1">
      <c r="A6" s="175" t="s">
        <v>96</v>
      </c>
      <c r="B6" s="175"/>
      <c r="C6" s="175"/>
      <c r="D6" s="175"/>
      <c r="E6" s="175"/>
      <c r="F6" s="175"/>
      <c r="G6" s="175"/>
      <c r="H6" s="8"/>
      <c r="I6" s="180" t="e">
        <f>(ROUND(AVERAGE(C8:G8)*100,0)&amp;"% | "&amp;ROUND(AVERAGE(C11:G11)*100,0)&amp;"% | "&amp;ROUND(C18*100,0)&amp;"%")</f>
        <v>#DIV/0!</v>
      </c>
      <c r="J6" s="181"/>
      <c r="K6" s="88">
        <f ca="1">TRUNC(Scenario5)+B13/G4</f>
        <v>0</v>
      </c>
      <c r="L6" s="90" t="s">
        <v>53</v>
      </c>
      <c r="M6" s="46"/>
    </row>
    <row r="7" spans="1:13">
      <c r="A7" s="7"/>
      <c r="B7" s="7" t="s">
        <v>2</v>
      </c>
      <c r="C7" s="38">
        <v>1</v>
      </c>
      <c r="D7" s="38">
        <v>2</v>
      </c>
      <c r="E7" s="38">
        <v>3</v>
      </c>
      <c r="F7" s="38">
        <v>4</v>
      </c>
      <c r="G7" s="38">
        <v>5</v>
      </c>
      <c r="I7" s="180" t="e">
        <f>(ROUND(AVERAGE(C8:G8)*100,0)&amp;"% | "&amp;ROUND(AVERAGE(C11:G11)*100,0)&amp;"% | "&amp;ROUND(C17*100,0)&amp;"%")</f>
        <v>#DIV/0!</v>
      </c>
      <c r="J7" s="181"/>
      <c r="K7" s="88">
        <f ca="1">TRUNC(Scenario6)+B13/G4</f>
        <v>0</v>
      </c>
      <c r="L7" s="92" t="s">
        <v>53</v>
      </c>
    </row>
    <row r="8" spans="1:13">
      <c r="A8" s="178" t="s">
        <v>5</v>
      </c>
      <c r="B8" s="22" t="s">
        <v>3</v>
      </c>
      <c r="C8" s="23"/>
      <c r="D8" s="23"/>
      <c r="E8" s="23"/>
      <c r="F8" s="23"/>
      <c r="G8" s="23"/>
      <c r="I8" s="180" t="e">
        <f>(ROUND(AVERAGE(C8:G8)*100,0)&amp;"% | "&amp;ROUND(AVERAGE(C10:G10)*100,0)&amp;"% | "&amp;ROUND(C18*100,0)&amp;"%")</f>
        <v>#DIV/0!</v>
      </c>
      <c r="J8" s="181"/>
      <c r="K8" s="88">
        <f ca="1">TRUNC(Scenario7)+B13/G4</f>
        <v>0</v>
      </c>
      <c r="L8" s="92" t="s">
        <v>53</v>
      </c>
    </row>
    <row r="9" spans="1:13">
      <c r="A9" s="179"/>
      <c r="B9" s="14" t="s">
        <v>4</v>
      </c>
      <c r="C9" s="24"/>
      <c r="D9" s="24"/>
      <c r="E9" s="24"/>
      <c r="F9" s="24"/>
      <c r="G9" s="24"/>
      <c r="I9" s="182" t="e">
        <f>(ROUND(AVERAGE(C8:G8)*100,0)&amp;"% | "&amp;ROUND(AVERAGE(C10:G10)*100,0)&amp;"% | "&amp;ROUND(C17*100,0)&amp;"%")</f>
        <v>#DIV/0!</v>
      </c>
      <c r="J9" s="183"/>
      <c r="K9" s="89">
        <f ca="1">TRUNC(Scenario8)+B13/G4</f>
        <v>0</v>
      </c>
      <c r="L9" s="93" t="s">
        <v>53</v>
      </c>
    </row>
    <row r="10" spans="1:13">
      <c r="A10" s="176" t="s">
        <v>123</v>
      </c>
      <c r="B10" s="22" t="s">
        <v>3</v>
      </c>
      <c r="C10" s="128"/>
      <c r="D10" s="128"/>
      <c r="E10" s="128"/>
      <c r="F10" s="128"/>
      <c r="G10" s="128"/>
    </row>
    <row r="11" spans="1:13">
      <c r="A11" s="177"/>
      <c r="B11" s="14" t="s">
        <v>4</v>
      </c>
      <c r="C11" s="129"/>
      <c r="D11" s="129"/>
      <c r="E11" s="129"/>
      <c r="F11" s="129"/>
      <c r="G11" s="129"/>
      <c r="I11" s="186" t="str">
        <f>A2&amp;" ("&amp;B2&amp;")"</f>
        <v>GENERAL MOTORS (GM)</v>
      </c>
      <c r="J11" s="187"/>
      <c r="K11" s="187"/>
      <c r="L11" s="188"/>
    </row>
    <row r="12" spans="1:13">
      <c r="A12" s="1" t="s">
        <v>62</v>
      </c>
      <c r="B12" s="14"/>
      <c r="C12" s="25"/>
      <c r="D12" s="25"/>
      <c r="E12" s="25"/>
      <c r="F12" s="25"/>
      <c r="G12" s="25"/>
      <c r="I12" s="189" t="str">
        <f ca="1">"$"&amp;ROUND(F21/G4,0)&amp;" Scenario"</f>
        <v>$0 Scenario</v>
      </c>
      <c r="J12" s="190"/>
      <c r="K12" s="190"/>
      <c r="L12" s="191"/>
    </row>
    <row r="13" spans="1:13">
      <c r="A13" s="63" t="s">
        <v>10</v>
      </c>
      <c r="B13" s="26">
        <v>0</v>
      </c>
      <c r="I13" s="69" t="s">
        <v>16</v>
      </c>
      <c r="K13" s="70"/>
      <c r="L13" s="61" t="s">
        <v>4</v>
      </c>
    </row>
    <row r="14" spans="1:13">
      <c r="B14" s="2"/>
      <c r="I14" s="67" t="s">
        <v>17</v>
      </c>
      <c r="K14" s="68"/>
      <c r="L14" s="61" t="s">
        <v>3</v>
      </c>
    </row>
    <row r="15" spans="1:13" ht="15.75" thickBot="1">
      <c r="A15" s="175" t="s">
        <v>97</v>
      </c>
      <c r="B15" s="175"/>
      <c r="C15" s="175"/>
      <c r="D15" s="3"/>
      <c r="E15" s="175" t="s">
        <v>98</v>
      </c>
      <c r="F15" s="175"/>
      <c r="G15" s="175"/>
      <c r="I15" s="71" t="s">
        <v>117</v>
      </c>
      <c r="J15" s="72"/>
      <c r="K15" s="72"/>
      <c r="L15" s="62" t="s">
        <v>3</v>
      </c>
    </row>
    <row r="16" spans="1:13">
      <c r="A16" s="63" t="s">
        <v>11</v>
      </c>
      <c r="B16" s="27">
        <v>5</v>
      </c>
      <c r="C16" t="s">
        <v>12</v>
      </c>
      <c r="E16" s="28" t="s">
        <v>14</v>
      </c>
      <c r="G16" s="32">
        <v>2.5000000000000001E-2</v>
      </c>
      <c r="I16" s="47" t="s">
        <v>116</v>
      </c>
      <c r="K16" s="3"/>
      <c r="L16" s="54">
        <f>(F26/G3)^0.2-1</f>
        <v>0</v>
      </c>
    </row>
    <row r="17" spans="1:12">
      <c r="A17" s="196" t="s">
        <v>59</v>
      </c>
      <c r="B17" s="21" t="s">
        <v>3</v>
      </c>
      <c r="C17" s="23"/>
      <c r="D17" s="142">
        <f>IF(C17=B$5,C17-0.0001,C17)</f>
        <v>0</v>
      </c>
      <c r="E17" s="28" t="s">
        <v>15</v>
      </c>
      <c r="G17" s="32">
        <v>2.5000000000000001E-2</v>
      </c>
      <c r="I17" s="67" t="s">
        <v>115</v>
      </c>
      <c r="K17" s="68"/>
      <c r="L17" s="51">
        <f>SUM(B29:F29)/SUM(B26:F26)</f>
        <v>0</v>
      </c>
    </row>
    <row r="18" spans="1:12">
      <c r="A18" s="197"/>
      <c r="B18" s="15" t="s">
        <v>4</v>
      </c>
      <c r="C18" s="24"/>
      <c r="D18" s="142">
        <f>IF(C18=B$5,C18-0.0001,C18)</f>
        <v>0</v>
      </c>
      <c r="G18" s="11"/>
      <c r="I18" s="71" t="s">
        <v>118</v>
      </c>
      <c r="K18" s="28"/>
      <c r="L18" s="53">
        <f ca="1">(F21/G4)/G2-1</f>
        <v>-1</v>
      </c>
    </row>
    <row r="19" spans="1:12">
      <c r="C19" s="3"/>
      <c r="D19" s="3"/>
      <c r="E19" s="3"/>
      <c r="F19" s="3"/>
      <c r="J19" s="52"/>
      <c r="K19" s="52"/>
      <c r="L19" s="52"/>
    </row>
    <row r="20" spans="1:12" ht="15.75" thickBot="1">
      <c r="A20" s="56" t="s">
        <v>7</v>
      </c>
      <c r="B20" s="60" t="s">
        <v>92</v>
      </c>
      <c r="C20" s="60" t="s">
        <v>93</v>
      </c>
      <c r="D20" s="60" t="s">
        <v>94</v>
      </c>
      <c r="E20" s="60" t="s">
        <v>95</v>
      </c>
      <c r="F20" s="60" t="s">
        <v>8</v>
      </c>
      <c r="I20" s="192" t="s">
        <v>122</v>
      </c>
      <c r="J20" s="193"/>
      <c r="K20" s="193"/>
      <c r="L20" s="194"/>
    </row>
    <row r="21" spans="1:12">
      <c r="A21" s="16" t="s">
        <v>13</v>
      </c>
      <c r="B21" s="17">
        <f ca="1">SUM(B43:F43)</f>
        <v>0</v>
      </c>
      <c r="C21" s="17">
        <f ca="1">B54*F43</f>
        <v>0</v>
      </c>
      <c r="D21" s="17">
        <f ca="1">B51*B50</f>
        <v>0</v>
      </c>
      <c r="E21" s="17">
        <f>B13</f>
        <v>0</v>
      </c>
      <c r="F21" s="17">
        <f ca="1">B21+C21+D21+E21</f>
        <v>0</v>
      </c>
      <c r="I21" s="97"/>
      <c r="J21" s="98"/>
      <c r="K21" s="65" t="s">
        <v>119</v>
      </c>
      <c r="L21" s="66" t="s">
        <v>120</v>
      </c>
    </row>
    <row r="22" spans="1:12">
      <c r="A22" s="16" t="s">
        <v>9</v>
      </c>
      <c r="B22" s="57" t="str">
        <f ca="1">IFERROR(B21/$F21,"")</f>
        <v/>
      </c>
      <c r="C22" s="57" t="str">
        <f ca="1">IFERROR(C21/$F21,"")</f>
        <v/>
      </c>
      <c r="D22" s="57" t="str">
        <f ca="1">IFERROR(D21/$F21,"")</f>
        <v/>
      </c>
      <c r="E22" s="57" t="str">
        <f ca="1">IFERROR(E21/$F21,"")</f>
        <v/>
      </c>
      <c r="F22" s="57">
        <v>1</v>
      </c>
      <c r="I22" s="96" t="s">
        <v>121</v>
      </c>
      <c r="J22" s="15"/>
      <c r="K22" s="99">
        <v>0.25</v>
      </c>
      <c r="L22" s="100">
        <v>0.25600000000000001</v>
      </c>
    </row>
    <row r="23" spans="1:12">
      <c r="A23" s="16"/>
      <c r="B23" s="20"/>
      <c r="C23" s="20"/>
      <c r="D23" s="20"/>
      <c r="E23" s="20"/>
      <c r="F23" s="20"/>
    </row>
    <row r="24" spans="1:12" ht="15.75" customHeight="1" thickBot="1">
      <c r="A24" s="56" t="s">
        <v>74</v>
      </c>
      <c r="B24" s="58">
        <v>1</v>
      </c>
      <c r="C24" s="58">
        <v>2</v>
      </c>
      <c r="D24" s="58">
        <v>3</v>
      </c>
      <c r="E24" s="58">
        <v>4</v>
      </c>
      <c r="F24" s="58">
        <v>5</v>
      </c>
      <c r="K24" s="95"/>
      <c r="L24" s="95"/>
    </row>
    <row r="25" spans="1:12" s="9" customFormat="1" ht="12" customHeight="1">
      <c r="B25" s="146">
        <f>DATE(YEAR($B$4)+B24,MONTH($B$4),DAY($B$4))</f>
        <v>43100</v>
      </c>
      <c r="C25" s="146">
        <f>DATE(YEAR($B$4)+C24,MONTH($B$4),DAY($B$4))</f>
        <v>43465</v>
      </c>
      <c r="D25" s="146">
        <f>DATE(YEAR($B$4)+D24,MONTH($B$4),DAY($B$4))</f>
        <v>43830</v>
      </c>
      <c r="E25" s="146">
        <f>DATE(YEAR($B$4)+E24,MONTH($B$4),DAY($B$4))</f>
        <v>44196</v>
      </c>
      <c r="F25" s="146">
        <f>DATE(YEAR($B$4)+F24,MONTH($B$4),DAY($B$4))</f>
        <v>44561</v>
      </c>
    </row>
    <row r="26" spans="1:12">
      <c r="A26" t="s">
        <v>37</v>
      </c>
      <c r="B26" s="30">
        <f>(CHOOSE($B36,C8,C9)+1)*G3</f>
        <v>166380</v>
      </c>
      <c r="C26" s="30">
        <f>(CHOOSE($B36,D8,D9)+1)*B26</f>
        <v>166380</v>
      </c>
      <c r="D26" s="30">
        <f>(CHOOSE($B36,E8,E9)+1)*C26</f>
        <v>166380</v>
      </c>
      <c r="E26" s="30">
        <f>(CHOOSE($B36,F8,F9)+1)*D26</f>
        <v>166380</v>
      </c>
      <c r="F26" s="30">
        <f>(CHOOSE($B36,G8,G9)+1)*E26</f>
        <v>166380</v>
      </c>
    </row>
    <row r="27" spans="1:12">
      <c r="A27" t="s">
        <v>71</v>
      </c>
      <c r="B27" s="55">
        <f>CHOOSE($B37,C10,C11)*B26</f>
        <v>0</v>
      </c>
      <c r="C27" s="5">
        <f>CHOOSE($B37,D10,D11)*C26</f>
        <v>0</v>
      </c>
      <c r="D27" s="5">
        <f>CHOOSE($B37,E10,E11)*D26</f>
        <v>0</v>
      </c>
      <c r="E27" s="5">
        <f>CHOOSE($B37,F10,F11)*E26</f>
        <v>0</v>
      </c>
      <c r="F27" s="5">
        <f>CHOOSE($B37,G10,G11)*F26</f>
        <v>0</v>
      </c>
    </row>
    <row r="28" spans="1:12">
      <c r="A28" t="s">
        <v>72</v>
      </c>
      <c r="B28" s="55">
        <f>-C12*B27</f>
        <v>0</v>
      </c>
      <c r="C28" s="55">
        <f>-D12*C27</f>
        <v>0</v>
      </c>
      <c r="D28" s="55">
        <f t="shared" ref="D28:E28" si="0">-E12*D27</f>
        <v>0</v>
      </c>
      <c r="E28" s="55">
        <f t="shared" si="0"/>
        <v>0</v>
      </c>
      <c r="F28" s="55">
        <f>-G12*F27</f>
        <v>0</v>
      </c>
    </row>
    <row r="29" spans="1:12" ht="15.75" thickBot="1">
      <c r="A29" t="s">
        <v>73</v>
      </c>
      <c r="B29" s="4">
        <f>B27+B28</f>
        <v>0</v>
      </c>
      <c r="C29" s="4">
        <f>C27+C28</f>
        <v>0</v>
      </c>
      <c r="D29" s="4">
        <f>D27+D28</f>
        <v>0</v>
      </c>
      <c r="E29" s="4">
        <f>E27+E28</f>
        <v>0</v>
      </c>
      <c r="F29" s="4">
        <f>F27+F28</f>
        <v>0</v>
      </c>
    </row>
    <row r="30" spans="1:12" ht="15.75" thickTop="1">
      <c r="B30" s="151"/>
      <c r="C30" s="151"/>
      <c r="D30" s="151"/>
      <c r="E30" s="151"/>
      <c r="F30" s="151"/>
    </row>
    <row r="31" spans="1:12" hidden="1" outlineLevel="1">
      <c r="B31" s="34" t="s">
        <v>20</v>
      </c>
      <c r="E31" s="34" t="s">
        <v>52</v>
      </c>
    </row>
    <row r="32" spans="1:12" hidden="1" outlineLevel="1">
      <c r="B32" s="29" t="s">
        <v>3</v>
      </c>
      <c r="E32" s="29" t="s">
        <v>55</v>
      </c>
    </row>
    <row r="33" spans="1:16" hidden="1" outlineLevel="1">
      <c r="B33" s="29" t="s">
        <v>4</v>
      </c>
      <c r="E33" s="29" t="s">
        <v>53</v>
      </c>
    </row>
    <row r="34" spans="1:16" hidden="1" outlineLevel="1">
      <c r="E34" s="29" t="s">
        <v>54</v>
      </c>
    </row>
    <row r="35" spans="1:16" hidden="1" outlineLevel="1">
      <c r="A35" s="10" t="s">
        <v>34</v>
      </c>
    </row>
    <row r="36" spans="1:16" hidden="1" outlineLevel="1">
      <c r="A36" t="s">
        <v>16</v>
      </c>
      <c r="B36">
        <f>IF(L13="Best",1,2)</f>
        <v>2</v>
      </c>
    </row>
    <row r="37" spans="1:16" hidden="1" outlineLevel="1">
      <c r="A37" t="s">
        <v>19</v>
      </c>
      <c r="B37">
        <f>IF(L14="Best",1,2)</f>
        <v>1</v>
      </c>
    </row>
    <row r="38" spans="1:16" hidden="1" outlineLevel="1">
      <c r="A38" t="s">
        <v>18</v>
      </c>
      <c r="B38">
        <f>IF(L15="Best",1,2)</f>
        <v>1</v>
      </c>
    </row>
    <row r="39" spans="1:16" hidden="1" outlineLevel="1"/>
    <row r="40" spans="1:16" hidden="1" outlineLevel="1"/>
    <row r="41" spans="1:16" hidden="1" outlineLevel="1">
      <c r="A41" s="195" t="s">
        <v>35</v>
      </c>
      <c r="B41" s="195"/>
      <c r="C41" s="195"/>
      <c r="D41" s="195"/>
      <c r="E41" s="195"/>
      <c r="F41" s="195"/>
    </row>
    <row r="42" spans="1:16" hidden="1" outlineLevel="1">
      <c r="A42" t="s">
        <v>21</v>
      </c>
      <c r="B42" s="19">
        <f ca="1">B25-$B$3</f>
        <v>-19</v>
      </c>
      <c r="C42" s="19">
        <f t="shared" ref="C42:F42" ca="1" si="1">C25-$B$3</f>
        <v>346</v>
      </c>
      <c r="D42" s="19">
        <f t="shared" ca="1" si="1"/>
        <v>711</v>
      </c>
      <c r="E42" s="19">
        <f t="shared" ca="1" si="1"/>
        <v>1077</v>
      </c>
      <c r="F42" s="19">
        <f t="shared" ca="1" si="1"/>
        <v>1442</v>
      </c>
      <c r="P42" s="36"/>
    </row>
    <row r="43" spans="1:16" hidden="1" outlineLevel="1">
      <c r="A43" t="s">
        <v>22</v>
      </c>
      <c r="B43" s="17">
        <f ca="1">B29*EXP(-$B$5*B42/365.25)</f>
        <v>0</v>
      </c>
      <c r="C43" s="17">
        <f ca="1">C29*EXP(-$B$5*C42/365.25)</f>
        <v>0</v>
      </c>
      <c r="D43" s="17">
        <f ca="1">D29*EXP(-$B$5*D42/365.25)</f>
        <v>0</v>
      </c>
      <c r="E43" s="17">
        <f ca="1">E29*EXP(-$B$5*E42/365.25)</f>
        <v>0</v>
      </c>
      <c r="F43" s="17">
        <f ca="1">F29*EXP(-$B$5*F42/365.25)</f>
        <v>0</v>
      </c>
      <c r="G43" s="150"/>
      <c r="O43" s="37"/>
    </row>
    <row r="44" spans="1:16" hidden="1" outlineLevel="1"/>
    <row r="45" spans="1:16" hidden="1" outlineLevel="1">
      <c r="A45" s="6" t="s">
        <v>26</v>
      </c>
      <c r="B45">
        <f>MONTH(B4)</f>
        <v>12</v>
      </c>
    </row>
    <row r="46" spans="1:16" hidden="1" outlineLevel="1">
      <c r="A46" s="6" t="s">
        <v>27</v>
      </c>
      <c r="B46">
        <f>DAY(B4)</f>
        <v>31</v>
      </c>
    </row>
    <row r="47" spans="1:16" hidden="1" outlineLevel="1">
      <c r="A47" s="6" t="s">
        <v>23</v>
      </c>
      <c r="B47">
        <f>YEAR(F25)+B16</f>
        <v>2026</v>
      </c>
    </row>
    <row r="48" spans="1:16" hidden="1" outlineLevel="1">
      <c r="A48" s="6" t="s">
        <v>28</v>
      </c>
      <c r="B48">
        <f ca="1">DATE(B47,B45,B46)-TODAY()</f>
        <v>3268</v>
      </c>
      <c r="C48" s="33"/>
    </row>
    <row r="49" spans="1:7" hidden="1" outlineLevel="1">
      <c r="A49" s="6" t="s">
        <v>24</v>
      </c>
      <c r="B49" s="17">
        <f>F29*EXP(CHOOSE(B38,C17,C18)*B16)</f>
        <v>0</v>
      </c>
    </row>
    <row r="50" spans="1:7" hidden="1" outlineLevel="1">
      <c r="A50" s="6" t="s">
        <v>29</v>
      </c>
      <c r="B50" s="17">
        <f ca="1">B49*EXP(-B5*B48/365.25)</f>
        <v>0</v>
      </c>
    </row>
    <row r="51" spans="1:7" hidden="1" outlineLevel="1">
      <c r="A51" s="6" t="s">
        <v>31</v>
      </c>
      <c r="B51" s="17">
        <f>(1+SUM(G16,G17))/(B5-SUM(G16,G17))</f>
        <v>21</v>
      </c>
    </row>
    <row r="52" spans="1:7" hidden="1" outlineLevel="1">
      <c r="A52" s="6" t="s">
        <v>32</v>
      </c>
      <c r="B52" s="18">
        <f>(1+CHOOSE(B38,D17,D18))/(B5-(CHOOSE(B38,D17,D18)))</f>
        <v>10</v>
      </c>
      <c r="F52" s="36"/>
    </row>
    <row r="53" spans="1:7" hidden="1" outlineLevel="1">
      <c r="A53" s="6" t="s">
        <v>33</v>
      </c>
      <c r="B53" s="36">
        <f>1-(((1+CHOOSE(B38,D17,D18))/(1+B5))^B16)</f>
        <v>0.37907867694084496</v>
      </c>
      <c r="F53" s="37"/>
    </row>
    <row r="54" spans="1:7" hidden="1" outlineLevel="1">
      <c r="A54" s="6" t="s">
        <v>30</v>
      </c>
      <c r="B54" s="35">
        <f>B52*B53</f>
        <v>3.7907867694084496</v>
      </c>
    </row>
    <row r="55" spans="1:7" hidden="1" outlineLevel="1"/>
    <row r="56" spans="1:7" hidden="1" outlineLevel="1"/>
    <row r="57" spans="1:7" hidden="1" outlineLevel="1">
      <c r="A57" s="39" t="s">
        <v>36</v>
      </c>
    </row>
    <row r="58" spans="1:7" hidden="1" outlineLevel="1">
      <c r="A58" t="s">
        <v>37</v>
      </c>
      <c r="B58" s="18">
        <f>$G$3*(1+C$9)</f>
        <v>166380</v>
      </c>
      <c r="C58" s="18">
        <f>B58*(1+D$9)</f>
        <v>166380</v>
      </c>
      <c r="D58" s="18">
        <f>C58*(1+E$9)</f>
        <v>166380</v>
      </c>
      <c r="E58" s="18">
        <f>D58*(1+F$9)</f>
        <v>166380</v>
      </c>
      <c r="F58" s="18">
        <f>E58*(1+G$9)</f>
        <v>166380</v>
      </c>
    </row>
    <row r="59" spans="1:7" hidden="1" outlineLevel="1">
      <c r="A59" t="s">
        <v>38</v>
      </c>
      <c r="B59" s="18">
        <f>B58*C$11</f>
        <v>0</v>
      </c>
      <c r="C59" s="18">
        <f>C58*D$11</f>
        <v>0</v>
      </c>
      <c r="D59" s="18">
        <f>D58*E$11</f>
        <v>0</v>
      </c>
      <c r="E59" s="18">
        <f>E58*F$11</f>
        <v>0</v>
      </c>
      <c r="F59" s="18">
        <f>F58*G$11</f>
        <v>0</v>
      </c>
    </row>
    <row r="60" spans="1:7" hidden="1" outlineLevel="1">
      <c r="B60" s="20">
        <f>B59/B58</f>
        <v>0</v>
      </c>
      <c r="C60" s="20">
        <f>C59/C58</f>
        <v>0</v>
      </c>
      <c r="D60" s="20">
        <f>D59/D58</f>
        <v>0</v>
      </c>
      <c r="E60" s="20">
        <f>E59/E58</f>
        <v>0</v>
      </c>
      <c r="F60" s="20">
        <f>F59/F58</f>
        <v>0</v>
      </c>
    </row>
    <row r="61" spans="1:7" hidden="1" outlineLevel="1">
      <c r="A61" t="s">
        <v>39</v>
      </c>
      <c r="B61" s="36">
        <f t="shared" ref="B61:E61" si="2">B59-(C$12*B59)</f>
        <v>0</v>
      </c>
      <c r="C61" s="36">
        <f t="shared" si="2"/>
        <v>0</v>
      </c>
      <c r="D61" s="36">
        <f t="shared" si="2"/>
        <v>0</v>
      </c>
      <c r="E61" s="36">
        <f t="shared" si="2"/>
        <v>0</v>
      </c>
      <c r="F61" s="36">
        <f>F59-(G$12*F59)</f>
        <v>0</v>
      </c>
    </row>
    <row r="62" spans="1:7" hidden="1" outlineLevel="1">
      <c r="A62" t="s">
        <v>42</v>
      </c>
      <c r="B62" s="18">
        <f ca="1">B61*EXP(-$B$5*B$42/365.25)</f>
        <v>0</v>
      </c>
      <c r="C62" s="18">
        <f ca="1">C61*EXP(-$B$5*C$42/365.25)</f>
        <v>0</v>
      </c>
      <c r="D62" s="18">
        <f ca="1">D61*EXP(-$B$5*D$42/365.25)</f>
        <v>0</v>
      </c>
      <c r="E62" s="18">
        <f ca="1">E61*EXP(-$B$5*E$42/365.25)</f>
        <v>0</v>
      </c>
      <c r="F62" s="18">
        <f ca="1">F61*EXP(-$B$5*F$42/365.25)</f>
        <v>0</v>
      </c>
      <c r="G62" s="18">
        <f ca="1">SUM(B62:F62)</f>
        <v>0</v>
      </c>
    </row>
    <row r="63" spans="1:7" hidden="1" outlineLevel="1">
      <c r="A63" t="s">
        <v>41</v>
      </c>
      <c r="F63" s="36">
        <f>((1+$D$18)/($B$5-$D$18)*(1-(((1+$D$18)/(1+$B$5))^$B$16)))</f>
        <v>3.7907867694084496</v>
      </c>
      <c r="G63" s="18">
        <f ca="1">F63*F62</f>
        <v>0</v>
      </c>
    </row>
    <row r="64" spans="1:7" hidden="1" outlineLevel="1">
      <c r="A64" t="s">
        <v>40</v>
      </c>
      <c r="B64" s="36"/>
      <c r="F64" s="18">
        <f>F61*EXP($C$18*$B$16)</f>
        <v>0</v>
      </c>
    </row>
    <row r="65" spans="1:7" hidden="1" outlineLevel="1">
      <c r="A65" t="s">
        <v>43</v>
      </c>
      <c r="F65" s="18">
        <f ca="1">F64*EXP(-$B$5*B$48/365.25)</f>
        <v>0</v>
      </c>
      <c r="G65" s="40">
        <f ca="1">F65*B$51</f>
        <v>0</v>
      </c>
    </row>
    <row r="66" spans="1:7" hidden="1" outlineLevel="1">
      <c r="A66" t="s">
        <v>44</v>
      </c>
      <c r="G66" s="18">
        <f ca="1">SUM(G62:G63,G65)</f>
        <v>0</v>
      </c>
    </row>
    <row r="67" spans="1:7" hidden="1" outlineLevel="1">
      <c r="A67" t="s">
        <v>25</v>
      </c>
      <c r="G67" s="41">
        <f ca="1">G66/$G$4</f>
        <v>0</v>
      </c>
    </row>
    <row r="68" spans="1:7" hidden="1" outlineLevel="1">
      <c r="G68" s="36"/>
    </row>
    <row r="69" spans="1:7" hidden="1" outlineLevel="1">
      <c r="A69" s="39" t="s">
        <v>45</v>
      </c>
    </row>
    <row r="70" spans="1:7" hidden="1" outlineLevel="1">
      <c r="A70" t="s">
        <v>37</v>
      </c>
      <c r="B70" s="18">
        <f>$G$3*(1+C$9)</f>
        <v>166380</v>
      </c>
      <c r="C70" s="18">
        <f>B70*(1+D$9)</f>
        <v>166380</v>
      </c>
      <c r="D70" s="18">
        <f>C70*(1+E$9)</f>
        <v>166380</v>
      </c>
      <c r="E70" s="18">
        <f>D70*(1+F$9)</f>
        <v>166380</v>
      </c>
      <c r="F70" s="18">
        <f>E70*(1+G$9)</f>
        <v>166380</v>
      </c>
    </row>
    <row r="71" spans="1:7" hidden="1" outlineLevel="1">
      <c r="A71" t="s">
        <v>38</v>
      </c>
      <c r="B71" s="18">
        <f>B70*C$11</f>
        <v>0</v>
      </c>
      <c r="C71" s="18">
        <f>C70*D$11</f>
        <v>0</v>
      </c>
      <c r="D71" s="18">
        <f>D70*E$11</f>
        <v>0</v>
      </c>
      <c r="E71" s="18">
        <f>E70*F$11</f>
        <v>0</v>
      </c>
      <c r="F71" s="18">
        <f>F70*G$11</f>
        <v>0</v>
      </c>
    </row>
    <row r="72" spans="1:7" hidden="1" outlineLevel="1">
      <c r="A72" t="s">
        <v>39</v>
      </c>
      <c r="B72" s="36">
        <f t="shared" ref="B72:E72" si="3">B71-(C$12*B71)</f>
        <v>0</v>
      </c>
      <c r="C72" s="36">
        <f t="shared" si="3"/>
        <v>0</v>
      </c>
      <c r="D72" s="36">
        <f t="shared" si="3"/>
        <v>0</v>
      </c>
      <c r="E72" s="36">
        <f t="shared" si="3"/>
        <v>0</v>
      </c>
      <c r="F72" s="36">
        <f>F71-(G$12*F71)</f>
        <v>0</v>
      </c>
    </row>
    <row r="73" spans="1:7" hidden="1" outlineLevel="1">
      <c r="A73" t="s">
        <v>42</v>
      </c>
      <c r="B73" s="18">
        <f ca="1">B72*EXP(-$B$5*B$42/365.25)</f>
        <v>0</v>
      </c>
      <c r="C73" s="18">
        <f ca="1">C72*EXP(-$B$5*C$42/365.25)</f>
        <v>0</v>
      </c>
      <c r="D73" s="18">
        <f ca="1">D72*EXP(-$B$5*D$42/365.25)</f>
        <v>0</v>
      </c>
      <c r="E73" s="18">
        <f ca="1">E72*EXP(-$B$5*E$42/365.25)</f>
        <v>0</v>
      </c>
      <c r="F73" s="18">
        <f ca="1">F72*EXP(-$B$5*F$42/365.25)</f>
        <v>0</v>
      </c>
      <c r="G73" s="18">
        <f ca="1">SUM(B73:F73)</f>
        <v>0</v>
      </c>
    </row>
    <row r="74" spans="1:7" hidden="1" outlineLevel="1">
      <c r="A74" t="s">
        <v>41</v>
      </c>
      <c r="F74" s="36">
        <f>((1+$D$17)/($B$5-$D$17)*(1-(((1+$D$17)/(1+$B$5))^$B$16)))</f>
        <v>3.7907867694084496</v>
      </c>
      <c r="G74" s="18">
        <f ca="1">F74*F73</f>
        <v>0</v>
      </c>
    </row>
    <row r="75" spans="1:7" hidden="1" outlineLevel="1">
      <c r="A75" t="s">
        <v>40</v>
      </c>
      <c r="B75" s="36"/>
      <c r="F75" s="18">
        <f>F72*EXP($C$17*$B$16)</f>
        <v>0</v>
      </c>
    </row>
    <row r="76" spans="1:7" hidden="1" outlineLevel="1">
      <c r="A76" t="s">
        <v>43</v>
      </c>
      <c r="F76" s="18">
        <f ca="1">F75*EXP(-$B$5*B$48/365.25)</f>
        <v>0</v>
      </c>
      <c r="G76" s="40">
        <f ca="1">F76*B$51</f>
        <v>0</v>
      </c>
    </row>
    <row r="77" spans="1:7" hidden="1" outlineLevel="1">
      <c r="A77" t="s">
        <v>44</v>
      </c>
      <c r="G77" s="18">
        <f ca="1">SUM(G73:G74,G76)</f>
        <v>0</v>
      </c>
    </row>
    <row r="78" spans="1:7" hidden="1" outlineLevel="1">
      <c r="A78" t="s">
        <v>25</v>
      </c>
      <c r="G78" s="41">
        <f ca="1">G77/$G$4</f>
        <v>0</v>
      </c>
    </row>
    <row r="79" spans="1:7" hidden="1" outlineLevel="1"/>
    <row r="80" spans="1:7" hidden="1" outlineLevel="1">
      <c r="A80" s="39" t="s">
        <v>46</v>
      </c>
    </row>
    <row r="81" spans="1:7" hidden="1" outlineLevel="1">
      <c r="A81" t="s">
        <v>37</v>
      </c>
      <c r="B81" s="18">
        <f>$G$3*(1+C$9)</f>
        <v>166380</v>
      </c>
      <c r="C81" s="18">
        <f>B81*(1+D$9)</f>
        <v>166380</v>
      </c>
      <c r="D81" s="18">
        <f>C81*(1+E$9)</f>
        <v>166380</v>
      </c>
      <c r="E81" s="18">
        <f>D81*(1+F$9)</f>
        <v>166380</v>
      </c>
      <c r="F81" s="18">
        <f>E81*(1+G$9)</f>
        <v>166380</v>
      </c>
    </row>
    <row r="82" spans="1:7" hidden="1" outlineLevel="1">
      <c r="A82" t="s">
        <v>38</v>
      </c>
      <c r="B82" s="18">
        <f>B81*C$10</f>
        <v>0</v>
      </c>
      <c r="C82" s="18">
        <f>C81*D$10</f>
        <v>0</v>
      </c>
      <c r="D82" s="18">
        <f>D81*E$10</f>
        <v>0</v>
      </c>
      <c r="E82" s="18">
        <f>E81*F$10</f>
        <v>0</v>
      </c>
      <c r="F82" s="18">
        <f>F81*G$10</f>
        <v>0</v>
      </c>
    </row>
    <row r="83" spans="1:7" hidden="1" outlineLevel="1">
      <c r="A83" t="s">
        <v>39</v>
      </c>
      <c r="B83" s="36">
        <f>B82-(C$12*B82)</f>
        <v>0</v>
      </c>
      <c r="C83" s="36">
        <f t="shared" ref="C83:F83" si="4">C82-(D$12*C82)</f>
        <v>0</v>
      </c>
      <c r="D83" s="36">
        <f t="shared" si="4"/>
        <v>0</v>
      </c>
      <c r="E83" s="36">
        <f t="shared" si="4"/>
        <v>0</v>
      </c>
      <c r="F83" s="36">
        <f t="shared" si="4"/>
        <v>0</v>
      </c>
    </row>
    <row r="84" spans="1:7" hidden="1" outlineLevel="1">
      <c r="A84" t="s">
        <v>42</v>
      </c>
      <c r="B84" s="18">
        <f ca="1">B83*EXP(-$B$5*B$42/365.25)</f>
        <v>0</v>
      </c>
      <c r="C84" s="18">
        <f ca="1">C83*EXP(-$B$5*C$42/365.25)</f>
        <v>0</v>
      </c>
      <c r="D84" s="18">
        <f ca="1">D83*EXP(-$B$5*D$42/365.25)</f>
        <v>0</v>
      </c>
      <c r="E84" s="18">
        <f ca="1">E83*EXP(-$B$5*E$42/365.25)</f>
        <v>0</v>
      </c>
      <c r="F84" s="18">
        <f ca="1">F83*EXP(-$B$5*F$42/365.25)</f>
        <v>0</v>
      </c>
      <c r="G84" s="18">
        <f ca="1">SUM(B84:F84)</f>
        <v>0</v>
      </c>
    </row>
    <row r="85" spans="1:7" hidden="1" outlineLevel="1">
      <c r="A85" t="s">
        <v>41</v>
      </c>
      <c r="F85" s="36">
        <f>((1+$D$18)/($B$5-$D$18)*(1-(((1+$D$18)/(1+$B$5))^$B$16)))</f>
        <v>3.7907867694084496</v>
      </c>
      <c r="G85" s="18">
        <f ca="1">F85*F84</f>
        <v>0</v>
      </c>
    </row>
    <row r="86" spans="1:7" hidden="1" outlineLevel="1">
      <c r="A86" t="s">
        <v>40</v>
      </c>
      <c r="B86" s="36"/>
      <c r="F86" s="18">
        <f>F83*EXP($C$18*$B$16)</f>
        <v>0</v>
      </c>
    </row>
    <row r="87" spans="1:7" hidden="1" outlineLevel="1">
      <c r="A87" t="s">
        <v>43</v>
      </c>
      <c r="F87" s="18">
        <f ca="1">F86*EXP(-$B$5*B$48/365.25)</f>
        <v>0</v>
      </c>
      <c r="G87" s="40">
        <f ca="1">F87*B$51</f>
        <v>0</v>
      </c>
    </row>
    <row r="88" spans="1:7" hidden="1" outlineLevel="1">
      <c r="A88" t="s">
        <v>44</v>
      </c>
      <c r="G88" s="18">
        <f ca="1">SUM(G84:G85,G87)</f>
        <v>0</v>
      </c>
    </row>
    <row r="89" spans="1:7" hidden="1" outlineLevel="1">
      <c r="A89" t="s">
        <v>25</v>
      </c>
      <c r="G89" s="41">
        <f ca="1">G88/$G$4</f>
        <v>0</v>
      </c>
    </row>
    <row r="90" spans="1:7" hidden="1" outlineLevel="1"/>
    <row r="91" spans="1:7" hidden="1" outlineLevel="1">
      <c r="A91" s="39" t="s">
        <v>47</v>
      </c>
    </row>
    <row r="92" spans="1:7" hidden="1" outlineLevel="1">
      <c r="A92" t="s">
        <v>37</v>
      </c>
      <c r="B92" s="18">
        <f>$G$3*(1+C$9)</f>
        <v>166380</v>
      </c>
      <c r="C92" s="18">
        <f>B92*(1+D$9)</f>
        <v>166380</v>
      </c>
      <c r="D92" s="18">
        <f>C92*(1+E$9)</f>
        <v>166380</v>
      </c>
      <c r="E92" s="18">
        <f>D92*(1+F$9)</f>
        <v>166380</v>
      </c>
      <c r="F92" s="18">
        <f>E92*(1+G$9)</f>
        <v>166380</v>
      </c>
    </row>
    <row r="93" spans="1:7" hidden="1" outlineLevel="1">
      <c r="A93" t="s">
        <v>38</v>
      </c>
      <c r="B93" s="18">
        <f>B92*C$10</f>
        <v>0</v>
      </c>
      <c r="C93" s="18">
        <f>C92*D$10</f>
        <v>0</v>
      </c>
      <c r="D93" s="18">
        <f>D92*E$10</f>
        <v>0</v>
      </c>
      <c r="E93" s="18">
        <f>E92*F$10</f>
        <v>0</v>
      </c>
      <c r="F93" s="18">
        <f>F92*G$10</f>
        <v>0</v>
      </c>
    </row>
    <row r="94" spans="1:7" hidden="1" outlineLevel="1">
      <c r="A94" t="s">
        <v>39</v>
      </c>
      <c r="B94" s="36">
        <f>B93-(C$12*B93)</f>
        <v>0</v>
      </c>
      <c r="C94" s="36">
        <f t="shared" ref="C94" si="5">C93-(D$12*C93)</f>
        <v>0</v>
      </c>
      <c r="D94" s="36">
        <f t="shared" ref="D94" si="6">D93-(E$12*D93)</f>
        <v>0</v>
      </c>
      <c r="E94" s="36">
        <f t="shared" ref="E94" si="7">E93-(F$12*E93)</f>
        <v>0</v>
      </c>
      <c r="F94" s="36">
        <f t="shared" ref="F94" si="8">F93-(G$12*F93)</f>
        <v>0</v>
      </c>
    </row>
    <row r="95" spans="1:7" hidden="1" outlineLevel="1">
      <c r="A95" t="s">
        <v>42</v>
      </c>
      <c r="B95" s="18">
        <f ca="1">B94*EXP(-$B$5*B$42/365.25)</f>
        <v>0</v>
      </c>
      <c r="C95" s="18">
        <f ca="1">C94*EXP(-$B$5*C$42/365.25)</f>
        <v>0</v>
      </c>
      <c r="D95" s="18">
        <f ca="1">D94*EXP(-$B$5*D$42/365.25)</f>
        <v>0</v>
      </c>
      <c r="E95" s="18">
        <f ca="1">E94*EXP(-$B$5*E$42/365.25)</f>
        <v>0</v>
      </c>
      <c r="F95" s="18">
        <f ca="1">F94*EXP(-$B$5*F$42/365.25)</f>
        <v>0</v>
      </c>
      <c r="G95" s="18">
        <f ca="1">SUM(B95:F95)</f>
        <v>0</v>
      </c>
    </row>
    <row r="96" spans="1:7" hidden="1" outlineLevel="1">
      <c r="A96" t="s">
        <v>41</v>
      </c>
      <c r="F96" s="36">
        <f>((1+$D$17)/($B$5-$D$17)*(1-(((1+$D$17)/(1+$B$5))^$B$16)))</f>
        <v>3.7907867694084496</v>
      </c>
      <c r="G96" s="18">
        <f ca="1">F96*F95</f>
        <v>0</v>
      </c>
    </row>
    <row r="97" spans="1:7" hidden="1" outlineLevel="1">
      <c r="A97" t="s">
        <v>40</v>
      </c>
      <c r="B97" s="36"/>
      <c r="F97" s="18">
        <f>F94*EXP($C$17*$B$16)</f>
        <v>0</v>
      </c>
    </row>
    <row r="98" spans="1:7" hidden="1" outlineLevel="1">
      <c r="A98" t="s">
        <v>43</v>
      </c>
      <c r="F98" s="18">
        <f ca="1">F97*EXP(-$B$5*B$48/365.25)</f>
        <v>0</v>
      </c>
      <c r="G98" s="40">
        <f ca="1">F98*B$51</f>
        <v>0</v>
      </c>
    </row>
    <row r="99" spans="1:7" hidden="1" outlineLevel="1">
      <c r="A99" t="s">
        <v>44</v>
      </c>
      <c r="G99" s="18">
        <f ca="1">SUM(G95:G96,G98)</f>
        <v>0</v>
      </c>
    </row>
    <row r="100" spans="1:7" hidden="1" outlineLevel="1">
      <c r="A100" t="s">
        <v>25</v>
      </c>
      <c r="G100" s="41">
        <f ca="1">G99/$G$4</f>
        <v>0</v>
      </c>
    </row>
    <row r="101" spans="1:7" hidden="1" outlineLevel="1"/>
    <row r="102" spans="1:7" hidden="1" outlineLevel="1">
      <c r="A102" s="39" t="s">
        <v>48</v>
      </c>
    </row>
    <row r="103" spans="1:7" hidden="1" outlineLevel="1">
      <c r="A103" t="s">
        <v>37</v>
      </c>
      <c r="B103" s="18">
        <f>$G$3*(1+C$8)</f>
        <v>166380</v>
      </c>
      <c r="C103" s="18">
        <f>B103*(1+D$8)</f>
        <v>166380</v>
      </c>
      <c r="D103" s="18">
        <f>C103*(1+E$8)</f>
        <v>166380</v>
      </c>
      <c r="E103" s="18">
        <f>D103*(1+F$8)</f>
        <v>166380</v>
      </c>
      <c r="F103" s="18">
        <f>E103*(1+G$8)</f>
        <v>166380</v>
      </c>
    </row>
    <row r="104" spans="1:7" hidden="1" outlineLevel="1">
      <c r="A104" t="s">
        <v>38</v>
      </c>
      <c r="B104" s="18">
        <f>B103*C$11</f>
        <v>0</v>
      </c>
      <c r="C104" s="18">
        <f>C103*D$11</f>
        <v>0</v>
      </c>
      <c r="D104" s="18">
        <f>D103*E$11</f>
        <v>0</v>
      </c>
      <c r="E104" s="18">
        <f>E103*F$11</f>
        <v>0</v>
      </c>
      <c r="F104" s="18">
        <f>F103*G$11</f>
        <v>0</v>
      </c>
    </row>
    <row r="105" spans="1:7" hidden="1" outlineLevel="1">
      <c r="A105" t="s">
        <v>39</v>
      </c>
      <c r="B105" s="36">
        <f>B104-(C$12*B104)</f>
        <v>0</v>
      </c>
      <c r="C105" s="36">
        <f t="shared" ref="C105" si="9">C104-(D$12*C104)</f>
        <v>0</v>
      </c>
      <c r="D105" s="36">
        <f t="shared" ref="D105" si="10">D104-(E$12*D104)</f>
        <v>0</v>
      </c>
      <c r="E105" s="36">
        <f t="shared" ref="E105" si="11">E104-(F$12*E104)</f>
        <v>0</v>
      </c>
      <c r="F105" s="36">
        <f t="shared" ref="F105" si="12">F104-(G$12*F104)</f>
        <v>0</v>
      </c>
    </row>
    <row r="106" spans="1:7" hidden="1" outlineLevel="1">
      <c r="A106" t="s">
        <v>42</v>
      </c>
      <c r="B106" s="18">
        <f ca="1">B105*EXP(-$B$5*B$42/365.25)</f>
        <v>0</v>
      </c>
      <c r="C106" s="18">
        <f ca="1">C105*EXP(-$B$5*C$42/365.25)</f>
        <v>0</v>
      </c>
      <c r="D106" s="18">
        <f ca="1">D105*EXP(-$B$5*D$42/365.25)</f>
        <v>0</v>
      </c>
      <c r="E106" s="18">
        <f ca="1">E105*EXP(-$B$5*E$42/365.25)</f>
        <v>0</v>
      </c>
      <c r="F106" s="18">
        <f ca="1">F105*EXP(-$B$5*F$42/365.25)</f>
        <v>0</v>
      </c>
      <c r="G106" s="18">
        <f ca="1">SUM(B106:F106)</f>
        <v>0</v>
      </c>
    </row>
    <row r="107" spans="1:7" hidden="1" outlineLevel="1">
      <c r="A107" t="s">
        <v>41</v>
      </c>
      <c r="F107" s="36">
        <f>((1+$D$18)/($B$5-$D$18)*(1-(((1+$D$18)/(1+$B$5))^$B$16)))</f>
        <v>3.7907867694084496</v>
      </c>
      <c r="G107" s="18">
        <f ca="1">F107*F106</f>
        <v>0</v>
      </c>
    </row>
    <row r="108" spans="1:7" hidden="1" outlineLevel="1">
      <c r="A108" t="s">
        <v>40</v>
      </c>
      <c r="B108" s="36"/>
      <c r="F108" s="18">
        <f>F105*EXP($C$18*$B$16)</f>
        <v>0</v>
      </c>
    </row>
    <row r="109" spans="1:7" hidden="1" outlineLevel="1">
      <c r="A109" t="s">
        <v>43</v>
      </c>
      <c r="F109" s="18">
        <f ca="1">F108*EXP(-$B$5*B$48/365.25)</f>
        <v>0</v>
      </c>
      <c r="G109" s="40">
        <f ca="1">F109*B$51</f>
        <v>0</v>
      </c>
    </row>
    <row r="110" spans="1:7" hidden="1" outlineLevel="1">
      <c r="A110" t="s">
        <v>44</v>
      </c>
      <c r="G110" s="18">
        <f ca="1">SUM(G106:G107,G109)</f>
        <v>0</v>
      </c>
    </row>
    <row r="111" spans="1:7" hidden="1" outlineLevel="1">
      <c r="A111" t="s">
        <v>25</v>
      </c>
      <c r="G111" s="41">
        <f ca="1">G110/$G$4</f>
        <v>0</v>
      </c>
    </row>
    <row r="112" spans="1:7" hidden="1" outlineLevel="1"/>
    <row r="113" spans="1:7" hidden="1" outlineLevel="1">
      <c r="A113" s="39" t="s">
        <v>49</v>
      </c>
    </row>
    <row r="114" spans="1:7" hidden="1" outlineLevel="1">
      <c r="A114" t="s">
        <v>37</v>
      </c>
      <c r="B114" s="18">
        <f>$G$3*(1+C$8)</f>
        <v>166380</v>
      </c>
      <c r="C114" s="18">
        <f>B114*(1+D$8)</f>
        <v>166380</v>
      </c>
      <c r="D114" s="18">
        <f>C114*(1+E$8)</f>
        <v>166380</v>
      </c>
      <c r="E114" s="18">
        <f>D114*(1+F$8)</f>
        <v>166380</v>
      </c>
      <c r="F114" s="18">
        <f>E114*(1+G$8)</f>
        <v>166380</v>
      </c>
    </row>
    <row r="115" spans="1:7" hidden="1" outlineLevel="1">
      <c r="A115" t="s">
        <v>38</v>
      </c>
      <c r="B115" s="18">
        <f>B114*C$11</f>
        <v>0</v>
      </c>
      <c r="C115" s="18">
        <f>C114*D$11</f>
        <v>0</v>
      </c>
      <c r="D115" s="18">
        <f>D114*E$11</f>
        <v>0</v>
      </c>
      <c r="E115" s="18">
        <f>E114*F$11</f>
        <v>0</v>
      </c>
      <c r="F115" s="18">
        <f>F114*G$11</f>
        <v>0</v>
      </c>
    </row>
    <row r="116" spans="1:7" hidden="1" outlineLevel="1">
      <c r="A116" t="s">
        <v>39</v>
      </c>
      <c r="B116" s="36">
        <f>B115-(C$12*B115)</f>
        <v>0</v>
      </c>
      <c r="C116" s="36">
        <f t="shared" ref="C116" si="13">C115-(D$12*C115)</f>
        <v>0</v>
      </c>
      <c r="D116" s="36">
        <f t="shared" ref="D116" si="14">D115-(E$12*D115)</f>
        <v>0</v>
      </c>
      <c r="E116" s="36">
        <f t="shared" ref="E116" si="15">E115-(F$12*E115)</f>
        <v>0</v>
      </c>
      <c r="F116" s="36">
        <f t="shared" ref="F116" si="16">F115-(G$12*F115)</f>
        <v>0</v>
      </c>
    </row>
    <row r="117" spans="1:7" hidden="1" outlineLevel="1">
      <c r="A117" t="s">
        <v>42</v>
      </c>
      <c r="B117" s="18">
        <f ca="1">B116*EXP(-$B$5*B$42/365.25)</f>
        <v>0</v>
      </c>
      <c r="C117" s="18">
        <f ca="1">C116*EXP(-$B$5*C$42/365.25)</f>
        <v>0</v>
      </c>
      <c r="D117" s="18">
        <f ca="1">D116*EXP(-$B$5*D$42/365.25)</f>
        <v>0</v>
      </c>
      <c r="E117" s="18">
        <f ca="1">E116*EXP(-$B$5*E$42/365.25)</f>
        <v>0</v>
      </c>
      <c r="F117" s="18">
        <f ca="1">F116*EXP(-$B$5*F$42/365.25)</f>
        <v>0</v>
      </c>
      <c r="G117" s="18">
        <f ca="1">SUM(B117:F117)</f>
        <v>0</v>
      </c>
    </row>
    <row r="118" spans="1:7" hidden="1" outlineLevel="1">
      <c r="A118" t="s">
        <v>41</v>
      </c>
      <c r="F118" s="36">
        <f>((1+$D$17)/($B$5-$D$17)*(1-(((1+$D$17)/(1+$B$5))^$B$16)))</f>
        <v>3.7907867694084496</v>
      </c>
      <c r="G118" s="18">
        <f ca="1">F118*F117</f>
        <v>0</v>
      </c>
    </row>
    <row r="119" spans="1:7" hidden="1" outlineLevel="1">
      <c r="A119" t="s">
        <v>40</v>
      </c>
      <c r="B119" s="36"/>
      <c r="F119" s="18">
        <f>F116*EXP($C$17*$B$16)</f>
        <v>0</v>
      </c>
    </row>
    <row r="120" spans="1:7" hidden="1" outlineLevel="1">
      <c r="A120" t="s">
        <v>43</v>
      </c>
      <c r="F120" s="18">
        <f ca="1">F119*EXP(-$B$5*B$48/365.25)</f>
        <v>0</v>
      </c>
      <c r="G120" s="40">
        <f ca="1">F120*B$51</f>
        <v>0</v>
      </c>
    </row>
    <row r="121" spans="1:7" hidden="1" outlineLevel="1">
      <c r="A121" t="s">
        <v>44</v>
      </c>
      <c r="G121" s="18">
        <f ca="1">SUM(G117:G118,G120)</f>
        <v>0</v>
      </c>
    </row>
    <row r="122" spans="1:7" hidden="1" outlineLevel="1">
      <c r="A122" t="s">
        <v>25</v>
      </c>
      <c r="G122" s="41">
        <f ca="1">G121/$G$4</f>
        <v>0</v>
      </c>
    </row>
    <row r="123" spans="1:7" hidden="1" outlineLevel="1"/>
    <row r="124" spans="1:7" hidden="1" outlineLevel="1">
      <c r="A124" s="39" t="s">
        <v>50</v>
      </c>
    </row>
    <row r="125" spans="1:7" hidden="1" outlineLevel="1">
      <c r="A125" t="s">
        <v>37</v>
      </c>
      <c r="B125" s="18">
        <f>$G$3*(1+C$8)</f>
        <v>166380</v>
      </c>
      <c r="C125" s="18">
        <f>B125*(1+D$8)</f>
        <v>166380</v>
      </c>
      <c r="D125" s="18">
        <f>C125*(1+E$8)</f>
        <v>166380</v>
      </c>
      <c r="E125" s="18">
        <f>D125*(1+F$8)</f>
        <v>166380</v>
      </c>
      <c r="F125" s="18">
        <f>E125*(1+G$8)</f>
        <v>166380</v>
      </c>
    </row>
    <row r="126" spans="1:7" hidden="1" outlineLevel="1">
      <c r="A126" t="s">
        <v>38</v>
      </c>
      <c r="B126" s="18">
        <f>B125*C$10</f>
        <v>0</v>
      </c>
      <c r="C126" s="18">
        <f>C125*D$10</f>
        <v>0</v>
      </c>
      <c r="D126" s="18">
        <f>D125*E$10</f>
        <v>0</v>
      </c>
      <c r="E126" s="18">
        <f>E125*F$10</f>
        <v>0</v>
      </c>
      <c r="F126" s="18">
        <f>F125*G$10</f>
        <v>0</v>
      </c>
    </row>
    <row r="127" spans="1:7" hidden="1" outlineLevel="1">
      <c r="A127" t="s">
        <v>39</v>
      </c>
      <c r="B127" s="36">
        <f>B126-(C$12*B126)</f>
        <v>0</v>
      </c>
      <c r="C127" s="36">
        <f t="shared" ref="C127" si="17">C126-(D$12*C126)</f>
        <v>0</v>
      </c>
      <c r="D127" s="36">
        <f t="shared" ref="D127" si="18">D126-(E$12*D126)</f>
        <v>0</v>
      </c>
      <c r="E127" s="36">
        <f t="shared" ref="E127" si="19">E126-(F$12*E126)</f>
        <v>0</v>
      </c>
      <c r="F127" s="36">
        <f t="shared" ref="F127" si="20">F126-(G$12*F126)</f>
        <v>0</v>
      </c>
    </row>
    <row r="128" spans="1:7" hidden="1" outlineLevel="1">
      <c r="A128" t="s">
        <v>42</v>
      </c>
      <c r="B128" s="18">
        <f ca="1">B127*EXP(-$B$5*B$42/365.25)</f>
        <v>0</v>
      </c>
      <c r="C128" s="18">
        <f ca="1">C127*EXP(-$B$5*C$42/365.25)</f>
        <v>0</v>
      </c>
      <c r="D128" s="18">
        <f ca="1">D127*EXP(-$B$5*D$42/365.25)</f>
        <v>0</v>
      </c>
      <c r="E128" s="18">
        <f ca="1">E127*EXP(-$B$5*E$42/365.25)</f>
        <v>0</v>
      </c>
      <c r="F128" s="18">
        <f ca="1">F127*EXP(-$B$5*F$42/365.25)</f>
        <v>0</v>
      </c>
      <c r="G128" s="18">
        <f ca="1">SUM(B128:F128)</f>
        <v>0</v>
      </c>
    </row>
    <row r="129" spans="1:11" hidden="1" outlineLevel="1">
      <c r="A129" t="s">
        <v>41</v>
      </c>
      <c r="F129" s="36">
        <f>((1+$D$18)/($B$5-$D$18)*(1-(((1+$D$18)/(1+$B$5))^$B$16)))</f>
        <v>3.7907867694084496</v>
      </c>
      <c r="G129" s="18">
        <f ca="1">F129*F128</f>
        <v>0</v>
      </c>
    </row>
    <row r="130" spans="1:11" hidden="1" outlineLevel="1">
      <c r="A130" t="s">
        <v>40</v>
      </c>
      <c r="B130" s="36"/>
      <c r="F130" s="18">
        <f>F127*EXP($C$18*$B$16)</f>
        <v>0</v>
      </c>
    </row>
    <row r="131" spans="1:11" hidden="1" outlineLevel="1">
      <c r="A131" t="s">
        <v>43</v>
      </c>
      <c r="F131" s="18">
        <f ca="1">F130*EXP(-$B$5*B$48/365.25)</f>
        <v>0</v>
      </c>
      <c r="G131" s="40">
        <f ca="1">F131*B$51</f>
        <v>0</v>
      </c>
    </row>
    <row r="132" spans="1:11" hidden="1" outlineLevel="1">
      <c r="A132" t="s">
        <v>44</v>
      </c>
      <c r="G132" s="18">
        <f ca="1">SUM(G128:G129,G131)</f>
        <v>0</v>
      </c>
    </row>
    <row r="133" spans="1:11" hidden="1" outlineLevel="1">
      <c r="A133" t="s">
        <v>25</v>
      </c>
      <c r="G133" s="41">
        <f ca="1">G132/$G$4</f>
        <v>0</v>
      </c>
    </row>
    <row r="134" spans="1:11" hidden="1" outlineLevel="1"/>
    <row r="135" spans="1:11" hidden="1" outlineLevel="1">
      <c r="A135" s="39" t="s">
        <v>49</v>
      </c>
    </row>
    <row r="136" spans="1:11" hidden="1" outlineLevel="1">
      <c r="A136" t="s">
        <v>37</v>
      </c>
      <c r="B136" s="18">
        <f>$G$3*(1+C$8)</f>
        <v>166380</v>
      </c>
      <c r="C136" s="18">
        <f>B136*(1+D$8)</f>
        <v>166380</v>
      </c>
      <c r="D136" s="18">
        <f>C136*(1+E$8)</f>
        <v>166380</v>
      </c>
      <c r="E136" s="18">
        <f>D136*(1+F$8)</f>
        <v>166380</v>
      </c>
      <c r="F136" s="18">
        <f>E136*(1+G$8)</f>
        <v>166380</v>
      </c>
    </row>
    <row r="137" spans="1:11" hidden="1" outlineLevel="1">
      <c r="A137" t="s">
        <v>38</v>
      </c>
      <c r="B137" s="18">
        <f>B136*C$10</f>
        <v>0</v>
      </c>
      <c r="C137" s="18">
        <f>C136*D$10</f>
        <v>0</v>
      </c>
      <c r="D137" s="18">
        <f>D136*E$10</f>
        <v>0</v>
      </c>
      <c r="E137" s="18">
        <f>E136*F$10</f>
        <v>0</v>
      </c>
      <c r="F137" s="18">
        <f>F136*G$10</f>
        <v>0</v>
      </c>
    </row>
    <row r="138" spans="1:11" hidden="1" outlineLevel="1">
      <c r="A138" t="s">
        <v>39</v>
      </c>
      <c r="B138" s="36">
        <f>B137-(C$12*B137)</f>
        <v>0</v>
      </c>
      <c r="C138" s="36">
        <f t="shared" ref="C138" si="21">C137-(D$12*C137)</f>
        <v>0</v>
      </c>
      <c r="D138" s="36">
        <f t="shared" ref="D138" si="22">D137-(E$12*D137)</f>
        <v>0</v>
      </c>
      <c r="E138" s="36">
        <f t="shared" ref="E138" si="23">E137-(F$12*E137)</f>
        <v>0</v>
      </c>
      <c r="F138" s="36">
        <f t="shared" ref="F138" si="24">F137-(G$12*F137)</f>
        <v>0</v>
      </c>
    </row>
    <row r="139" spans="1:11" hidden="1" outlineLevel="1">
      <c r="A139" t="s">
        <v>42</v>
      </c>
      <c r="B139" s="18">
        <f ca="1">B138*EXP(-$B$5*B$42/365.25)</f>
        <v>0</v>
      </c>
      <c r="C139" s="18">
        <f ca="1">C138*EXP(-$B$5*C$42/365.25)</f>
        <v>0</v>
      </c>
      <c r="D139" s="18">
        <f ca="1">D138*EXP(-$B$5*D$42/365.25)</f>
        <v>0</v>
      </c>
      <c r="E139" s="18">
        <f ca="1">E138*EXP(-$B$5*E$42/365.25)</f>
        <v>0</v>
      </c>
      <c r="F139" s="18">
        <f ca="1">F138*EXP(-$B$5*F$42/365.25)</f>
        <v>0</v>
      </c>
      <c r="G139" s="18">
        <f ca="1">SUM(B139:F139)</f>
        <v>0</v>
      </c>
      <c r="H139" s="18"/>
      <c r="I139" s="18"/>
      <c r="J139" s="18"/>
      <c r="K139" s="18"/>
    </row>
    <row r="140" spans="1:11" hidden="1" outlineLevel="1">
      <c r="A140" t="s">
        <v>41</v>
      </c>
      <c r="F140" s="36">
        <f>((1+$D$17)/($B$5-$D$17)*(1-(((1+$D$17)/(1+$B$5))^$B$16)))</f>
        <v>3.7907867694084496</v>
      </c>
      <c r="G140" s="18">
        <f ca="1">F140*F139</f>
        <v>0</v>
      </c>
    </row>
    <row r="141" spans="1:11" hidden="1" outlineLevel="1">
      <c r="A141" t="s">
        <v>40</v>
      </c>
      <c r="B141" s="36"/>
      <c r="F141" s="18">
        <f>F138*EXP($C$17*$B$16)</f>
        <v>0</v>
      </c>
    </row>
    <row r="142" spans="1:11" hidden="1" outlineLevel="1">
      <c r="A142" t="s">
        <v>43</v>
      </c>
      <c r="F142" s="18">
        <f ca="1">F141*EXP(-$B$5*B$48/365.25)</f>
        <v>0</v>
      </c>
      <c r="G142" s="40">
        <f ca="1">F142*B$51</f>
        <v>0</v>
      </c>
    </row>
    <row r="143" spans="1:11" hidden="1" outlineLevel="1">
      <c r="A143" t="s">
        <v>44</v>
      </c>
      <c r="G143" s="18">
        <f ca="1">SUM(G139:G140,G142)</f>
        <v>0</v>
      </c>
    </row>
    <row r="144" spans="1:11" hidden="1" outlineLevel="1">
      <c r="A144" t="s">
        <v>25</v>
      </c>
      <c r="G144" s="41">
        <f ca="1">G143/$G$4</f>
        <v>0</v>
      </c>
    </row>
    <row r="145" spans="11:11" hidden="1" outlineLevel="1">
      <c r="K145" s="101"/>
    </row>
    <row r="146" spans="11:11" collapsed="1"/>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disablePrompts="1"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showGridLines="0" zoomScaleNormal="100" workbookViewId="0">
      <selection activeCell="J10" sqref="J10"/>
    </sheetView>
  </sheetViews>
  <sheetFormatPr defaultRowHeight="15"/>
  <cols>
    <col min="1" max="1" width="38.7109375" bestFit="1" customWidth="1"/>
    <col min="2" max="5" width="11.7109375" customWidth="1"/>
    <col min="6" max="9" width="10.7109375" customWidth="1"/>
    <col min="10" max="10" width="41.28515625" customWidth="1"/>
    <col min="11" max="18" width="10.7109375" customWidth="1"/>
  </cols>
  <sheetData>
    <row r="1" spans="1:12" s="9" customFormat="1" ht="15.75" thickBot="1">
      <c r="A1" s="56" t="s">
        <v>128</v>
      </c>
      <c r="B1" s="58">
        <v>-7</v>
      </c>
      <c r="C1" s="58">
        <v>-6</v>
      </c>
      <c r="D1" s="58">
        <v>-5</v>
      </c>
      <c r="E1" s="58">
        <v>-4</v>
      </c>
      <c r="F1" s="58">
        <v>-3</v>
      </c>
      <c r="G1" s="58">
        <v>-2</v>
      </c>
      <c r="H1" s="58">
        <v>-1</v>
      </c>
      <c r="I1" s="58">
        <v>0</v>
      </c>
    </row>
    <row r="2" spans="1:12" ht="15.75">
      <c r="A2" s="149" t="s">
        <v>129</v>
      </c>
      <c r="B2" s="138">
        <f>DATE(YEAR('Valuation Model'!$B4)+B1,MONTH('Valuation Model'!$B4),DAY('Valuation Model'!$B4))</f>
        <v>40178</v>
      </c>
      <c r="C2" s="138">
        <f>DATE(YEAR('Valuation Model'!$B4)+C1,MONTH('Valuation Model'!$B4),DAY('Valuation Model'!$B4))</f>
        <v>40543</v>
      </c>
      <c r="D2" s="138">
        <f>DATE(YEAR('Valuation Model'!$B4)+D1,MONTH('Valuation Model'!$B4),DAY('Valuation Model'!$B4))</f>
        <v>40908</v>
      </c>
      <c r="E2" s="138">
        <f>DATE(YEAR('Valuation Model'!$B4)+E1,MONTH('Valuation Model'!$B4),DAY('Valuation Model'!$B4))</f>
        <v>41274</v>
      </c>
      <c r="F2" s="138">
        <f>DATE(YEAR('Valuation Model'!$B4)+F1,MONTH('Valuation Model'!$B4),DAY('Valuation Model'!$B4))</f>
        <v>41639</v>
      </c>
      <c r="G2" s="138">
        <f>DATE(YEAR('Valuation Model'!$B4)+G1,MONTH('Valuation Model'!$B4),DAY('Valuation Model'!$B4))</f>
        <v>42004</v>
      </c>
      <c r="H2" s="138">
        <f>DATE(YEAR('Valuation Model'!$B4)+H1,MONTH('Valuation Model'!$B4),DAY('Valuation Model'!$B4))</f>
        <v>42369</v>
      </c>
      <c r="I2" s="138">
        <f>DATE(YEAR('Valuation Model'!$B4)+I1,MONTH('Valuation Model'!$B4),DAY('Valuation Model'!$B4))</f>
        <v>42735</v>
      </c>
    </row>
    <row r="3" spans="1:12">
      <c r="A3" s="1" t="s">
        <v>37</v>
      </c>
      <c r="B3" s="102">
        <v>104589</v>
      </c>
      <c r="C3" s="102">
        <v>135592</v>
      </c>
      <c r="D3" s="102">
        <v>150276</v>
      </c>
      <c r="E3" s="102">
        <v>152256</v>
      </c>
      <c r="F3" s="102">
        <v>155427</v>
      </c>
      <c r="G3" s="102">
        <v>155929</v>
      </c>
      <c r="H3" s="102">
        <v>152356</v>
      </c>
      <c r="I3" s="102">
        <v>166380</v>
      </c>
    </row>
    <row r="4" spans="1:12">
      <c r="A4" s="103" t="s">
        <v>130</v>
      </c>
      <c r="B4" s="104" t="str">
        <f>IFERROR(B3/#REF!-1,"")</f>
        <v/>
      </c>
      <c r="C4" s="104">
        <f t="shared" ref="C4:D4" si="0">IFERROR(C3/B3-1,"")</f>
        <v>0.29642696650699407</v>
      </c>
      <c r="D4" s="104">
        <f t="shared" si="0"/>
        <v>0.10829547465927192</v>
      </c>
      <c r="E4" s="104">
        <f>IFERROR(E3/D3-1,"")</f>
        <v>1.3175756607841649E-2</v>
      </c>
      <c r="F4" s="104">
        <f t="shared" ref="F4:I4" si="1">IFERROR(F3/E3-1,"")</f>
        <v>2.0826765447667039E-2</v>
      </c>
      <c r="G4" s="159">
        <f t="shared" si="1"/>
        <v>3.2298120661147234E-3</v>
      </c>
      <c r="H4" s="104">
        <f t="shared" si="1"/>
        <v>-2.2914275086738156E-2</v>
      </c>
      <c r="I4" s="104">
        <f t="shared" si="1"/>
        <v>9.2047572790044274E-2</v>
      </c>
    </row>
    <row r="5" spans="1:12">
      <c r="A5" s="103" t="s">
        <v>131</v>
      </c>
      <c r="B5" s="103"/>
      <c r="C5" s="104">
        <f>IFERROR(SUM(B3:C3)/SUM(B3:B3)-1,"")</f>
        <v>1.2964269665069938</v>
      </c>
      <c r="D5" s="104">
        <f>IFERROR(SUM(B3:D3)/SUM(B3:C3)-1,"")</f>
        <v>0.62567813440696818</v>
      </c>
      <c r="E5" s="104">
        <f t="shared" ref="E5:I5" si="2">IFERROR(SUM(C3:E3)/SUM(B3:D3)-1,"")</f>
        <v>0.12208002417679786</v>
      </c>
      <c r="F5" s="104">
        <f t="shared" si="2"/>
        <v>4.5272571235540626E-2</v>
      </c>
      <c r="G5" s="104">
        <f t="shared" si="2"/>
        <v>1.2343899781421586E-2</v>
      </c>
      <c r="H5" s="104">
        <f t="shared" si="2"/>
        <v>2.1569760920781E-4</v>
      </c>
      <c r="I5" s="104">
        <f t="shared" si="2"/>
        <v>2.3620264301980498E-2</v>
      </c>
      <c r="J5" s="104"/>
    </row>
    <row r="6" spans="1:12">
      <c r="A6" s="103" t="s">
        <v>132</v>
      </c>
      <c r="B6" s="103"/>
      <c r="C6" s="103"/>
      <c r="D6" s="105"/>
      <c r="E6" s="104">
        <f>IFERROR(SUM(B3:E3)/SUM(B3:D3)-1,"")</f>
        <v>0.38994306671413237</v>
      </c>
      <c r="F6" s="104">
        <f>IFERROR(SUM(B3:F3)/SUM(B3:E3)-1,"")</f>
        <v>0.28638893853657454</v>
      </c>
      <c r="G6" s="131">
        <f t="shared" ref="G6:I6" si="3">IFERROR(SUM(C3:G3)/SUM(B3:F3)-1,"")</f>
        <v>7.3538258801959522E-2</v>
      </c>
      <c r="H6" s="131">
        <f t="shared" si="3"/>
        <v>2.2367508138976255E-2</v>
      </c>
      <c r="I6" s="104">
        <f t="shared" si="3"/>
        <v>2.1016804046752657E-2</v>
      </c>
      <c r="J6" s="104"/>
    </row>
    <row r="8" spans="1:12" s="9" customFormat="1" ht="15.75" thickBot="1">
      <c r="A8" s="56" t="s">
        <v>133</v>
      </c>
      <c r="B8" s="106">
        <f t="shared" ref="B8:H8" si="4">B2</f>
        <v>40178</v>
      </c>
      <c r="C8" s="106">
        <f t="shared" si="4"/>
        <v>40543</v>
      </c>
      <c r="D8" s="106">
        <f t="shared" si="4"/>
        <v>40908</v>
      </c>
      <c r="E8" s="106">
        <f t="shared" si="4"/>
        <v>41274</v>
      </c>
      <c r="F8" s="106">
        <f t="shared" si="4"/>
        <v>41639</v>
      </c>
      <c r="G8" s="106">
        <f t="shared" si="4"/>
        <v>42004</v>
      </c>
      <c r="H8" s="106">
        <f t="shared" si="4"/>
        <v>42369</v>
      </c>
      <c r="I8" s="106">
        <f>I2</f>
        <v>42735</v>
      </c>
    </row>
    <row r="9" spans="1:12">
      <c r="A9" s="107" t="s">
        <v>134</v>
      </c>
      <c r="B9" s="108">
        <v>-17239</v>
      </c>
      <c r="C9" s="108">
        <v>6780</v>
      </c>
      <c r="D9" s="108">
        <v>8166</v>
      </c>
      <c r="E9" s="108">
        <v>10605</v>
      </c>
      <c r="F9" s="108">
        <v>12630</v>
      </c>
      <c r="G9" s="108">
        <v>10058</v>
      </c>
      <c r="H9" s="108">
        <v>11691</v>
      </c>
      <c r="I9" s="108">
        <v>16545</v>
      </c>
    </row>
    <row r="10" spans="1:12">
      <c r="A10" s="107" t="s">
        <v>190</v>
      </c>
      <c r="B10" s="108">
        <v>11384</v>
      </c>
      <c r="C10" s="108">
        <v>6923</v>
      </c>
      <c r="D10" s="108">
        <v>7427</v>
      </c>
      <c r="E10" s="108">
        <v>8865</v>
      </c>
      <c r="F10" s="108">
        <v>8041</v>
      </c>
      <c r="G10" s="108">
        <v>7238</v>
      </c>
      <c r="H10" s="108">
        <v>8017</v>
      </c>
      <c r="I10" s="108">
        <v>10408</v>
      </c>
    </row>
    <row r="11" spans="1:12">
      <c r="A11" s="109" t="s">
        <v>135</v>
      </c>
      <c r="B11" s="108">
        <f>-B10*1.0272</f>
        <v>-11693.644799999998</v>
      </c>
      <c r="C11" s="108">
        <f>-C10*1.015</f>
        <v>-7026.8449999999993</v>
      </c>
      <c r="D11" s="108">
        <f>-D10*1.0296</f>
        <v>-7646.8392000000003</v>
      </c>
      <c r="E11" s="108">
        <f>-E10*1.0174</f>
        <v>-9019.2510000000002</v>
      </c>
      <c r="F11" s="108">
        <f>-F10*1.015</f>
        <v>-8161.6149999999989</v>
      </c>
      <c r="G11" s="108">
        <f>-G10*1.0076</f>
        <v>-7293.0088000000005</v>
      </c>
      <c r="H11" s="108">
        <f>-H10*1.0073</f>
        <v>-8075.5241000000005</v>
      </c>
      <c r="I11" s="108">
        <f>-I10*1.0207</f>
        <v>-10623.445599999999</v>
      </c>
    </row>
    <row r="12" spans="1:12">
      <c r="A12" s="110" t="s">
        <v>136</v>
      </c>
      <c r="B12" s="5">
        <f t="shared" ref="B12:I12" si="5">B9+B11</f>
        <v>-28932.644799999998</v>
      </c>
      <c r="C12" s="5">
        <f t="shared" si="5"/>
        <v>-246.84499999999935</v>
      </c>
      <c r="D12" s="5">
        <f t="shared" si="5"/>
        <v>519.16079999999965</v>
      </c>
      <c r="E12" s="5">
        <f t="shared" si="5"/>
        <v>1585.7489999999998</v>
      </c>
      <c r="F12" s="5">
        <f t="shared" si="5"/>
        <v>4468.3850000000011</v>
      </c>
      <c r="G12" s="5">
        <f t="shared" si="5"/>
        <v>2764.9911999999995</v>
      </c>
      <c r="H12" s="5">
        <f t="shared" si="5"/>
        <v>3615.4758999999995</v>
      </c>
      <c r="I12" s="5">
        <f t="shared" si="5"/>
        <v>5921.5544000000009</v>
      </c>
      <c r="J12" s="161"/>
    </row>
    <row r="13" spans="1:12">
      <c r="A13" s="103" t="s">
        <v>126</v>
      </c>
      <c r="B13" s="104">
        <f t="shared" ref="B13:I13" si="6">IFERROR(B12/B$3,"")</f>
        <v>-0.27663181405310311</v>
      </c>
      <c r="C13" s="104">
        <f t="shared" si="6"/>
        <v>-1.8204982594843305E-3</v>
      </c>
      <c r="D13" s="104">
        <f t="shared" si="6"/>
        <v>3.454715323804198E-3</v>
      </c>
      <c r="E13" s="104">
        <f t="shared" si="6"/>
        <v>1.0415018127364438E-2</v>
      </c>
      <c r="F13" s="104">
        <f t="shared" si="6"/>
        <v>2.8749091213238376E-2</v>
      </c>
      <c r="G13" s="104">
        <f t="shared" si="6"/>
        <v>1.7732373067229312E-2</v>
      </c>
      <c r="H13" s="104">
        <f t="shared" si="6"/>
        <v>2.3730446454356898E-2</v>
      </c>
      <c r="I13" s="104">
        <f t="shared" si="6"/>
        <v>3.5590542132467852E-2</v>
      </c>
      <c r="J13" s="95"/>
    </row>
    <row r="14" spans="1:12">
      <c r="A14" s="103" t="s">
        <v>137</v>
      </c>
      <c r="B14" s="104" t="str">
        <f>IFERROR(B12/#REF!-1,"")</f>
        <v/>
      </c>
      <c r="C14" s="104" t="s">
        <v>193</v>
      </c>
      <c r="D14" s="104">
        <f>IFERROR(-(D12/C12-1),"")</f>
        <v>3.1031853997447834</v>
      </c>
      <c r="E14" s="104">
        <f>IFERROR(E12/D12-1,"")</f>
        <v>2.0544467147750769</v>
      </c>
      <c r="F14" s="104">
        <f t="shared" ref="F14:G14" si="7">IFERROR(F12/E12-1,"")</f>
        <v>1.8178387626288912</v>
      </c>
      <c r="G14" s="104">
        <f t="shared" si="7"/>
        <v>-0.38121016877462466</v>
      </c>
      <c r="H14" s="104">
        <f t="shared" ref="H14:I14" si="8">IFERROR(H12/G12-1,"")</f>
        <v>0.30759038220447144</v>
      </c>
      <c r="I14" s="104">
        <f t="shared" si="8"/>
        <v>0.63783539533481659</v>
      </c>
      <c r="J14" s="18"/>
      <c r="K14" s="18"/>
      <c r="L14" s="18"/>
    </row>
    <row r="15" spans="1:12">
      <c r="A15" s="103" t="s">
        <v>138</v>
      </c>
      <c r="B15" s="103"/>
      <c r="C15" s="104">
        <f>IFERROR(SUM(B12:C12)/SUM(B12:B12)-1,"")</f>
        <v>8.5317122477512886E-3</v>
      </c>
      <c r="D15" s="104">
        <f>IFERROR(SUM(B12:D12)/SUM(B12:C12)-1,"")</f>
        <v>-1.7791976609543014E-2</v>
      </c>
      <c r="E15" s="104">
        <f t="shared" ref="E15:I15" si="9">IFERROR(SUM(C12:E12)/SUM(B12:D12)-1,"")</f>
        <v>-1.064830546781232</v>
      </c>
      <c r="F15" s="104">
        <f t="shared" si="9"/>
        <v>2.5377102025720526</v>
      </c>
      <c r="G15" s="104">
        <f t="shared" si="9"/>
        <v>0.34165977159582117</v>
      </c>
      <c r="H15" s="104">
        <f t="shared" si="9"/>
        <v>0.2301505936212358</v>
      </c>
      <c r="I15" s="104">
        <f t="shared" si="9"/>
        <v>0.13394683479923186</v>
      </c>
    </row>
    <row r="16" spans="1:12">
      <c r="A16" s="103" t="s">
        <v>132</v>
      </c>
      <c r="B16" s="103"/>
      <c r="C16" s="103"/>
      <c r="D16" s="104"/>
      <c r="E16" s="104">
        <f>IFERROR(SUM(B12:E12)/SUM(B12:D12)-1,"")</f>
        <v>-5.5329057806698612E-2</v>
      </c>
      <c r="F16" s="104">
        <f>IFERROR(SUM(B12:F12)/SUM(B12:E12)-1,"")</f>
        <v>-0.16503986396095538</v>
      </c>
      <c r="G16" s="104">
        <f t="shared" ref="G16:I16" si="10">IFERROR(SUM(C12:G12)/SUM(B12:F12)-1,"")</f>
        <v>-1.4021659107160671</v>
      </c>
      <c r="H16" s="104">
        <f t="shared" si="10"/>
        <v>0.42483044217082844</v>
      </c>
      <c r="I16" s="104">
        <f t="shared" si="10"/>
        <v>0.41705209974563462</v>
      </c>
    </row>
    <row r="17" spans="1:18" s="9" customFormat="1">
      <c r="A17"/>
      <c r="B17"/>
      <c r="C17"/>
      <c r="D17" s="95">
        <f>AVERAGE(B13:D13)</f>
        <v>-9.166586566292774E-2</v>
      </c>
      <c r="E17" s="95">
        <f>AVERAGE(B13:E13)</f>
        <v>-6.6145644715354696E-2</v>
      </c>
      <c r="F17" s="95">
        <f>AVERAGE(B13:F13)</f>
        <v>-4.7166697529636079E-2</v>
      </c>
      <c r="G17" s="95">
        <f>AVERAGE(C13:G13)</f>
        <v>1.1706139894430399E-2</v>
      </c>
      <c r="H17" s="95">
        <f>AVERAGE(D13:H13)</f>
        <v>1.6816328837198646E-2</v>
      </c>
      <c r="I17" s="95">
        <f t="shared" ref="I17" si="11">AVERAGE(E13:I13)</f>
        <v>2.3243494198931375E-2</v>
      </c>
    </row>
    <row r="18" spans="1:18" s="9" customFormat="1">
      <c r="A18"/>
      <c r="B18"/>
      <c r="C18"/>
      <c r="D18" s="95"/>
      <c r="E18" s="95"/>
      <c r="F18" s="95"/>
      <c r="G18" s="95"/>
      <c r="H18" s="95"/>
      <c r="I18" s="95"/>
    </row>
    <row r="19" spans="1:18" s="9" customFormat="1" ht="15.75" thickBot="1">
      <c r="A19" s="56" t="s">
        <v>139</v>
      </c>
      <c r="B19" s="106">
        <f t="shared" ref="B19:H19" si="12">B2</f>
        <v>40178</v>
      </c>
      <c r="C19" s="106">
        <f t="shared" si="12"/>
        <v>40543</v>
      </c>
      <c r="D19" s="106">
        <f t="shared" si="12"/>
        <v>40908</v>
      </c>
      <c r="E19" s="106">
        <f t="shared" si="12"/>
        <v>41274</v>
      </c>
      <c r="F19" s="106">
        <f t="shared" si="12"/>
        <v>41639</v>
      </c>
      <c r="G19" s="106">
        <f t="shared" si="12"/>
        <v>42004</v>
      </c>
      <c r="H19" s="106">
        <f t="shared" si="12"/>
        <v>42369</v>
      </c>
      <c r="I19" s="106">
        <f>I2</f>
        <v>42735</v>
      </c>
    </row>
    <row r="20" spans="1:18">
      <c r="A20" s="107" t="s">
        <v>140</v>
      </c>
      <c r="B20" s="108">
        <v>-5274</v>
      </c>
      <c r="C20" s="108">
        <v>-4012</v>
      </c>
      <c r="D20" s="108">
        <v>-6249</v>
      </c>
      <c r="E20" s="108">
        <v>-8068</v>
      </c>
      <c r="F20" s="108">
        <v>-7565</v>
      </c>
      <c r="G20" s="108">
        <v>-7091</v>
      </c>
      <c r="H20" s="108">
        <v>-7874</v>
      </c>
      <c r="I20" s="108">
        <v>-9542</v>
      </c>
      <c r="M20" s="36">
        <f t="shared" ref="M20:Q20" si="13">-M21/D3</f>
        <v>3.3425164364236475E-2</v>
      </c>
      <c r="N20" s="36">
        <f t="shared" si="13"/>
        <v>4.5705916351408152E-2</v>
      </c>
      <c r="O20" s="36">
        <f t="shared" si="13"/>
        <v>7.6486067414284514E-2</v>
      </c>
      <c r="P20" s="36">
        <f t="shared" si="13"/>
        <v>0.10901115251172008</v>
      </c>
      <c r="Q20" s="36">
        <f t="shared" si="13"/>
        <v>0.14617737404499986</v>
      </c>
      <c r="R20" s="36">
        <f>-R21/I3</f>
        <v>0.19850342589253517</v>
      </c>
    </row>
    <row r="21" spans="1:18" s="112" customFormat="1">
      <c r="A21" s="109" t="s">
        <v>177</v>
      </c>
      <c r="B21" s="111">
        <f t="shared" ref="B21:I21" si="14">B20-B11</f>
        <v>6419.6447999999982</v>
      </c>
      <c r="C21" s="111">
        <f t="shared" si="14"/>
        <v>3014.8449999999993</v>
      </c>
      <c r="D21" s="111">
        <f t="shared" si="14"/>
        <v>1397.8392000000003</v>
      </c>
      <c r="E21" s="111">
        <f t="shared" si="14"/>
        <v>951.2510000000002</v>
      </c>
      <c r="F21" s="111">
        <f t="shared" si="14"/>
        <v>596.61499999999887</v>
      </c>
      <c r="G21" s="111">
        <f t="shared" si="14"/>
        <v>202.00880000000052</v>
      </c>
      <c r="H21" s="111">
        <f t="shared" si="14"/>
        <v>201.52410000000054</v>
      </c>
      <c r="I21" s="111">
        <f t="shared" si="14"/>
        <v>1081.4455999999991</v>
      </c>
      <c r="M21" s="198">
        <f t="shared" ref="M21:Q21" si="15">M25+L27</f>
        <v>-5023</v>
      </c>
      <c r="N21" s="198">
        <f t="shared" si="15"/>
        <v>-6959</v>
      </c>
      <c r="O21" s="198">
        <f t="shared" si="15"/>
        <v>-11888</v>
      </c>
      <c r="P21" s="198">
        <f t="shared" si="15"/>
        <v>-16998</v>
      </c>
      <c r="Q21" s="198">
        <f t="shared" si="15"/>
        <v>-22271</v>
      </c>
      <c r="R21" s="198">
        <f>R25+Q27</f>
        <v>-33027</v>
      </c>
    </row>
    <row r="22" spans="1:18" s="112" customFormat="1">
      <c r="A22" s="109" t="s">
        <v>141</v>
      </c>
      <c r="B22" s="108">
        <v>0</v>
      </c>
      <c r="C22" s="108">
        <v>317</v>
      </c>
      <c r="D22" s="108">
        <v>4821</v>
      </c>
      <c r="E22" s="108">
        <v>18</v>
      </c>
      <c r="F22" s="108">
        <v>896</v>
      </c>
      <c r="G22" s="108">
        <v>0</v>
      </c>
      <c r="H22" s="108">
        <v>0</v>
      </c>
      <c r="I22" s="108">
        <v>0</v>
      </c>
      <c r="L22" s="199">
        <f t="shared" ref="L22:Q22" si="16">-L25/C3</f>
        <v>6.984187857690719E-3</v>
      </c>
      <c r="M22" s="199">
        <f t="shared" si="16"/>
        <v>3.3351965716415133E-2</v>
      </c>
      <c r="N22" s="199">
        <f t="shared" si="16"/>
        <v>4.0208596048759981E-2</v>
      </c>
      <c r="O22" s="199">
        <f t="shared" si="16"/>
        <v>6.9730484407471024E-2</v>
      </c>
      <c r="P22" s="199">
        <f t="shared" si="16"/>
        <v>9.4555855549641188E-2</v>
      </c>
      <c r="Q22" s="199">
        <f t="shared" si="16"/>
        <v>0.11482974087006748</v>
      </c>
      <c r="R22" s="199">
        <f>-R25/I3</f>
        <v>0.10739872580839044</v>
      </c>
    </row>
    <row r="23" spans="1:18" s="112" customFormat="1">
      <c r="A23" s="109" t="s">
        <v>142</v>
      </c>
      <c r="B23" s="108">
        <v>-2127</v>
      </c>
      <c r="C23" s="108">
        <v>-3042</v>
      </c>
      <c r="D23" s="108">
        <v>-53</v>
      </c>
      <c r="E23" s="108">
        <v>-44</v>
      </c>
      <c r="F23" s="108">
        <v>-2623</v>
      </c>
      <c r="G23" s="108">
        <v>-53</v>
      </c>
      <c r="H23" s="108">
        <v>-928</v>
      </c>
      <c r="I23" s="108">
        <v>-809</v>
      </c>
      <c r="J23" s="10" t="s">
        <v>245</v>
      </c>
    </row>
    <row r="24" spans="1:18">
      <c r="A24" s="107" t="s">
        <v>143</v>
      </c>
      <c r="B24" s="108">
        <v>0</v>
      </c>
      <c r="C24" s="108">
        <f>L29</f>
        <v>259</v>
      </c>
      <c r="D24" s="108">
        <f t="shared" ref="D24:I24" si="17">M29</f>
        <v>-2083</v>
      </c>
      <c r="E24" s="108">
        <f t="shared" si="17"/>
        <v>-3106</v>
      </c>
      <c r="F24" s="108">
        <f t="shared" si="17"/>
        <v>-5320</v>
      </c>
      <c r="G24" s="108">
        <f t="shared" si="17"/>
        <v>-8127</v>
      </c>
      <c r="H24" s="108">
        <f t="shared" si="17"/>
        <v>-19831</v>
      </c>
      <c r="I24" s="108">
        <f t="shared" si="17"/>
        <v>-21764</v>
      </c>
      <c r="J24" s="170" t="s">
        <v>244</v>
      </c>
      <c r="K24" s="170">
        <v>2009</v>
      </c>
      <c r="L24" s="170">
        <v>2010</v>
      </c>
      <c r="M24" s="170">
        <v>2011</v>
      </c>
      <c r="N24" s="170">
        <v>2012</v>
      </c>
      <c r="O24" s="170">
        <v>2013</v>
      </c>
      <c r="P24" s="170">
        <v>2014</v>
      </c>
      <c r="Q24" s="170">
        <v>2015</v>
      </c>
      <c r="R24" s="170">
        <v>2016</v>
      </c>
    </row>
    <row r="25" spans="1:18">
      <c r="A25" s="107" t="s">
        <v>188</v>
      </c>
      <c r="B25" s="108">
        <v>0</v>
      </c>
      <c r="C25" s="108">
        <v>0</v>
      </c>
      <c r="D25" s="108">
        <v>0</v>
      </c>
      <c r="E25" s="108">
        <v>0</v>
      </c>
      <c r="F25" s="108">
        <v>0</v>
      </c>
      <c r="G25" s="108">
        <v>0</v>
      </c>
      <c r="H25" s="108">
        <v>0</v>
      </c>
      <c r="I25" s="108">
        <v>0</v>
      </c>
      <c r="J25" s="172" t="s">
        <v>240</v>
      </c>
      <c r="K25" s="173">
        <v>0</v>
      </c>
      <c r="L25" s="173">
        <v>-947</v>
      </c>
      <c r="M25" s="173">
        <v>-5012</v>
      </c>
      <c r="N25" s="173">
        <v>-6122</v>
      </c>
      <c r="O25" s="173">
        <v>-10838</v>
      </c>
      <c r="P25" s="173">
        <v>-14744</v>
      </c>
      <c r="Q25" s="173">
        <v>-17495</v>
      </c>
      <c r="R25" s="173">
        <v>-17869</v>
      </c>
    </row>
    <row r="26" spans="1:18">
      <c r="A26" s="113" t="s">
        <v>144</v>
      </c>
      <c r="B26" s="148">
        <v>34.4033333333333</v>
      </c>
      <c r="C26" s="148">
        <v>28.286877470355702</v>
      </c>
      <c r="D26" s="148">
        <v>23.484206746031699</v>
      </c>
      <c r="E26" s="148">
        <v>33.493873517786596</v>
      </c>
      <c r="F26" s="148">
        <v>34.592450592885299</v>
      </c>
      <c r="G26" s="148">
        <v>34.323873517786602</v>
      </c>
      <c r="H26" s="148">
        <v>31.3364822134387</v>
      </c>
      <c r="I26" s="148">
        <v>35.678351063829801</v>
      </c>
      <c r="J26" s="172" t="s">
        <v>241</v>
      </c>
      <c r="K26" s="173">
        <v>0</v>
      </c>
      <c r="L26" s="173">
        <v>871</v>
      </c>
      <c r="M26" s="173">
        <v>3719</v>
      </c>
      <c r="N26" s="173">
        <v>4007</v>
      </c>
      <c r="O26" s="173">
        <v>7555</v>
      </c>
      <c r="P26" s="173">
        <v>10860</v>
      </c>
      <c r="Q26" s="173">
        <v>11726</v>
      </c>
      <c r="R26" s="173">
        <v>13172</v>
      </c>
    </row>
    <row r="27" spans="1:18">
      <c r="A27" s="114" t="s">
        <v>145</v>
      </c>
      <c r="B27" s="171">
        <v>0</v>
      </c>
      <c r="C27" s="171">
        <v>0</v>
      </c>
      <c r="D27" s="171">
        <v>1.2</v>
      </c>
      <c r="E27" s="171">
        <v>3.2</v>
      </c>
      <c r="F27" s="171">
        <v>16</v>
      </c>
      <c r="G27" s="171">
        <v>9.3000000000000007</v>
      </c>
      <c r="H27" s="171">
        <v>8.1</v>
      </c>
      <c r="I27" s="171">
        <v>8.4</v>
      </c>
      <c r="J27" s="172" t="s">
        <v>242</v>
      </c>
      <c r="K27" s="173">
        <v>0</v>
      </c>
      <c r="L27" s="173">
        <v>-11</v>
      </c>
      <c r="M27" s="173">
        <v>-837</v>
      </c>
      <c r="N27" s="173">
        <v>-1050</v>
      </c>
      <c r="O27" s="173">
        <v>-2254</v>
      </c>
      <c r="P27" s="173">
        <v>-4776</v>
      </c>
      <c r="Q27" s="173">
        <v>-15158</v>
      </c>
      <c r="R27" s="173">
        <v>-19624</v>
      </c>
    </row>
    <row r="28" spans="1:18">
      <c r="A28" s="115" t="s">
        <v>146</v>
      </c>
      <c r="B28" s="147">
        <v>0</v>
      </c>
      <c r="C28" s="147">
        <v>0</v>
      </c>
      <c r="D28" s="147">
        <v>0</v>
      </c>
      <c r="E28" s="147">
        <v>0</v>
      </c>
      <c r="F28" s="147">
        <v>0</v>
      </c>
      <c r="G28" s="147">
        <v>0</v>
      </c>
      <c r="H28" s="147">
        <v>0</v>
      </c>
      <c r="I28" s="147">
        <v>0</v>
      </c>
      <c r="J28" s="172" t="s">
        <v>243</v>
      </c>
      <c r="K28" s="173">
        <v>0</v>
      </c>
      <c r="L28" s="173">
        <v>346</v>
      </c>
      <c r="M28" s="173">
        <v>47</v>
      </c>
      <c r="N28" s="173">
        <v>59</v>
      </c>
      <c r="O28" s="173">
        <v>217</v>
      </c>
      <c r="P28" s="173">
        <v>533</v>
      </c>
      <c r="Q28" s="173">
        <v>1096</v>
      </c>
      <c r="R28" s="173">
        <v>2557</v>
      </c>
    </row>
    <row r="29" spans="1:18">
      <c r="A29" s="107" t="s">
        <v>147</v>
      </c>
      <c r="B29" s="116">
        <f t="shared" ref="B29:C29" si="18">-B26*B27+B28</f>
        <v>0</v>
      </c>
      <c r="C29" s="116">
        <f t="shared" si="18"/>
        <v>0</v>
      </c>
      <c r="D29" s="116">
        <f>-D26*D27+D28</f>
        <v>-28.181048095238037</v>
      </c>
      <c r="E29" s="116">
        <f t="shared" ref="E29:I29" si="19">-E26*E27+E28</f>
        <v>-107.18039525691711</v>
      </c>
      <c r="F29" s="116">
        <f t="shared" si="19"/>
        <v>-553.47920948616479</v>
      </c>
      <c r="G29" s="116">
        <f t="shared" si="19"/>
        <v>-319.2120237154154</v>
      </c>
      <c r="H29" s="116">
        <f t="shared" si="19"/>
        <v>-253.82550592885346</v>
      </c>
      <c r="I29" s="116">
        <f t="shared" si="19"/>
        <v>-299.69814893617036</v>
      </c>
      <c r="J29" s="170" t="s">
        <v>8</v>
      </c>
      <c r="K29" s="174">
        <f t="shared" ref="K29:R29" si="20">SUM(K25:K28)</f>
        <v>0</v>
      </c>
      <c r="L29" s="174">
        <f t="shared" si="20"/>
        <v>259</v>
      </c>
      <c r="M29" s="174">
        <f t="shared" si="20"/>
        <v>-2083</v>
      </c>
      <c r="N29" s="174">
        <f t="shared" si="20"/>
        <v>-3106</v>
      </c>
      <c r="O29" s="174">
        <f t="shared" si="20"/>
        <v>-5320</v>
      </c>
      <c r="P29" s="174">
        <f t="shared" si="20"/>
        <v>-8127</v>
      </c>
      <c r="Q29" s="174">
        <f t="shared" si="20"/>
        <v>-19831</v>
      </c>
      <c r="R29" s="174">
        <f t="shared" si="20"/>
        <v>-21764</v>
      </c>
    </row>
    <row r="30" spans="1:18">
      <c r="A30" s="1" t="s">
        <v>148</v>
      </c>
      <c r="B30" s="5">
        <f t="shared" ref="B30:I30" si="21">B21+B22+B23+B24+B25+B29</f>
        <v>4292.6447999999982</v>
      </c>
      <c r="C30" s="5">
        <f t="shared" si="21"/>
        <v>548.84499999999935</v>
      </c>
      <c r="D30" s="5">
        <f t="shared" si="21"/>
        <v>4054.6581519047622</v>
      </c>
      <c r="E30" s="5">
        <f t="shared" si="21"/>
        <v>-2287.9293952569169</v>
      </c>
      <c r="F30" s="5">
        <f t="shared" si="21"/>
        <v>-7003.8642094861661</v>
      </c>
      <c r="G30" s="5">
        <f t="shared" si="21"/>
        <v>-8297.2032237154144</v>
      </c>
      <c r="H30" s="5">
        <f t="shared" si="21"/>
        <v>-20811.301405928851</v>
      </c>
      <c r="I30" s="5">
        <f t="shared" si="21"/>
        <v>-21791.252548936172</v>
      </c>
    </row>
    <row r="31" spans="1:18">
      <c r="A31" s="103" t="s">
        <v>149</v>
      </c>
      <c r="B31" s="104">
        <f t="shared" ref="B31:I31" si="22">IFERROR(-B30/B12,"")</f>
        <v>0.14836683025949976</v>
      </c>
      <c r="C31" s="104">
        <f t="shared" si="22"/>
        <v>2.2234398104073438</v>
      </c>
      <c r="D31" s="104">
        <f t="shared" si="22"/>
        <v>-7.81002369960283</v>
      </c>
      <c r="E31" s="104">
        <f t="shared" si="22"/>
        <v>1.4428067715993622</v>
      </c>
      <c r="F31" s="104">
        <f t="shared" si="22"/>
        <v>1.567426309390566</v>
      </c>
      <c r="G31" s="104">
        <f t="shared" si="22"/>
        <v>3.0008063764236992</v>
      </c>
      <c r="H31" s="104">
        <f t="shared" si="22"/>
        <v>5.7561720729292798</v>
      </c>
      <c r="I31" s="104">
        <f t="shared" si="22"/>
        <v>3.6799885768061453</v>
      </c>
      <c r="J31" s="95"/>
    </row>
    <row r="33" spans="1:9" s="9" customFormat="1" ht="15.75" thickBot="1">
      <c r="A33" s="56" t="s">
        <v>150</v>
      </c>
      <c r="B33" s="106">
        <f t="shared" ref="B33:H33" si="23">B2</f>
        <v>40178</v>
      </c>
      <c r="C33" s="106">
        <f t="shared" si="23"/>
        <v>40543</v>
      </c>
      <c r="D33" s="106">
        <f t="shared" si="23"/>
        <v>40908</v>
      </c>
      <c r="E33" s="106">
        <f t="shared" si="23"/>
        <v>41274</v>
      </c>
      <c r="F33" s="106">
        <f t="shared" si="23"/>
        <v>41639</v>
      </c>
      <c r="G33" s="106">
        <f t="shared" si="23"/>
        <v>42004</v>
      </c>
      <c r="H33" s="106">
        <f t="shared" si="23"/>
        <v>42369</v>
      </c>
      <c r="I33" s="106">
        <f>I2</f>
        <v>42735</v>
      </c>
    </row>
    <row r="34" spans="1:9" ht="15.75" thickBot="1">
      <c r="A34" s="117" t="s">
        <v>151</v>
      </c>
      <c r="B34" s="4">
        <f t="shared" ref="B34:I34" si="24">B12+B30</f>
        <v>-24640</v>
      </c>
      <c r="C34" s="4">
        <f t="shared" si="24"/>
        <v>302</v>
      </c>
      <c r="D34" s="4">
        <f t="shared" si="24"/>
        <v>4573.8189519047619</v>
      </c>
      <c r="E34" s="4">
        <f t="shared" si="24"/>
        <v>-702.18039525691711</v>
      </c>
      <c r="F34" s="4">
        <f t="shared" si="24"/>
        <v>-2535.479209486165</v>
      </c>
      <c r="G34" s="4">
        <f t="shared" si="24"/>
        <v>-5532.2120237154149</v>
      </c>
      <c r="H34" s="4">
        <f t="shared" si="24"/>
        <v>-17195.825505928849</v>
      </c>
      <c r="I34" s="4">
        <f t="shared" si="24"/>
        <v>-15869.698148936171</v>
      </c>
    </row>
    <row r="35" spans="1:9" ht="15.75" thickTop="1">
      <c r="A35" s="103" t="s">
        <v>127</v>
      </c>
      <c r="B35" s="104">
        <f t="shared" ref="B35:I35" si="25">IFERROR(B34/B$3,"")</f>
        <v>-0.23558882865310884</v>
      </c>
      <c r="C35" s="104">
        <f t="shared" si="25"/>
        <v>2.2272700454304089E-3</v>
      </c>
      <c r="D35" s="104">
        <f t="shared" si="25"/>
        <v>3.043612387809605E-2</v>
      </c>
      <c r="E35" s="104">
        <f t="shared" si="25"/>
        <v>-4.6118405531270831E-3</v>
      </c>
      <c r="F35" s="104">
        <f t="shared" si="25"/>
        <v>-1.6312990725460601E-2</v>
      </c>
      <c r="G35" s="104">
        <f t="shared" si="25"/>
        <v>-3.5479045102036276E-2</v>
      </c>
      <c r="H35" s="104">
        <f t="shared" si="25"/>
        <v>-0.11286608670435591</v>
      </c>
      <c r="I35" s="104">
        <f t="shared" si="25"/>
        <v>-9.538224635735168E-2</v>
      </c>
    </row>
    <row r="36" spans="1:9">
      <c r="A36" s="103" t="s">
        <v>137</v>
      </c>
      <c r="B36" s="104" t="str">
        <f>IFERROR(B34/#REF!-1,"")</f>
        <v/>
      </c>
      <c r="C36" s="104">
        <f t="shared" ref="C36:D36" si="26">IFERROR(C34/B34-1,"")</f>
        <v>-1.0122564935064935</v>
      </c>
      <c r="D36" s="104">
        <f t="shared" si="26"/>
        <v>14.145095867234311</v>
      </c>
      <c r="E36" s="104">
        <f>IFERROR(E34/D34-1,"")</f>
        <v>-1.1535216856287009</v>
      </c>
      <c r="F36" s="104">
        <f t="shared" ref="F36:I36" si="27">IFERROR(F34/E34-1,"")</f>
        <v>2.6108658495919297</v>
      </c>
      <c r="G36" s="104">
        <f t="shared" si="27"/>
        <v>1.1819196951082716</v>
      </c>
      <c r="H36" s="104">
        <f t="shared" si="27"/>
        <v>2.1083091957094209</v>
      </c>
      <c r="I36" s="104">
        <f t="shared" si="27"/>
        <v>-7.7119144791010452E-2</v>
      </c>
    </row>
    <row r="37" spans="1:9">
      <c r="A37" s="103" t="s">
        <v>138</v>
      </c>
      <c r="B37" s="103"/>
      <c r="C37" s="104">
        <f>IFERROR(SUM(B34:C34)/SUM(B34:B34)-1,"")</f>
        <v>-1.2256493506493493E-2</v>
      </c>
      <c r="D37" s="104">
        <f>IFERROR(SUM(B34:D34)/SUM(B34:C34)-1,"")</f>
        <v>-0.18792912120571792</v>
      </c>
      <c r="E37" s="104">
        <f t="shared" ref="E37:I37" si="28">IFERROR(SUM(C34:E34)/SUM(B34:D34)-1,"")</f>
        <v>-1.2111718439783306</v>
      </c>
      <c r="F37" s="104">
        <f t="shared" si="28"/>
        <v>-0.67985743637684637</v>
      </c>
      <c r="G37" s="104">
        <f t="shared" si="28"/>
        <v>-7.5634923312760485</v>
      </c>
      <c r="H37" s="104">
        <f t="shared" si="28"/>
        <v>1.8807168233967708</v>
      </c>
      <c r="I37" s="104">
        <f t="shared" si="28"/>
        <v>0.52780533593712864</v>
      </c>
    </row>
    <row r="38" spans="1:9">
      <c r="A38" s="103" t="s">
        <v>132</v>
      </c>
      <c r="B38" s="103"/>
      <c r="C38" s="103"/>
      <c r="D38" s="104"/>
      <c r="E38" s="104">
        <f>IFERROR(SUM(B34:E34)/SUM(B34:D34)-1,"")</f>
        <v>3.5527927696482386E-2</v>
      </c>
      <c r="F38" s="104">
        <f>IFERROR(SUM(B34:F34)/SUM(B34:E34)-1,"")</f>
        <v>0.12388519652132568</v>
      </c>
      <c r="G38" s="104">
        <f t="shared" ref="G38:I38" si="29">IFERROR(SUM(C34:G34)/SUM(B34:F34)-1,"")</f>
        <v>-0.83070691014141829</v>
      </c>
      <c r="H38" s="104">
        <f t="shared" si="29"/>
        <v>4.4934742694376064</v>
      </c>
      <c r="I38" s="104">
        <f t="shared" si="29"/>
        <v>0.95566723624958505</v>
      </c>
    </row>
    <row r="40" spans="1:9" s="9" customFormat="1" ht="15.75" thickBot="1">
      <c r="A40" s="56" t="s">
        <v>152</v>
      </c>
      <c r="B40" s="118">
        <f t="shared" ref="B40:C40" si="30">B2</f>
        <v>40178</v>
      </c>
      <c r="C40" s="118">
        <f t="shared" si="30"/>
        <v>40543</v>
      </c>
      <c r="D40" s="118">
        <f>D2</f>
        <v>40908</v>
      </c>
      <c r="E40" s="118">
        <f t="shared" ref="E40:I40" si="31">E2</f>
        <v>41274</v>
      </c>
      <c r="F40" s="118">
        <f t="shared" si="31"/>
        <v>41639</v>
      </c>
      <c r="G40" s="118">
        <f t="shared" si="31"/>
        <v>42004</v>
      </c>
      <c r="H40" s="118">
        <f t="shared" si="31"/>
        <v>42369</v>
      </c>
      <c r="I40" s="118">
        <f t="shared" si="31"/>
        <v>42735</v>
      </c>
    </row>
    <row r="41" spans="1:9" s="112" customFormat="1" ht="15.75" thickBot="1">
      <c r="A41" s="119" t="s">
        <v>153</v>
      </c>
      <c r="B41" s="120">
        <f>VLOOKUP(B40,'GDP Data'!$A$2:$B$71,2,TRUE)</f>
        <v>14566.5</v>
      </c>
      <c r="C41" s="120">
        <f>VLOOKUP(C40,'GDP Data'!$A$2:$B$71,2,TRUE)</f>
        <v>15230.2</v>
      </c>
      <c r="D41" s="120">
        <f>VLOOKUP(D40,'GDP Data'!$A$2:$B$71,2,TRUE)</f>
        <v>15785.3</v>
      </c>
      <c r="E41" s="120">
        <f>VLOOKUP(E40,'GDP Data'!$A$2:$B$71,2,TRUE)</f>
        <v>16332.5</v>
      </c>
      <c r="F41" s="120">
        <f>VLOOKUP(F40,'GDP Data'!$A$2:$B$71,2,TRUE)</f>
        <v>17078.3</v>
      </c>
      <c r="G41" s="120">
        <f>VLOOKUP(G40,'GDP Data'!$A$2:$B$71,2,TRUE)</f>
        <v>17703.7</v>
      </c>
      <c r="H41" s="120">
        <f>VLOOKUP(H40,'GDP Data'!$A$2:$B$71,2,TRUE)</f>
        <v>18164.8</v>
      </c>
      <c r="I41" s="120">
        <f>VLOOKUP(I40,'GDP Data'!$A$2:$B$71,2,TRUE)</f>
        <v>18869.400000000001</v>
      </c>
    </row>
    <row r="42" spans="1:9">
      <c r="A42" t="s">
        <v>154</v>
      </c>
      <c r="B42" s="121"/>
      <c r="C42" s="121">
        <f t="shared" ref="C42:D42" si="32">C41/B41-1</f>
        <v>4.5563450382727577E-2</v>
      </c>
      <c r="D42" s="121">
        <f t="shared" si="32"/>
        <v>3.6447321768591223E-2</v>
      </c>
      <c r="E42" s="121">
        <f>E41/D41-1</f>
        <v>3.4665163158128287E-2</v>
      </c>
      <c r="F42" s="121">
        <f t="shared" ref="F42:I42" si="33">F41/E41-1</f>
        <v>4.5663554262972639E-2</v>
      </c>
      <c r="G42" s="121">
        <f t="shared" si="33"/>
        <v>3.6619569863511003E-2</v>
      </c>
      <c r="H42" s="121">
        <f t="shared" si="33"/>
        <v>2.6045402938368767E-2</v>
      </c>
      <c r="I42" s="121">
        <f t="shared" si="33"/>
        <v>3.8789306791156664E-2</v>
      </c>
    </row>
    <row r="43" spans="1:9">
      <c r="A43" s="122" t="s">
        <v>155</v>
      </c>
      <c r="B43" s="123" t="str">
        <f t="shared" ref="B43:D43" si="34">B14</f>
        <v/>
      </c>
      <c r="C43" s="123" t="str">
        <f t="shared" si="34"/>
        <v>NM</v>
      </c>
      <c r="D43" s="123">
        <f t="shared" si="34"/>
        <v>3.1031853997447834</v>
      </c>
      <c r="E43" s="123">
        <f>E14</f>
        <v>2.0544467147750769</v>
      </c>
      <c r="F43" s="123">
        <f t="shared" ref="F43:I43" si="35">F14</f>
        <v>1.8178387626288912</v>
      </c>
      <c r="G43" s="123">
        <f t="shared" si="35"/>
        <v>-0.38121016877462466</v>
      </c>
      <c r="H43" s="123">
        <f t="shared" si="35"/>
        <v>0.30759038220447144</v>
      </c>
      <c r="I43" s="123">
        <f t="shared" si="35"/>
        <v>0.63783539533481659</v>
      </c>
    </row>
    <row r="44" spans="1:9">
      <c r="A44" t="s">
        <v>156</v>
      </c>
      <c r="B44" s="124"/>
      <c r="C44" s="124"/>
      <c r="D44" s="124"/>
      <c r="E44" s="124">
        <f t="shared" ref="E44:H44" si="36">SUM(C41:E41)/SUM(B41:D41)-1</f>
        <v>3.8743363608441994E-2</v>
      </c>
      <c r="F44" s="124">
        <f t="shared" si="36"/>
        <v>3.9032271690462084E-2</v>
      </c>
      <c r="G44" s="124">
        <f t="shared" si="36"/>
        <v>3.8994960982679627E-2</v>
      </c>
      <c r="H44" s="124">
        <f t="shared" si="36"/>
        <v>3.5846971016052276E-2</v>
      </c>
      <c r="I44" s="124">
        <f>SUM(G41:I41)/SUM(F41:H41)-1</f>
        <v>3.3828295572159162E-2</v>
      </c>
    </row>
    <row r="45" spans="1:9">
      <c r="A45" s="122" t="s">
        <v>157</v>
      </c>
      <c r="B45" s="123"/>
      <c r="C45" s="123"/>
      <c r="D45" s="123"/>
      <c r="E45" s="123">
        <f t="shared" ref="E45:H45" si="37">E15</f>
        <v>-1.064830546781232</v>
      </c>
      <c r="F45" s="123">
        <f t="shared" si="37"/>
        <v>2.5377102025720526</v>
      </c>
      <c r="G45" s="123">
        <f t="shared" si="37"/>
        <v>0.34165977159582117</v>
      </c>
      <c r="H45" s="123">
        <f t="shared" si="37"/>
        <v>0.2301505936212358</v>
      </c>
      <c r="I45" s="123">
        <f>I15</f>
        <v>0.13394683479923186</v>
      </c>
    </row>
    <row r="46" spans="1:9">
      <c r="A46" t="s">
        <v>158</v>
      </c>
      <c r="E46" s="124"/>
      <c r="F46" s="124"/>
      <c r="G46" s="124">
        <f t="shared" ref="G46:H46" si="38">SUM(C41:G41)/SUM(B41:F41)-1</f>
        <v>3.9715012001093841E-2</v>
      </c>
      <c r="H46" s="124">
        <f t="shared" si="38"/>
        <v>3.5731157920370293E-2</v>
      </c>
      <c r="I46" s="124">
        <f>SUM(E41:I41)/SUM(D41:H41)-1</f>
        <v>3.625597487086285E-2</v>
      </c>
    </row>
    <row r="47" spans="1:9">
      <c r="A47" s="122" t="s">
        <v>159</v>
      </c>
      <c r="B47" s="122"/>
      <c r="C47" s="123"/>
      <c r="D47" s="123"/>
      <c r="E47" s="123"/>
      <c r="F47" s="123"/>
      <c r="G47" s="123">
        <f t="shared" ref="G47:H47" si="39">G16</f>
        <v>-1.4021659107160671</v>
      </c>
      <c r="H47" s="123">
        <f t="shared" si="39"/>
        <v>0.42483044217082844</v>
      </c>
      <c r="I47" s="123">
        <f>I16</f>
        <v>0.41705209974563462</v>
      </c>
    </row>
    <row r="48" spans="1:9">
      <c r="I48" s="162"/>
    </row>
  </sheetData>
  <pageMargins left="0.7" right="0.7" top="0.75" bottom="0.75" header="0.3" footer="0.3"/>
  <pageSetup orientation="portrait" r:id="rId1"/>
  <ignoredErrors>
    <ignoredError sqref="B19:I19 B13:I13 B12:I12 B29:I29 B11:I11 B17:E17 I17 B21:I21 B15:I16 B14 H14:I14 E14" unlockedFormula="1"/>
    <ignoredError sqref="C5 K29:R29"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6"/>
  <sheetViews>
    <sheetView showGridLines="0" workbookViewId="0">
      <pane xSplit="1" ySplit="1" topLeftCell="B2" activePane="bottomRight" state="frozen"/>
      <selection pane="topRight" activeCell="B1" sqref="B1"/>
      <selection pane="bottomLeft" activeCell="A2" sqref="A2"/>
      <selection pane="bottomRight" activeCell="B2" sqref="B2"/>
    </sheetView>
  </sheetViews>
  <sheetFormatPr defaultRowHeight="15" outlineLevelRow="1"/>
  <cols>
    <col min="1" max="1" width="43.42578125" bestFit="1" customWidth="1"/>
    <col min="2" max="9" width="12.5703125" bestFit="1" customWidth="1"/>
    <col min="10" max="14" width="10.5703125" bestFit="1" customWidth="1"/>
  </cols>
  <sheetData>
    <row r="1" spans="1:14">
      <c r="B1" s="138">
        <f>'Company Analysis'!B2</f>
        <v>40178</v>
      </c>
      <c r="C1" s="138">
        <f>'Company Analysis'!C2</f>
        <v>40543</v>
      </c>
      <c r="D1" s="138">
        <f>'Company Analysis'!D2</f>
        <v>40908</v>
      </c>
      <c r="E1" s="138">
        <f>'Company Analysis'!E2</f>
        <v>41274</v>
      </c>
      <c r="F1" s="138">
        <f>'Company Analysis'!F2</f>
        <v>41639</v>
      </c>
      <c r="G1" s="138">
        <f>'Company Analysis'!G2</f>
        <v>42004</v>
      </c>
      <c r="H1" s="138">
        <f>'Company Analysis'!H2</f>
        <v>42369</v>
      </c>
      <c r="I1" s="138">
        <f>'Company Analysis'!I2</f>
        <v>42735</v>
      </c>
      <c r="J1" s="141">
        <v>43374</v>
      </c>
      <c r="K1" s="141">
        <v>43739</v>
      </c>
      <c r="L1" s="141">
        <v>44105</v>
      </c>
      <c r="M1" s="141">
        <v>44470</v>
      </c>
      <c r="N1" s="141">
        <v>44835</v>
      </c>
    </row>
    <row r="2" spans="1:14">
      <c r="A2" s="133" t="s">
        <v>195</v>
      </c>
      <c r="B2" s="133"/>
      <c r="C2" s="133"/>
      <c r="D2" s="133"/>
      <c r="E2" s="133"/>
      <c r="F2" s="133"/>
      <c r="G2" s="133"/>
      <c r="H2" s="133"/>
      <c r="I2" s="133"/>
      <c r="J2" s="133"/>
      <c r="K2" s="133"/>
      <c r="L2" s="133"/>
      <c r="M2" s="133"/>
      <c r="N2" s="133"/>
    </row>
    <row r="3" spans="1:14">
      <c r="A3" s="10" t="s">
        <v>191</v>
      </c>
      <c r="B3" s="135">
        <v>104589</v>
      </c>
      <c r="C3" s="135">
        <v>135592</v>
      </c>
      <c r="D3" s="135">
        <v>150276</v>
      </c>
      <c r="E3" s="135">
        <v>152256</v>
      </c>
      <c r="F3" s="135">
        <v>155427</v>
      </c>
      <c r="G3" s="135">
        <v>155929</v>
      </c>
      <c r="H3" s="135">
        <v>152356</v>
      </c>
      <c r="I3" s="135">
        <v>166380</v>
      </c>
      <c r="J3" s="145"/>
      <c r="K3" s="145"/>
      <c r="L3" s="145"/>
      <c r="M3" s="145"/>
      <c r="N3" s="143"/>
    </row>
    <row r="4" spans="1:14">
      <c r="A4" s="164" t="s">
        <v>208</v>
      </c>
      <c r="B4" s="135">
        <v>104589</v>
      </c>
      <c r="C4" s="135">
        <v>135311</v>
      </c>
      <c r="D4" s="135">
        <v>148866</v>
      </c>
      <c r="E4" s="135">
        <v>150295</v>
      </c>
      <c r="F4" s="135">
        <v>152092</v>
      </c>
      <c r="G4" s="135">
        <v>151092</v>
      </c>
      <c r="H4" s="135">
        <v>145922</v>
      </c>
      <c r="I4" s="135">
        <v>156849</v>
      </c>
      <c r="J4" s="135"/>
      <c r="K4" s="157"/>
      <c r="L4" s="157"/>
      <c r="M4" s="157"/>
      <c r="N4" s="157"/>
    </row>
    <row r="5" spans="1:14">
      <c r="A5" s="163" t="s">
        <v>209</v>
      </c>
      <c r="B5" s="155">
        <v>0</v>
      </c>
      <c r="C5" s="155">
        <v>0</v>
      </c>
      <c r="D5" s="155">
        <v>90233</v>
      </c>
      <c r="E5" s="155">
        <v>89912</v>
      </c>
      <c r="F5" s="155">
        <v>95091</v>
      </c>
      <c r="G5" s="155">
        <v>101199</v>
      </c>
      <c r="H5" s="155">
        <v>106622</v>
      </c>
      <c r="I5" s="155">
        <v>119022</v>
      </c>
      <c r="J5" s="157"/>
      <c r="K5" s="157"/>
      <c r="L5" s="157"/>
      <c r="M5" s="157"/>
      <c r="N5" s="157"/>
    </row>
    <row r="6" spans="1:14">
      <c r="A6" s="163" t="s">
        <v>210</v>
      </c>
      <c r="B6" s="155">
        <v>0</v>
      </c>
      <c r="C6" s="155">
        <v>0</v>
      </c>
      <c r="D6" s="155">
        <v>26757</v>
      </c>
      <c r="E6" s="155">
        <v>20689</v>
      </c>
      <c r="F6" s="155">
        <v>21962</v>
      </c>
      <c r="G6" s="155">
        <v>22235</v>
      </c>
      <c r="H6" s="155">
        <v>18704</v>
      </c>
      <c r="I6" s="155">
        <v>18707</v>
      </c>
      <c r="J6" s="135"/>
      <c r="K6" s="135"/>
      <c r="L6" s="135"/>
      <c r="M6" s="135"/>
      <c r="N6" s="135"/>
    </row>
    <row r="7" spans="1:14">
      <c r="A7" s="163" t="s">
        <v>211</v>
      </c>
      <c r="B7" s="155">
        <v>0</v>
      </c>
      <c r="C7" s="155">
        <v>0</v>
      </c>
      <c r="D7" s="155">
        <v>24761</v>
      </c>
      <c r="E7" s="155">
        <v>22954</v>
      </c>
      <c r="F7" s="155">
        <v>18411</v>
      </c>
      <c r="G7" s="155">
        <v>14392</v>
      </c>
      <c r="H7" s="155">
        <v>12626</v>
      </c>
      <c r="I7" s="155">
        <v>11749</v>
      </c>
      <c r="J7" s="135"/>
      <c r="K7" s="135"/>
      <c r="L7" s="135"/>
      <c r="M7" s="135"/>
      <c r="N7" s="135"/>
    </row>
    <row r="8" spans="1:14">
      <c r="A8" s="163" t="s">
        <v>212</v>
      </c>
      <c r="B8" s="17">
        <v>0</v>
      </c>
      <c r="C8" s="17">
        <v>0</v>
      </c>
      <c r="D8" s="17">
        <v>16877</v>
      </c>
      <c r="E8" s="17">
        <v>16700</v>
      </c>
      <c r="F8" s="17">
        <v>16478</v>
      </c>
      <c r="G8" s="17">
        <v>13115</v>
      </c>
      <c r="H8" s="17">
        <v>7820</v>
      </c>
      <c r="I8" s="17">
        <v>7223</v>
      </c>
      <c r="J8" s="17"/>
      <c r="K8" s="17"/>
      <c r="L8" s="17"/>
      <c r="M8" s="17"/>
      <c r="N8" s="17"/>
    </row>
    <row r="9" spans="1:14">
      <c r="A9" s="163" t="s">
        <v>213</v>
      </c>
      <c r="B9" s="17">
        <v>0</v>
      </c>
      <c r="C9" s="17">
        <v>0</v>
      </c>
      <c r="D9" s="17">
        <v>61</v>
      </c>
      <c r="E9" s="17">
        <v>40</v>
      </c>
      <c r="F9" s="17">
        <v>150</v>
      </c>
      <c r="G9" s="17">
        <v>151</v>
      </c>
      <c r="H9" s="17">
        <v>150</v>
      </c>
      <c r="I9" s="17">
        <v>148</v>
      </c>
      <c r="J9" s="17"/>
      <c r="K9" s="17"/>
      <c r="L9" s="17"/>
      <c r="M9" s="17"/>
      <c r="N9" s="17"/>
    </row>
    <row r="10" spans="1:14">
      <c r="A10" s="164" t="s">
        <v>214</v>
      </c>
      <c r="B10" s="135">
        <v>0</v>
      </c>
      <c r="C10" s="135">
        <v>281</v>
      </c>
      <c r="D10" s="135">
        <v>1410</v>
      </c>
      <c r="E10" s="135">
        <v>1961</v>
      </c>
      <c r="F10" s="135">
        <v>3344</v>
      </c>
      <c r="G10" s="135">
        <v>4854</v>
      </c>
      <c r="H10" s="135">
        <v>6454</v>
      </c>
      <c r="I10" s="135">
        <v>9558</v>
      </c>
      <c r="J10" s="17"/>
      <c r="K10" s="17"/>
      <c r="L10" s="17"/>
      <c r="M10" s="17"/>
      <c r="N10" s="17"/>
    </row>
    <row r="11" spans="1:14">
      <c r="A11" s="163" t="s">
        <v>215</v>
      </c>
      <c r="B11" s="17">
        <v>0</v>
      </c>
      <c r="C11" s="17">
        <v>0</v>
      </c>
      <c r="D11" s="17">
        <v>-9823</v>
      </c>
      <c r="E11" s="17">
        <v>0</v>
      </c>
      <c r="F11" s="17">
        <v>-9</v>
      </c>
      <c r="G11" s="17">
        <v>-17</v>
      </c>
      <c r="H11" s="17">
        <v>-20</v>
      </c>
      <c r="I11" s="17">
        <v>-27</v>
      </c>
      <c r="J11" s="17"/>
      <c r="K11" s="17"/>
      <c r="L11" s="17"/>
      <c r="M11" s="17"/>
      <c r="N11" s="17"/>
    </row>
    <row r="12" spans="1:14">
      <c r="A12" s="137"/>
      <c r="B12" s="17"/>
      <c r="C12" s="17"/>
      <c r="D12" s="17"/>
      <c r="E12" s="17"/>
      <c r="F12" s="17"/>
      <c r="G12" s="17"/>
      <c r="H12" s="17"/>
      <c r="I12" s="17"/>
      <c r="J12" s="17"/>
      <c r="K12" s="17"/>
      <c r="L12" s="17"/>
      <c r="M12" s="17"/>
      <c r="N12" s="17"/>
    </row>
    <row r="13" spans="1:14">
      <c r="A13" s="133" t="s">
        <v>192</v>
      </c>
      <c r="B13" s="132"/>
      <c r="C13" s="132"/>
      <c r="D13" s="132"/>
      <c r="E13" s="132"/>
      <c r="F13" s="132"/>
      <c r="G13" s="132"/>
      <c r="H13" s="132"/>
      <c r="I13" s="132"/>
      <c r="J13" s="132"/>
      <c r="K13" s="132"/>
      <c r="L13" s="132"/>
      <c r="M13" s="132"/>
      <c r="N13" s="132"/>
    </row>
    <row r="14" spans="1:14">
      <c r="A14" s="10" t="s">
        <v>191</v>
      </c>
      <c r="B14" s="136" t="str">
        <f>IFERROR(B3/#REF!-1,"-")</f>
        <v>-</v>
      </c>
      <c r="C14" s="136">
        <f t="shared" ref="C14:I14" si="0">IFERROR(C3/B3-1,"-")</f>
        <v>0.29642696650699407</v>
      </c>
      <c r="D14" s="136">
        <f t="shared" si="0"/>
        <v>0.10829547465927192</v>
      </c>
      <c r="E14" s="136">
        <f t="shared" si="0"/>
        <v>1.3175756607841649E-2</v>
      </c>
      <c r="F14" s="136">
        <f t="shared" si="0"/>
        <v>2.0826765447667039E-2</v>
      </c>
      <c r="G14" s="136">
        <f t="shared" si="0"/>
        <v>3.2298120661147234E-3</v>
      </c>
      <c r="H14" s="136">
        <f t="shared" si="0"/>
        <v>-2.2914275086738156E-2</v>
      </c>
      <c r="I14" s="136">
        <f t="shared" si="0"/>
        <v>9.2047572790044274E-2</v>
      </c>
      <c r="J14" s="136"/>
      <c r="K14" s="136"/>
      <c r="L14" s="136"/>
      <c r="M14" s="136"/>
      <c r="N14" s="136"/>
    </row>
    <row r="15" spans="1:14">
      <c r="A15" s="164" t="s">
        <v>208</v>
      </c>
      <c r="B15" s="136" t="str">
        <f>IFERROR(B4/#REF!-1,"-")</f>
        <v>-</v>
      </c>
      <c r="C15" s="136">
        <f t="shared" ref="C15:C21" si="1">IFERROR(C4/B4-1,"-")</f>
        <v>0.29374025949191607</v>
      </c>
      <c r="D15" s="136">
        <f t="shared" ref="D15" si="2">IFERROR(D4/C4-1,"-")</f>
        <v>0.10017663013354428</v>
      </c>
      <c r="E15" s="136">
        <f t="shared" ref="E15" si="3">IFERROR(E4/D4-1,"-")</f>
        <v>9.5992368976125508E-3</v>
      </c>
      <c r="F15" s="136">
        <f t="shared" ref="F15" si="4">IFERROR(F4/E4-1,"-")</f>
        <v>1.1956485578362486E-2</v>
      </c>
      <c r="G15" s="136">
        <f t="shared" ref="G15" si="5">IFERROR(G4/F4-1,"-")</f>
        <v>-6.5749677826578701E-3</v>
      </c>
      <c r="H15" s="136">
        <f t="shared" ref="H15" si="6">IFERROR(H4/G4-1,"-")</f>
        <v>-3.4217562809414126E-2</v>
      </c>
      <c r="I15" s="136">
        <f t="shared" ref="I15" si="7">IFERROR(I4/H4-1,"-")</f>
        <v>7.4882471457353939E-2</v>
      </c>
      <c r="J15" s="136"/>
      <c r="K15" s="136"/>
      <c r="L15" s="136"/>
      <c r="M15" s="136"/>
      <c r="N15" s="136"/>
    </row>
    <row r="16" spans="1:14">
      <c r="A16" s="163" t="s">
        <v>209</v>
      </c>
      <c r="B16" s="136" t="str">
        <f>IFERROR(B5/#REF!-1,"-")</f>
        <v>-</v>
      </c>
      <c r="C16" s="139" t="str">
        <f t="shared" si="1"/>
        <v>-</v>
      </c>
      <c r="D16" s="139" t="str">
        <f t="shared" ref="D16:I21" si="8">IFERROR(D5/C5-1,"-")</f>
        <v>-</v>
      </c>
      <c r="E16" s="139">
        <f t="shared" si="8"/>
        <v>-3.5574568062681777E-3</v>
      </c>
      <c r="F16" s="139">
        <f t="shared" si="8"/>
        <v>5.7600765192632686E-2</v>
      </c>
      <c r="G16" s="139">
        <f t="shared" si="8"/>
        <v>6.4233208190049629E-2</v>
      </c>
      <c r="H16" s="139">
        <f t="shared" si="8"/>
        <v>5.3587486042352195E-2</v>
      </c>
      <c r="I16" s="169">
        <f t="shared" si="8"/>
        <v>0.11629870008065879</v>
      </c>
      <c r="J16" s="136"/>
      <c r="K16" s="136"/>
      <c r="L16" s="136"/>
      <c r="M16" s="136"/>
      <c r="N16" s="136"/>
    </row>
    <row r="17" spans="1:14">
      <c r="A17" s="163" t="s">
        <v>210</v>
      </c>
      <c r="B17" s="136" t="str">
        <f>IFERROR(B6/#REF!-1,"-")</f>
        <v>-</v>
      </c>
      <c r="C17" s="139" t="str">
        <f t="shared" si="1"/>
        <v>-</v>
      </c>
      <c r="D17" s="139" t="str">
        <f t="shared" si="8"/>
        <v>-</v>
      </c>
      <c r="E17" s="139">
        <f t="shared" si="8"/>
        <v>-0.2267817767313226</v>
      </c>
      <c r="F17" s="139">
        <f t="shared" si="8"/>
        <v>6.1530281792256725E-2</v>
      </c>
      <c r="G17" s="139">
        <f t="shared" si="8"/>
        <v>1.2430561879610336E-2</v>
      </c>
      <c r="H17" s="169">
        <f t="shared" si="8"/>
        <v>-0.1588036878794693</v>
      </c>
      <c r="I17" s="139">
        <f t="shared" si="8"/>
        <v>1.6039349871688202E-4</v>
      </c>
      <c r="J17" s="136"/>
      <c r="K17" s="136"/>
      <c r="L17" s="136"/>
      <c r="M17" s="136"/>
      <c r="N17" s="136"/>
    </row>
    <row r="18" spans="1:14">
      <c r="A18" s="163" t="s">
        <v>211</v>
      </c>
      <c r="B18" s="136" t="str">
        <f>IFERROR(B7/#REF!-1,"-")</f>
        <v>-</v>
      </c>
      <c r="C18" s="139" t="str">
        <f t="shared" si="1"/>
        <v>-</v>
      </c>
      <c r="D18" s="139" t="str">
        <f t="shared" si="8"/>
        <v>-</v>
      </c>
      <c r="E18" s="139">
        <f t="shared" si="8"/>
        <v>-7.2977666491660265E-2</v>
      </c>
      <c r="F18" s="139">
        <f t="shared" si="8"/>
        <v>-0.19791757427899281</v>
      </c>
      <c r="G18" s="139">
        <f t="shared" si="8"/>
        <v>-0.21829341154744442</v>
      </c>
      <c r="H18" s="169">
        <f t="shared" si="8"/>
        <v>-0.1227070594774875</v>
      </c>
      <c r="I18" s="169">
        <f t="shared" si="8"/>
        <v>-6.9459844764771073E-2</v>
      </c>
      <c r="J18" s="136"/>
      <c r="K18" s="136"/>
      <c r="L18" s="136"/>
      <c r="M18" s="136"/>
      <c r="N18" s="136"/>
    </row>
    <row r="19" spans="1:14">
      <c r="A19" s="163" t="s">
        <v>212</v>
      </c>
      <c r="B19" s="136" t="str">
        <f>IFERROR(B8/#REF!-1,"-")</f>
        <v>-</v>
      </c>
      <c r="C19" s="139" t="str">
        <f t="shared" si="1"/>
        <v>-</v>
      </c>
      <c r="D19" s="139" t="str">
        <f t="shared" si="8"/>
        <v>-</v>
      </c>
      <c r="E19" s="139">
        <f t="shared" si="8"/>
        <v>-1.0487645908633048E-2</v>
      </c>
      <c r="F19" s="139">
        <f t="shared" si="8"/>
        <v>-1.3293413173652735E-2</v>
      </c>
      <c r="G19" s="169">
        <f t="shared" si="8"/>
        <v>-0.20409030222114333</v>
      </c>
      <c r="H19" s="169">
        <f t="shared" si="8"/>
        <v>-0.40373617994662603</v>
      </c>
      <c r="I19" s="139">
        <f t="shared" si="8"/>
        <v>-7.6342710997442498E-2</v>
      </c>
      <c r="J19" s="136"/>
      <c r="K19" s="136"/>
      <c r="L19" s="136"/>
      <c r="M19" s="136"/>
      <c r="N19" s="136"/>
    </row>
    <row r="20" spans="1:14">
      <c r="A20" s="163" t="s">
        <v>213</v>
      </c>
      <c r="B20" s="136" t="str">
        <f>IFERROR(B9/#REF!-1,"-")</f>
        <v>-</v>
      </c>
      <c r="C20" s="139" t="str">
        <f t="shared" si="1"/>
        <v>-</v>
      </c>
      <c r="D20" s="139" t="str">
        <f t="shared" si="8"/>
        <v>-</v>
      </c>
      <c r="E20" s="139">
        <f t="shared" si="8"/>
        <v>-0.34426229508196726</v>
      </c>
      <c r="F20" s="139">
        <f t="shared" si="8"/>
        <v>2.75</v>
      </c>
      <c r="G20" s="139">
        <f t="shared" si="8"/>
        <v>6.6666666666665986E-3</v>
      </c>
      <c r="H20" s="139">
        <f t="shared" si="8"/>
        <v>-6.6225165562914245E-3</v>
      </c>
      <c r="I20" s="139">
        <f t="shared" si="8"/>
        <v>-1.3333333333333308E-2</v>
      </c>
      <c r="J20" s="136"/>
      <c r="K20" s="136"/>
      <c r="L20" s="136"/>
      <c r="M20" s="136"/>
      <c r="N20" s="136"/>
    </row>
    <row r="21" spans="1:14">
      <c r="A21" s="164" t="s">
        <v>214</v>
      </c>
      <c r="B21" s="136" t="str">
        <f>IFERROR(B10/#REF!-1,"-")</f>
        <v>-</v>
      </c>
      <c r="C21" s="136" t="str">
        <f t="shared" si="1"/>
        <v>-</v>
      </c>
      <c r="D21" s="136">
        <f t="shared" si="8"/>
        <v>4.0177935943060499</v>
      </c>
      <c r="E21" s="136">
        <f t="shared" si="8"/>
        <v>0.39078014184397158</v>
      </c>
      <c r="F21" s="136">
        <f t="shared" si="8"/>
        <v>0.70525242223355433</v>
      </c>
      <c r="G21" s="136">
        <f t="shared" si="8"/>
        <v>0.45155502392344493</v>
      </c>
      <c r="H21" s="136">
        <f t="shared" si="8"/>
        <v>0.3296250515039143</v>
      </c>
      <c r="I21" s="136">
        <f t="shared" si="8"/>
        <v>0.4809420514409668</v>
      </c>
      <c r="J21" s="121"/>
      <c r="K21" s="121"/>
      <c r="L21" s="121"/>
      <c r="M21" s="121"/>
      <c r="N21" s="121"/>
    </row>
    <row r="23" spans="1:14">
      <c r="A23" s="133" t="s">
        <v>194</v>
      </c>
      <c r="B23" s="132"/>
      <c r="C23" s="132"/>
      <c r="D23" s="132"/>
      <c r="E23" s="132"/>
      <c r="F23" s="132"/>
      <c r="G23" s="132"/>
      <c r="H23" s="132"/>
      <c r="I23" s="132"/>
      <c r="J23" s="132"/>
      <c r="K23" s="132"/>
      <c r="L23" s="132"/>
      <c r="M23" s="132"/>
      <c r="N23" s="132"/>
    </row>
    <row r="24" spans="1:14">
      <c r="A24" s="10" t="s">
        <v>191</v>
      </c>
      <c r="B24" s="18"/>
      <c r="C24" s="18"/>
      <c r="D24" s="18"/>
      <c r="E24" s="18"/>
      <c r="F24" s="18"/>
      <c r="G24" s="18"/>
      <c r="H24" s="18"/>
      <c r="I24" s="18"/>
      <c r="J24" s="18"/>
      <c r="K24" s="18"/>
      <c r="L24" s="18"/>
      <c r="M24" s="18"/>
      <c r="N24" s="18"/>
    </row>
    <row r="25" spans="1:14">
      <c r="A25" s="164" t="s">
        <v>208</v>
      </c>
      <c r="B25" s="165"/>
      <c r="C25" s="165"/>
      <c r="D25" s="165">
        <f t="shared" ref="D25:I25" si="9">IFERROR(D4/D$3,"-")</f>
        <v>0.9906172642338098</v>
      </c>
      <c r="E25" s="165">
        <f t="shared" si="9"/>
        <v>0.98712037620849091</v>
      </c>
      <c r="F25" s="165">
        <f t="shared" si="9"/>
        <v>0.97854298159264474</v>
      </c>
      <c r="G25" s="165">
        <f t="shared" si="9"/>
        <v>0.96897947142609775</v>
      </c>
      <c r="H25" s="165">
        <f t="shared" si="9"/>
        <v>0.95776995983092228</v>
      </c>
      <c r="I25" s="165">
        <f t="shared" si="9"/>
        <v>0.94271547060944827</v>
      </c>
      <c r="J25" s="18"/>
      <c r="K25" s="18"/>
      <c r="L25" s="18"/>
      <c r="M25" s="18"/>
      <c r="N25" s="18"/>
    </row>
    <row r="26" spans="1:14">
      <c r="A26" s="163" t="s">
        <v>209</v>
      </c>
      <c r="B26" s="20"/>
      <c r="C26" s="20"/>
      <c r="D26" s="20">
        <f t="shared" ref="D26:I31" si="10">IFERROR(D5/D$3,"-")</f>
        <v>0.60044850807846895</v>
      </c>
      <c r="E26" s="20">
        <f t="shared" si="10"/>
        <v>0.59053173602353926</v>
      </c>
      <c r="F26" s="20">
        <f t="shared" si="10"/>
        <v>0.61180489876276323</v>
      </c>
      <c r="G26" s="20">
        <f t="shared" si="10"/>
        <v>0.64900691981607017</v>
      </c>
      <c r="H26" s="20">
        <f t="shared" si="10"/>
        <v>0.69982147076583789</v>
      </c>
      <c r="I26" s="20">
        <f t="shared" si="10"/>
        <v>0.71536242336819333</v>
      </c>
      <c r="J26" s="18"/>
      <c r="K26" s="18"/>
      <c r="L26" s="18"/>
      <c r="M26" s="18"/>
      <c r="N26" s="18"/>
    </row>
    <row r="27" spans="1:14">
      <c r="A27" s="163" t="s">
        <v>210</v>
      </c>
      <c r="B27" s="20"/>
      <c r="C27" s="20"/>
      <c r="D27" s="20">
        <f t="shared" si="10"/>
        <v>0.17805238361414996</v>
      </c>
      <c r="E27" s="20">
        <f t="shared" si="10"/>
        <v>0.13588298654897016</v>
      </c>
      <c r="F27" s="20">
        <f t="shared" si="10"/>
        <v>0.1413010609482265</v>
      </c>
      <c r="G27" s="20">
        <f t="shared" si="10"/>
        <v>0.14259695117649698</v>
      </c>
      <c r="H27" s="20">
        <f t="shared" si="10"/>
        <v>0.12276510278558114</v>
      </c>
      <c r="I27" s="20">
        <f t="shared" si="10"/>
        <v>0.11243538886885443</v>
      </c>
      <c r="J27" s="18"/>
      <c r="K27" s="18"/>
      <c r="L27" s="18"/>
      <c r="M27" s="18"/>
      <c r="N27" s="18"/>
    </row>
    <row r="28" spans="1:14">
      <c r="A28" s="163" t="s">
        <v>211</v>
      </c>
      <c r="B28" s="20"/>
      <c r="C28" s="20"/>
      <c r="D28" s="20">
        <f t="shared" si="10"/>
        <v>0.16477015624584099</v>
      </c>
      <c r="E28" s="20">
        <f t="shared" si="10"/>
        <v>0.15075924758301806</v>
      </c>
      <c r="F28" s="20">
        <f t="shared" si="10"/>
        <v>0.11845432260804108</v>
      </c>
      <c r="G28" s="20">
        <f t="shared" si="10"/>
        <v>9.2298417869671454E-2</v>
      </c>
      <c r="H28" s="20">
        <f t="shared" si="10"/>
        <v>8.2871695240095564E-2</v>
      </c>
      <c r="I28" s="20">
        <f t="shared" si="10"/>
        <v>7.0615458588772689E-2</v>
      </c>
      <c r="J28" s="18"/>
      <c r="K28" s="18"/>
      <c r="L28" s="18"/>
      <c r="M28" s="18"/>
      <c r="N28" s="18"/>
    </row>
    <row r="29" spans="1:14">
      <c r="A29" s="163" t="s">
        <v>212</v>
      </c>
      <c r="B29" s="20"/>
      <c r="C29" s="20"/>
      <c r="D29" s="20">
        <f t="shared" si="10"/>
        <v>0.11230668902552636</v>
      </c>
      <c r="E29" s="20">
        <f t="shared" si="10"/>
        <v>0.10968369062631357</v>
      </c>
      <c r="F29" s="20">
        <f t="shared" si="10"/>
        <v>0.10601761598692634</v>
      </c>
      <c r="G29" s="20">
        <f t="shared" si="10"/>
        <v>8.4108793104553992E-2</v>
      </c>
      <c r="H29" s="20">
        <f t="shared" si="10"/>
        <v>5.1327154821602036E-2</v>
      </c>
      <c r="I29" s="20">
        <f t="shared" si="10"/>
        <v>4.3412669792042315E-2</v>
      </c>
      <c r="J29" s="130"/>
      <c r="K29" s="130"/>
      <c r="L29" s="130"/>
      <c r="M29" s="130"/>
      <c r="N29" s="130"/>
    </row>
    <row r="30" spans="1:14">
      <c r="A30" s="163" t="s">
        <v>213</v>
      </c>
      <c r="B30" s="20"/>
      <c r="C30" s="20"/>
      <c r="D30" s="20">
        <f t="shared" si="10"/>
        <v>4.0591977428198778E-4</v>
      </c>
      <c r="E30" s="20">
        <f t="shared" si="10"/>
        <v>2.6271542664985288E-4</v>
      </c>
      <c r="F30" s="20">
        <f t="shared" si="10"/>
        <v>9.6508328668764112E-4</v>
      </c>
      <c r="G30" s="20">
        <f t="shared" si="10"/>
        <v>9.6838945930519658E-4</v>
      </c>
      <c r="H30" s="20">
        <f t="shared" si="10"/>
        <v>9.845362178056657E-4</v>
      </c>
      <c r="I30" s="20">
        <f t="shared" si="10"/>
        <v>8.8952999158552714E-4</v>
      </c>
      <c r="J30" s="139"/>
      <c r="K30" s="139"/>
      <c r="L30" s="139"/>
      <c r="M30" s="139"/>
      <c r="N30" s="139"/>
    </row>
    <row r="31" spans="1:14">
      <c r="A31" s="164" t="s">
        <v>214</v>
      </c>
      <c r="B31" s="165"/>
      <c r="C31" s="165"/>
      <c r="D31" s="165">
        <f t="shared" si="10"/>
        <v>9.3827357661902099E-3</v>
      </c>
      <c r="E31" s="165">
        <f t="shared" si="10"/>
        <v>1.2879623791509037E-2</v>
      </c>
      <c r="F31" s="165">
        <f t="shared" si="10"/>
        <v>2.151492340455648E-2</v>
      </c>
      <c r="G31" s="165">
        <f t="shared" si="10"/>
        <v>3.1129552552764398E-2</v>
      </c>
      <c r="H31" s="165">
        <f t="shared" si="10"/>
        <v>4.2361311664785108E-2</v>
      </c>
      <c r="I31" s="165">
        <f t="shared" si="10"/>
        <v>5.7446808510638298E-2</v>
      </c>
      <c r="J31" s="139"/>
      <c r="K31" s="139"/>
      <c r="L31" s="139"/>
      <c r="M31" s="139"/>
      <c r="N31" s="139"/>
    </row>
    <row r="32" spans="1:14">
      <c r="B32" s="18"/>
      <c r="C32" s="18"/>
      <c r="D32" s="18"/>
      <c r="E32" s="18"/>
      <c r="F32" s="18"/>
      <c r="G32" s="18"/>
      <c r="H32" s="18"/>
      <c r="I32" s="18"/>
      <c r="J32" s="18"/>
      <c r="K32" s="18"/>
      <c r="L32" s="18"/>
      <c r="M32" s="18"/>
      <c r="N32" s="18"/>
    </row>
    <row r="33" spans="1:16">
      <c r="A33" s="133" t="s">
        <v>196</v>
      </c>
      <c r="B33" s="132"/>
      <c r="C33" s="132"/>
      <c r="D33" s="132"/>
      <c r="E33" s="132"/>
      <c r="F33" s="132"/>
      <c r="G33" s="132"/>
      <c r="H33" s="132"/>
      <c r="I33" s="132"/>
      <c r="J33" s="132"/>
      <c r="K33" s="132"/>
      <c r="L33" s="132"/>
      <c r="M33" s="132"/>
      <c r="N33" s="132"/>
    </row>
    <row r="34" spans="1:16">
      <c r="A34" s="140" t="s">
        <v>217</v>
      </c>
      <c r="B34" s="135">
        <f>B35+B41+B42</f>
        <v>-18657</v>
      </c>
      <c r="C34" s="135">
        <f t="shared" ref="C34:I34" si="11">C35+C41+C42</f>
        <v>7514</v>
      </c>
      <c r="D34" s="135">
        <f t="shared" si="11"/>
        <v>8304</v>
      </c>
      <c r="E34" s="135">
        <f t="shared" si="11"/>
        <v>7859</v>
      </c>
      <c r="F34" s="135">
        <f t="shared" si="11"/>
        <v>8578</v>
      </c>
      <c r="G34" s="135">
        <f t="shared" si="11"/>
        <v>6494</v>
      </c>
      <c r="H34" s="135">
        <f t="shared" si="11"/>
        <v>10814</v>
      </c>
      <c r="I34" s="135">
        <f t="shared" si="11"/>
        <v>12530</v>
      </c>
      <c r="J34" s="10"/>
      <c r="K34" s="10"/>
      <c r="L34" s="10"/>
      <c r="M34" s="10"/>
      <c r="N34" s="10"/>
    </row>
    <row r="35" spans="1:16">
      <c r="A35" s="164" t="s">
        <v>208</v>
      </c>
      <c r="B35" s="17">
        <f>SUM(B36:B40)</f>
        <v>-18722</v>
      </c>
      <c r="C35" s="17">
        <f t="shared" ref="C35:I35" si="12">SUM(C36:C40)</f>
        <v>7453</v>
      </c>
      <c r="D35" s="17">
        <f t="shared" si="12"/>
        <v>7682</v>
      </c>
      <c r="E35" s="17">
        <f t="shared" si="12"/>
        <v>7223</v>
      </c>
      <c r="F35" s="17">
        <f t="shared" si="12"/>
        <v>7680</v>
      </c>
      <c r="G35" s="17">
        <f t="shared" si="12"/>
        <v>5696</v>
      </c>
      <c r="H35" s="17">
        <f t="shared" si="12"/>
        <v>9987</v>
      </c>
      <c r="I35" s="17">
        <f t="shared" si="12"/>
        <v>11631</v>
      </c>
      <c r="J35" s="10"/>
      <c r="K35" s="10"/>
      <c r="L35" s="10"/>
      <c r="M35" s="10"/>
      <c r="N35" s="10"/>
    </row>
    <row r="36" spans="1:16">
      <c r="A36" s="163" t="s">
        <v>209</v>
      </c>
      <c r="B36" s="17">
        <v>-15912</v>
      </c>
      <c r="C36" s="17">
        <v>5748</v>
      </c>
      <c r="D36" s="17">
        <v>7194</v>
      </c>
      <c r="E36" s="17">
        <v>6953</v>
      </c>
      <c r="F36" s="17">
        <v>7461</v>
      </c>
      <c r="G36" s="17">
        <v>6603</v>
      </c>
      <c r="H36" s="17">
        <v>11026</v>
      </c>
      <c r="I36" s="17">
        <v>12047</v>
      </c>
      <c r="J36" s="10"/>
      <c r="K36" s="10"/>
      <c r="L36" s="10"/>
      <c r="M36" s="10"/>
      <c r="N36" s="10"/>
    </row>
    <row r="37" spans="1:16">
      <c r="A37" s="163" t="s">
        <v>210</v>
      </c>
      <c r="B37" s="17">
        <v>-3628</v>
      </c>
      <c r="C37" s="17">
        <v>-1764</v>
      </c>
      <c r="D37" s="17">
        <v>-747</v>
      </c>
      <c r="E37" s="17">
        <v>-1797</v>
      </c>
      <c r="F37" s="17">
        <v>-869</v>
      </c>
      <c r="G37" s="17">
        <v>-1369</v>
      </c>
      <c r="H37" s="17">
        <v>-813</v>
      </c>
      <c r="I37" s="17">
        <v>-257</v>
      </c>
      <c r="J37" s="18"/>
    </row>
    <row r="38" spans="1:16">
      <c r="A38" s="163" t="s">
        <v>211</v>
      </c>
      <c r="B38" s="17">
        <v>242</v>
      </c>
      <c r="C38" s="17">
        <v>2262</v>
      </c>
      <c r="D38" s="17">
        <v>1897</v>
      </c>
      <c r="E38" s="17">
        <v>2191</v>
      </c>
      <c r="F38" s="17">
        <v>1255</v>
      </c>
      <c r="G38" s="17">
        <v>1222</v>
      </c>
      <c r="H38" s="17">
        <v>1397</v>
      </c>
      <c r="I38" s="17">
        <v>1135</v>
      </c>
    </row>
    <row r="39" spans="1:16">
      <c r="A39" s="163" t="s">
        <v>212</v>
      </c>
      <c r="B39" s="17">
        <v>0</v>
      </c>
      <c r="C39" s="17">
        <v>818</v>
      </c>
      <c r="D39" s="17">
        <v>-122</v>
      </c>
      <c r="E39" s="17">
        <v>271</v>
      </c>
      <c r="F39" s="17">
        <v>327</v>
      </c>
      <c r="G39" s="17">
        <v>-180</v>
      </c>
      <c r="H39" s="17">
        <v>-622</v>
      </c>
      <c r="I39" s="17">
        <v>-374</v>
      </c>
    </row>
    <row r="40" spans="1:16">
      <c r="A40" s="163" t="s">
        <v>213</v>
      </c>
      <c r="B40" s="17">
        <v>576</v>
      </c>
      <c r="C40" s="17">
        <v>389</v>
      </c>
      <c r="D40" s="17">
        <v>-540</v>
      </c>
      <c r="E40" s="17">
        <v>-395</v>
      </c>
      <c r="F40" s="17">
        <v>-494</v>
      </c>
      <c r="G40" s="17">
        <v>-580</v>
      </c>
      <c r="H40" s="17">
        <v>-1001</v>
      </c>
      <c r="I40" s="17">
        <v>-920</v>
      </c>
    </row>
    <row r="41" spans="1:16">
      <c r="A41" s="164" t="s">
        <v>214</v>
      </c>
      <c r="B41" s="135">
        <v>0</v>
      </c>
      <c r="C41" s="135">
        <v>166</v>
      </c>
      <c r="D41" s="135">
        <v>622</v>
      </c>
      <c r="E41" s="135">
        <v>744</v>
      </c>
      <c r="F41" s="135">
        <v>898</v>
      </c>
      <c r="G41" s="135">
        <v>803</v>
      </c>
      <c r="H41" s="135">
        <v>837</v>
      </c>
      <c r="I41" s="135">
        <v>913</v>
      </c>
      <c r="J41" s="18"/>
      <c r="K41" s="18"/>
      <c r="L41" s="18"/>
      <c r="M41" s="18"/>
      <c r="N41" s="18"/>
    </row>
    <row r="42" spans="1:16">
      <c r="A42" t="s">
        <v>216</v>
      </c>
      <c r="B42" s="17">
        <v>65</v>
      </c>
      <c r="C42" s="17">
        <v>-105</v>
      </c>
      <c r="D42" s="17">
        <v>0</v>
      </c>
      <c r="E42" s="17">
        <v>-108</v>
      </c>
      <c r="F42" s="17">
        <v>0</v>
      </c>
      <c r="G42" s="17">
        <v>-5</v>
      </c>
      <c r="H42" s="17">
        <v>-10</v>
      </c>
      <c r="I42" s="17">
        <v>-14</v>
      </c>
      <c r="J42" s="18"/>
      <c r="K42" s="18"/>
      <c r="L42" s="18"/>
      <c r="M42" s="18"/>
      <c r="N42" s="18"/>
    </row>
    <row r="43" spans="1:16">
      <c r="B43" s="18"/>
      <c r="C43" s="18"/>
      <c r="D43" s="18"/>
      <c r="E43" s="18"/>
      <c r="F43" s="18"/>
      <c r="G43" s="18"/>
      <c r="H43" s="18"/>
      <c r="I43" s="18"/>
      <c r="J43" s="18"/>
      <c r="K43" s="18"/>
      <c r="L43" s="18"/>
      <c r="M43" s="18"/>
      <c r="N43" s="18"/>
      <c r="P43" s="166"/>
    </row>
    <row r="44" spans="1:16">
      <c r="A44" s="133" t="s">
        <v>192</v>
      </c>
      <c r="B44" s="132"/>
      <c r="C44" s="132"/>
      <c r="D44" s="132"/>
      <c r="E44" s="132"/>
      <c r="F44" s="132"/>
      <c r="G44" s="132"/>
      <c r="H44" s="132"/>
      <c r="I44" s="132"/>
      <c r="J44" s="132"/>
      <c r="K44" s="132"/>
      <c r="L44" s="132"/>
      <c r="M44" s="132"/>
      <c r="N44" s="132"/>
    </row>
    <row r="45" spans="1:16">
      <c r="A45" s="140" t="s">
        <v>217</v>
      </c>
      <c r="B45" s="136" t="str">
        <f>IFERROR(B34/#REF!-1,"-")</f>
        <v>-</v>
      </c>
      <c r="C45" s="136">
        <f t="shared" ref="C45:C50" si="13">IFERROR(C34/B34-1,"-")</f>
        <v>-1.4027442782869701</v>
      </c>
      <c r="D45" s="136">
        <f t="shared" ref="D45:D50" si="14">IFERROR(D34/C34-1,"-")</f>
        <v>0.10513707745541656</v>
      </c>
      <c r="E45" s="136">
        <f t="shared" ref="E45:E50" si="15">IFERROR(E34/D34-1,"-")</f>
        <v>-5.3588631984585744E-2</v>
      </c>
      <c r="F45" s="136">
        <f t="shared" ref="F45:F50" si="16">IFERROR(F34/E34-1,"-")</f>
        <v>9.1487466598803913E-2</v>
      </c>
      <c r="G45" s="136">
        <f t="shared" ref="G45:G50" si="17">IFERROR(G34/F34-1,"-")</f>
        <v>-0.24294707391000236</v>
      </c>
      <c r="H45" s="136">
        <f t="shared" ref="H45:H50" si="18">IFERROR(H34/G34-1,"-")</f>
        <v>0.66522944256236527</v>
      </c>
      <c r="I45" s="136">
        <f t="shared" ref="I45:I50" si="19">IFERROR(I34/H34-1,"-")</f>
        <v>0.15868318845940443</v>
      </c>
      <c r="J45" s="136"/>
      <c r="K45" s="136"/>
      <c r="L45" s="136"/>
      <c r="M45" s="136"/>
      <c r="N45" s="136"/>
    </row>
    <row r="46" spans="1:16">
      <c r="A46" s="164" t="s">
        <v>208</v>
      </c>
      <c r="B46" s="139" t="str">
        <f>IFERROR(B35/#REF!-1,"-")</f>
        <v>-</v>
      </c>
      <c r="C46" s="139">
        <f t="shared" si="13"/>
        <v>-1.3980878111312893</v>
      </c>
      <c r="D46" s="139">
        <f t="shared" si="14"/>
        <v>3.0725882195089316E-2</v>
      </c>
      <c r="E46" s="139">
        <f t="shared" si="15"/>
        <v>-5.9750065087216919E-2</v>
      </c>
      <c r="F46" s="139">
        <f t="shared" si="16"/>
        <v>6.3270109372836725E-2</v>
      </c>
      <c r="G46" s="139">
        <f t="shared" si="17"/>
        <v>-0.2583333333333333</v>
      </c>
      <c r="H46" s="139">
        <f t="shared" si="18"/>
        <v>0.7533356741573034</v>
      </c>
      <c r="I46" s="139">
        <f t="shared" si="19"/>
        <v>0.16461399819765687</v>
      </c>
      <c r="J46" s="121"/>
      <c r="K46" s="121"/>
      <c r="L46" s="121"/>
      <c r="M46" s="121"/>
      <c r="N46" s="121"/>
    </row>
    <row r="47" spans="1:16">
      <c r="A47" s="163" t="s">
        <v>209</v>
      </c>
      <c r="B47" s="139" t="str">
        <f>IFERROR(B36/#REF!-1,"-")</f>
        <v>-</v>
      </c>
      <c r="C47" s="139">
        <f t="shared" si="13"/>
        <v>-1.3612368024132731</v>
      </c>
      <c r="D47" s="139">
        <f t="shared" si="14"/>
        <v>0.25156576200417535</v>
      </c>
      <c r="E47" s="139">
        <f t="shared" si="15"/>
        <v>-3.3500139004726148E-2</v>
      </c>
      <c r="F47" s="139">
        <f t="shared" si="16"/>
        <v>7.306198763123839E-2</v>
      </c>
      <c r="G47" s="139">
        <f t="shared" si="17"/>
        <v>-0.11499798954563734</v>
      </c>
      <c r="H47" s="169">
        <f t="shared" si="18"/>
        <v>0.66984703922459499</v>
      </c>
      <c r="I47" s="139">
        <f t="shared" si="19"/>
        <v>9.2599310720116179E-2</v>
      </c>
      <c r="J47" s="121"/>
      <c r="K47" s="121"/>
      <c r="L47" s="121"/>
      <c r="M47" s="121"/>
      <c r="N47" s="121"/>
    </row>
    <row r="48" spans="1:16">
      <c r="A48" s="163" t="s">
        <v>210</v>
      </c>
      <c r="B48" s="139" t="str">
        <f>IFERROR(B37/#REF!-1,"-")</f>
        <v>-</v>
      </c>
      <c r="C48" s="139">
        <f t="shared" si="13"/>
        <v>-0.51378169790518191</v>
      </c>
      <c r="D48" s="139">
        <f t="shared" si="14"/>
        <v>-0.57653061224489788</v>
      </c>
      <c r="E48" s="139">
        <f t="shared" si="15"/>
        <v>1.4056224899598395</v>
      </c>
      <c r="F48" s="139">
        <f t="shared" si="16"/>
        <v>-0.51641624930439622</v>
      </c>
      <c r="G48" s="139">
        <f t="shared" si="17"/>
        <v>0.57537399309551218</v>
      </c>
      <c r="H48" s="139">
        <f t="shared" si="18"/>
        <v>-0.40613586559532511</v>
      </c>
      <c r="I48" s="139">
        <f t="shared" si="19"/>
        <v>-0.68388683886838875</v>
      </c>
      <c r="J48" s="121"/>
      <c r="K48" s="121"/>
      <c r="L48" s="121"/>
      <c r="M48" s="121"/>
      <c r="N48" s="121"/>
    </row>
    <row r="49" spans="1:14">
      <c r="A49" s="163" t="s">
        <v>211</v>
      </c>
      <c r="B49" s="139" t="str">
        <f>IFERROR(B38/#REF!-1,"-")</f>
        <v>-</v>
      </c>
      <c r="C49" s="139">
        <f t="shared" si="13"/>
        <v>8.3471074380165291</v>
      </c>
      <c r="D49" s="139">
        <f t="shared" si="14"/>
        <v>-0.16136162687886824</v>
      </c>
      <c r="E49" s="139">
        <f t="shared" si="15"/>
        <v>0.15498154981549805</v>
      </c>
      <c r="F49" s="139">
        <f t="shared" si="16"/>
        <v>-0.42720219078046551</v>
      </c>
      <c r="G49" s="139">
        <f t="shared" si="17"/>
        <v>-2.6294820717131517E-2</v>
      </c>
      <c r="H49" s="139">
        <f t="shared" si="18"/>
        <v>0.14320785597381347</v>
      </c>
      <c r="I49" s="139">
        <f t="shared" si="19"/>
        <v>-0.1875447387258411</v>
      </c>
      <c r="J49" s="121"/>
      <c r="K49" s="121"/>
      <c r="L49" s="121"/>
      <c r="M49" s="121"/>
      <c r="N49" s="121"/>
    </row>
    <row r="50" spans="1:14">
      <c r="A50" s="163" t="s">
        <v>212</v>
      </c>
      <c r="B50" s="139" t="str">
        <f>IFERROR(B39/#REF!-1,"-")</f>
        <v>-</v>
      </c>
      <c r="C50" s="139" t="str">
        <f t="shared" si="13"/>
        <v>-</v>
      </c>
      <c r="D50" s="139">
        <f t="shared" si="14"/>
        <v>-1.1491442542787287</v>
      </c>
      <c r="E50" s="139">
        <f t="shared" si="15"/>
        <v>-3.221311475409836</v>
      </c>
      <c r="F50" s="139">
        <f t="shared" si="16"/>
        <v>0.20664206642066429</v>
      </c>
      <c r="G50" s="139">
        <f t="shared" si="17"/>
        <v>-1.5504587155963303</v>
      </c>
      <c r="H50" s="169">
        <f t="shared" si="18"/>
        <v>2.4555555555555557</v>
      </c>
      <c r="I50" s="169">
        <f t="shared" si="19"/>
        <v>-0.3987138263665595</v>
      </c>
      <c r="J50" s="121"/>
      <c r="K50" s="121"/>
      <c r="L50" s="121"/>
      <c r="M50" s="121"/>
      <c r="N50" s="121"/>
    </row>
    <row r="51" spans="1:14">
      <c r="A51" s="164" t="s">
        <v>214</v>
      </c>
      <c r="B51" s="139" t="str">
        <f>IFERROR(B41/#REF!-1,"-")</f>
        <v>-</v>
      </c>
      <c r="C51" s="139" t="str">
        <f t="shared" ref="C51:I51" si="20">IFERROR(C41/B41-1,"-")</f>
        <v>-</v>
      </c>
      <c r="D51" s="139">
        <f t="shared" si="20"/>
        <v>2.7469879518072289</v>
      </c>
      <c r="E51" s="139">
        <f t="shared" si="20"/>
        <v>0.1961414790996785</v>
      </c>
      <c r="F51" s="139">
        <f t="shared" si="20"/>
        <v>0.206989247311828</v>
      </c>
      <c r="G51" s="139">
        <f t="shared" si="20"/>
        <v>-0.10579064587973275</v>
      </c>
      <c r="H51" s="139">
        <f t="shared" si="20"/>
        <v>4.2341220423412151E-2</v>
      </c>
      <c r="I51" s="139">
        <f t="shared" si="20"/>
        <v>9.0800477897251985E-2</v>
      </c>
      <c r="J51" s="121"/>
      <c r="K51" s="121"/>
      <c r="L51" s="121"/>
      <c r="M51" s="121"/>
      <c r="N51" s="121"/>
    </row>
    <row r="53" spans="1:14">
      <c r="A53" s="133" t="s">
        <v>218</v>
      </c>
      <c r="B53" s="132"/>
      <c r="C53" s="132"/>
      <c r="D53" s="132"/>
      <c r="E53" s="132"/>
      <c r="F53" s="132"/>
      <c r="G53" s="132"/>
      <c r="H53" s="132"/>
      <c r="I53" s="132"/>
      <c r="J53" s="132"/>
      <c r="K53" s="132"/>
      <c r="L53" s="132"/>
      <c r="M53" s="132"/>
      <c r="N53" s="132"/>
    </row>
    <row r="54" spans="1:14">
      <c r="A54" s="140" t="s">
        <v>217</v>
      </c>
    </row>
    <row r="55" spans="1:14">
      <c r="A55" s="164" t="s">
        <v>208</v>
      </c>
      <c r="B55" s="130">
        <f t="shared" ref="B55:I62" si="21">IFERROR(B35/B$34,"-")</f>
        <v>1.0034839470440049</v>
      </c>
      <c r="C55" s="130">
        <f t="shared" si="21"/>
        <v>0.99188182060154384</v>
      </c>
      <c r="D55" s="130">
        <f t="shared" si="21"/>
        <v>0.92509633911368017</v>
      </c>
      <c r="E55" s="130">
        <f t="shared" si="21"/>
        <v>0.91907367349535563</v>
      </c>
      <c r="F55" s="130">
        <f t="shared" si="21"/>
        <v>0.89531359291210078</v>
      </c>
      <c r="G55" s="130">
        <f t="shared" si="21"/>
        <v>0.87711733908222977</v>
      </c>
      <c r="H55" s="130">
        <f t="shared" si="21"/>
        <v>0.92352506010726831</v>
      </c>
      <c r="I55" s="130">
        <f t="shared" si="21"/>
        <v>0.92825219473264164</v>
      </c>
    </row>
    <row r="56" spans="1:14">
      <c r="A56" s="163" t="s">
        <v>209</v>
      </c>
      <c r="B56" s="130">
        <f t="shared" si="21"/>
        <v>0.85287023637240711</v>
      </c>
      <c r="C56" s="130">
        <f t="shared" si="21"/>
        <v>0.76497205216928399</v>
      </c>
      <c r="D56" s="130">
        <f t="shared" si="21"/>
        <v>0.86632947976878616</v>
      </c>
      <c r="E56" s="130">
        <f t="shared" si="21"/>
        <v>0.88471815752640282</v>
      </c>
      <c r="F56" s="130">
        <f t="shared" si="21"/>
        <v>0.86978316623921659</v>
      </c>
      <c r="G56" s="130">
        <f t="shared" si="21"/>
        <v>1.0167847243609485</v>
      </c>
      <c r="H56" s="130">
        <f t="shared" si="21"/>
        <v>1.0196042167560571</v>
      </c>
      <c r="I56" s="130">
        <f t="shared" si="21"/>
        <v>0.96145251396648046</v>
      </c>
    </row>
    <row r="57" spans="1:14">
      <c r="A57" s="163" t="s">
        <v>210</v>
      </c>
      <c r="B57" s="130">
        <f t="shared" si="21"/>
        <v>0.19445784424076754</v>
      </c>
      <c r="C57" s="130">
        <f t="shared" si="21"/>
        <v>-0.23476177801437317</v>
      </c>
      <c r="D57" s="130">
        <f t="shared" si="21"/>
        <v>-8.9956647398843931E-2</v>
      </c>
      <c r="E57" s="130">
        <f t="shared" si="21"/>
        <v>-0.22865504517114138</v>
      </c>
      <c r="F57" s="130">
        <f t="shared" si="21"/>
        <v>-0.10130566565633015</v>
      </c>
      <c r="G57" s="130">
        <f t="shared" si="21"/>
        <v>-0.21080997844163843</v>
      </c>
      <c r="H57" s="130">
        <f t="shared" si="21"/>
        <v>-7.5180321805067507E-2</v>
      </c>
      <c r="I57" s="130">
        <f t="shared" si="21"/>
        <v>-2.0510774142059058E-2</v>
      </c>
    </row>
    <row r="58" spans="1:14">
      <c r="A58" s="163" t="s">
        <v>211</v>
      </c>
      <c r="B58" s="130">
        <f t="shared" si="21"/>
        <v>-1.2971002840756821E-2</v>
      </c>
      <c r="C58" s="130">
        <f t="shared" si="21"/>
        <v>0.30103806228373703</v>
      </c>
      <c r="D58" s="130">
        <f t="shared" si="21"/>
        <v>0.22844412331406552</v>
      </c>
      <c r="E58" s="130">
        <f t="shared" si="21"/>
        <v>0.2787886499554651</v>
      </c>
      <c r="F58" s="130">
        <f t="shared" si="21"/>
        <v>0.1463044998834227</v>
      </c>
      <c r="G58" s="130">
        <f t="shared" si="21"/>
        <v>0.18817369879889129</v>
      </c>
      <c r="H58" s="130">
        <f t="shared" si="21"/>
        <v>0.1291843906047716</v>
      </c>
      <c r="I58" s="130">
        <f t="shared" si="21"/>
        <v>9.0582601755786113E-2</v>
      </c>
    </row>
    <row r="59" spans="1:14">
      <c r="A59" s="163" t="s">
        <v>212</v>
      </c>
      <c r="B59" s="130">
        <f t="shared" si="21"/>
        <v>0</v>
      </c>
      <c r="C59" s="130">
        <f t="shared" si="21"/>
        <v>0.10886345488421613</v>
      </c>
      <c r="D59" s="130">
        <f t="shared" si="21"/>
        <v>-1.4691714836223507E-2</v>
      </c>
      <c r="E59" s="130">
        <f t="shared" si="21"/>
        <v>3.4482758620689655E-2</v>
      </c>
      <c r="F59" s="130">
        <f t="shared" si="21"/>
        <v>3.8120774073210538E-2</v>
      </c>
      <c r="G59" s="130">
        <f t="shared" si="21"/>
        <v>-2.7717893440098552E-2</v>
      </c>
      <c r="H59" s="130">
        <f t="shared" si="21"/>
        <v>-5.7518032180506752E-2</v>
      </c>
      <c r="I59" s="130">
        <f t="shared" si="21"/>
        <v>-2.9848363926576218E-2</v>
      </c>
    </row>
    <row r="60" spans="1:14">
      <c r="A60" s="163" t="s">
        <v>213</v>
      </c>
      <c r="B60" s="130">
        <f t="shared" si="21"/>
        <v>-3.0873130728412929E-2</v>
      </c>
      <c r="C60" s="130">
        <f t="shared" si="21"/>
        <v>5.1770029278679797E-2</v>
      </c>
      <c r="D60" s="130">
        <f t="shared" si="21"/>
        <v>-6.5028901734104042E-2</v>
      </c>
      <c r="E60" s="130">
        <f t="shared" si="21"/>
        <v>-5.0260847436060567E-2</v>
      </c>
      <c r="F60" s="130">
        <f t="shared" si="21"/>
        <v>-5.7589181627418981E-2</v>
      </c>
      <c r="G60" s="130">
        <f t="shared" si="21"/>
        <v>-8.9313212195873112E-2</v>
      </c>
      <c r="H60" s="130">
        <f t="shared" si="21"/>
        <v>-9.2565193267985943E-2</v>
      </c>
      <c r="I60" s="130">
        <f t="shared" si="21"/>
        <v>-7.3423782920989625E-2</v>
      </c>
    </row>
    <row r="61" spans="1:14">
      <c r="A61" s="164" t="s">
        <v>214</v>
      </c>
      <c r="B61" s="130">
        <f t="shared" si="21"/>
        <v>0</v>
      </c>
      <c r="C61" s="130">
        <f t="shared" si="21"/>
        <v>2.2092094756454617E-2</v>
      </c>
      <c r="D61" s="130">
        <f t="shared" si="21"/>
        <v>7.4903660886319848E-2</v>
      </c>
      <c r="E61" s="130">
        <f t="shared" si="21"/>
        <v>9.4668532892225474E-2</v>
      </c>
      <c r="F61" s="130">
        <f t="shared" si="21"/>
        <v>0.10468640708789928</v>
      </c>
      <c r="G61" s="130">
        <f t="shared" si="21"/>
        <v>0.12365260240221743</v>
      </c>
      <c r="H61" s="130">
        <f t="shared" si="21"/>
        <v>7.7399667098206032E-2</v>
      </c>
      <c r="I61" s="130">
        <f t="shared" si="21"/>
        <v>7.286512370311253E-2</v>
      </c>
    </row>
    <row r="62" spans="1:14">
      <c r="A62" t="s">
        <v>216</v>
      </c>
      <c r="B62" s="130">
        <f t="shared" si="21"/>
        <v>-3.483947044004931E-3</v>
      </c>
      <c r="C62" s="130">
        <f t="shared" si="21"/>
        <v>-1.3973915357998403E-2</v>
      </c>
      <c r="D62" s="130">
        <f t="shared" si="21"/>
        <v>0</v>
      </c>
      <c r="E62" s="130">
        <f t="shared" si="21"/>
        <v>-1.3742206387581116E-2</v>
      </c>
      <c r="F62" s="130">
        <f t="shared" si="21"/>
        <v>0</v>
      </c>
      <c r="G62" s="130">
        <f t="shared" si="21"/>
        <v>-7.6994148444718203E-4</v>
      </c>
      <c r="H62" s="130">
        <f t="shared" si="21"/>
        <v>-9.2472720547438509E-4</v>
      </c>
      <c r="I62" s="130">
        <f t="shared" si="21"/>
        <v>-1.1173184357541898E-3</v>
      </c>
    </row>
    <row r="63" spans="1:14">
      <c r="B63" s="130"/>
      <c r="C63" s="130"/>
      <c r="D63" s="130"/>
      <c r="E63" s="130"/>
      <c r="F63" s="130"/>
      <c r="G63" s="130"/>
      <c r="H63" s="130"/>
      <c r="I63" s="130"/>
    </row>
    <row r="64" spans="1:14" ht="18.75">
      <c r="A64" s="156" t="s">
        <v>239</v>
      </c>
    </row>
    <row r="65" spans="1:14">
      <c r="A65" s="133" t="s">
        <v>237</v>
      </c>
      <c r="B65" s="133"/>
      <c r="C65" s="133"/>
      <c r="D65" s="133"/>
      <c r="E65" s="133"/>
      <c r="F65" s="133"/>
      <c r="G65" s="133"/>
      <c r="H65" s="133"/>
      <c r="I65" s="133"/>
      <c r="J65" s="133"/>
      <c r="K65" s="133"/>
      <c r="L65" s="133"/>
      <c r="M65" s="133"/>
      <c r="N65" s="133"/>
    </row>
    <row r="66" spans="1:14">
      <c r="A66" s="10" t="s">
        <v>219</v>
      </c>
    </row>
    <row r="67" spans="1:14">
      <c r="A67" s="107" t="s">
        <v>220</v>
      </c>
      <c r="B67">
        <v>2084</v>
      </c>
      <c r="C67">
        <v>2215</v>
      </c>
      <c r="D67" s="134">
        <v>2504</v>
      </c>
      <c r="E67" s="134">
        <v>2596</v>
      </c>
      <c r="F67" s="134">
        <v>2786</v>
      </c>
      <c r="G67" s="134">
        <v>2935</v>
      </c>
      <c r="H67" s="134">
        <v>3082</v>
      </c>
      <c r="I67" s="134">
        <v>3043</v>
      </c>
    </row>
    <row r="68" spans="1:14" hidden="1" outlineLevel="1">
      <c r="A68" s="168" t="s">
        <v>234</v>
      </c>
      <c r="B68">
        <v>874</v>
      </c>
      <c r="C68">
        <v>807</v>
      </c>
      <c r="D68">
        <v>952</v>
      </c>
      <c r="E68" s="134">
        <v>1031</v>
      </c>
      <c r="F68" s="134">
        <v>1067</v>
      </c>
      <c r="G68" s="134">
        <v>1085</v>
      </c>
      <c r="H68">
        <v>931</v>
      </c>
      <c r="I68">
        <v>890</v>
      </c>
    </row>
    <row r="69" spans="1:14" hidden="1" outlineLevel="1">
      <c r="A69" s="168" t="s">
        <v>235</v>
      </c>
      <c r="B69">
        <v>780</v>
      </c>
      <c r="C69">
        <v>835</v>
      </c>
      <c r="D69">
        <v>929</v>
      </c>
      <c r="E69">
        <v>933</v>
      </c>
      <c r="F69">
        <v>998</v>
      </c>
      <c r="G69" s="134">
        <v>1113</v>
      </c>
      <c r="H69" s="134">
        <v>1274</v>
      </c>
      <c r="I69" s="134">
        <v>1325</v>
      </c>
    </row>
    <row r="70" spans="1:14" hidden="1" outlineLevel="1">
      <c r="A70" s="168" t="s">
        <v>236</v>
      </c>
      <c r="B70">
        <v>430</v>
      </c>
      <c r="C70">
        <v>573</v>
      </c>
      <c r="D70">
        <v>622</v>
      </c>
      <c r="E70">
        <v>631</v>
      </c>
      <c r="F70">
        <v>721</v>
      </c>
      <c r="G70">
        <v>737</v>
      </c>
      <c r="H70">
        <v>877</v>
      </c>
      <c r="I70">
        <v>828</v>
      </c>
    </row>
    <row r="71" spans="1:14" collapsed="1">
      <c r="A71" s="107" t="s">
        <v>221</v>
      </c>
      <c r="B71">
        <f>B72-B67</f>
        <v>400</v>
      </c>
      <c r="C71">
        <f>C72-C67</f>
        <v>410</v>
      </c>
      <c r="D71">
        <v>421</v>
      </c>
      <c r="E71">
        <v>424</v>
      </c>
      <c r="F71">
        <v>448</v>
      </c>
      <c r="G71">
        <v>478</v>
      </c>
      <c r="H71">
        <v>531</v>
      </c>
      <c r="I71">
        <v>587</v>
      </c>
    </row>
    <row r="72" spans="1:14">
      <c r="A72" s="158" t="s">
        <v>222</v>
      </c>
      <c r="B72">
        <v>2484</v>
      </c>
      <c r="C72">
        <v>2625</v>
      </c>
      <c r="D72" s="134">
        <v>2925</v>
      </c>
      <c r="E72" s="134">
        <v>3019</v>
      </c>
      <c r="F72" s="134">
        <v>3234</v>
      </c>
      <c r="G72" s="134">
        <v>3413</v>
      </c>
      <c r="H72" s="134">
        <v>3613</v>
      </c>
      <c r="I72" s="134">
        <v>3630</v>
      </c>
    </row>
    <row r="73" spans="1:14">
      <c r="A73" s="10" t="s">
        <v>223</v>
      </c>
    </row>
    <row r="74" spans="1:14">
      <c r="A74" s="107" t="s">
        <v>224</v>
      </c>
      <c r="B74">
        <v>287</v>
      </c>
      <c r="C74">
        <v>290</v>
      </c>
      <c r="D74">
        <v>281</v>
      </c>
      <c r="E74">
        <v>272</v>
      </c>
      <c r="F74">
        <v>301</v>
      </c>
      <c r="G74">
        <v>305</v>
      </c>
      <c r="H74">
        <v>312</v>
      </c>
      <c r="I74">
        <v>289</v>
      </c>
    </row>
    <row r="75" spans="1:14">
      <c r="A75" s="107" t="s">
        <v>225</v>
      </c>
      <c r="B75">
        <v>382</v>
      </c>
      <c r="C75">
        <v>269</v>
      </c>
      <c r="D75">
        <v>299</v>
      </c>
      <c r="E75">
        <v>254</v>
      </c>
      <c r="F75">
        <v>242</v>
      </c>
      <c r="G75">
        <v>237</v>
      </c>
      <c r="H75">
        <v>244</v>
      </c>
      <c r="I75">
        <v>260</v>
      </c>
    </row>
    <row r="76" spans="1:14">
      <c r="A76" s="107" t="s">
        <v>221</v>
      </c>
      <c r="B76">
        <f>B77-B75-B74</f>
        <v>999</v>
      </c>
      <c r="C76">
        <f>C77-C75-C74</f>
        <v>1104</v>
      </c>
      <c r="D76">
        <f>243+928</f>
        <v>1171</v>
      </c>
      <c r="E76">
        <f>288+655</f>
        <v>943</v>
      </c>
      <c r="F76">
        <f>258+592</f>
        <v>850</v>
      </c>
      <c r="G76">
        <v>719</v>
      </c>
      <c r="H76">
        <v>620</v>
      </c>
      <c r="I76">
        <v>658</v>
      </c>
    </row>
    <row r="77" spans="1:14">
      <c r="A77" t="s">
        <v>238</v>
      </c>
      <c r="B77">
        <v>1668</v>
      </c>
      <c r="C77">
        <v>1663</v>
      </c>
      <c r="D77" s="134">
        <v>1751</v>
      </c>
      <c r="E77" s="134">
        <v>1469</v>
      </c>
      <c r="F77" s="134">
        <v>1393</v>
      </c>
      <c r="G77" s="134">
        <v>1261</v>
      </c>
      <c r="H77" s="134">
        <v>1176</v>
      </c>
      <c r="I77" s="134">
        <v>1207</v>
      </c>
    </row>
    <row r="78" spans="1:14">
      <c r="A78" s="10" t="s">
        <v>227</v>
      </c>
    </row>
    <row r="79" spans="1:14">
      <c r="A79" s="107" t="s">
        <v>205</v>
      </c>
      <c r="B79">
        <v>1826</v>
      </c>
      <c r="C79">
        <v>2352</v>
      </c>
      <c r="D79" s="134">
        <v>2547</v>
      </c>
      <c r="E79" s="134">
        <v>2836</v>
      </c>
      <c r="F79" s="134">
        <v>3160</v>
      </c>
      <c r="G79" s="134">
        <v>3540</v>
      </c>
      <c r="H79" s="134">
        <v>3730</v>
      </c>
      <c r="I79" s="134">
        <v>3914</v>
      </c>
    </row>
    <row r="80" spans="1:14">
      <c r="A80" s="107" t="s">
        <v>221</v>
      </c>
      <c r="B80">
        <f>B81-B79</f>
        <v>626</v>
      </c>
      <c r="C80">
        <f>C81-C79</f>
        <v>720</v>
      </c>
      <c r="D80">
        <v>735</v>
      </c>
      <c r="E80">
        <v>919</v>
      </c>
      <c r="F80">
        <v>890</v>
      </c>
      <c r="G80">
        <v>840</v>
      </c>
      <c r="H80">
        <v>795</v>
      </c>
      <c r="I80">
        <v>673</v>
      </c>
    </row>
    <row r="81" spans="1:14">
      <c r="A81" t="s">
        <v>229</v>
      </c>
      <c r="B81">
        <v>2452</v>
      </c>
      <c r="C81">
        <v>3072</v>
      </c>
      <c r="D81" s="134">
        <v>3282</v>
      </c>
      <c r="E81" s="134">
        <v>3755</v>
      </c>
      <c r="F81" s="134">
        <v>4050</v>
      </c>
      <c r="G81" s="134">
        <v>4380</v>
      </c>
      <c r="H81" s="134">
        <v>4525</v>
      </c>
      <c r="I81" s="134">
        <v>4587</v>
      </c>
    </row>
    <row r="82" spans="1:14">
      <c r="A82" s="10" t="s">
        <v>230</v>
      </c>
    </row>
    <row r="83" spans="1:14">
      <c r="A83" s="107" t="s">
        <v>231</v>
      </c>
      <c r="B83">
        <v>596</v>
      </c>
      <c r="C83">
        <v>658</v>
      </c>
      <c r="D83">
        <v>632</v>
      </c>
      <c r="E83">
        <v>643</v>
      </c>
      <c r="F83">
        <v>650</v>
      </c>
      <c r="G83">
        <v>579</v>
      </c>
      <c r="H83">
        <v>388</v>
      </c>
      <c r="I83">
        <v>346</v>
      </c>
    </row>
    <row r="84" spans="1:14">
      <c r="A84" s="107" t="s">
        <v>221</v>
      </c>
      <c r="B84">
        <f>B85-B83</f>
        <v>276</v>
      </c>
      <c r="C84">
        <f>C85-C83</f>
        <v>367</v>
      </c>
      <c r="D84">
        <v>434</v>
      </c>
      <c r="E84">
        <v>408</v>
      </c>
      <c r="F84">
        <v>387</v>
      </c>
      <c r="G84">
        <v>299</v>
      </c>
      <c r="H84">
        <v>257</v>
      </c>
      <c r="I84">
        <v>238</v>
      </c>
    </row>
    <row r="85" spans="1:14">
      <c r="A85" s="107" t="s">
        <v>232</v>
      </c>
      <c r="B85">
        <v>872</v>
      </c>
      <c r="C85">
        <v>1025</v>
      </c>
      <c r="D85" s="134">
        <v>1066</v>
      </c>
      <c r="E85" s="134">
        <v>1051</v>
      </c>
      <c r="F85" s="134">
        <v>1037</v>
      </c>
      <c r="G85">
        <v>878</v>
      </c>
      <c r="H85">
        <v>645</v>
      </c>
      <c r="I85">
        <v>584</v>
      </c>
    </row>
    <row r="86" spans="1:14">
      <c r="A86" t="s">
        <v>233</v>
      </c>
      <c r="B86" s="167">
        <f t="shared" ref="B86:G86" si="22">B85+B81+B77+B72</f>
        <v>7476</v>
      </c>
      <c r="C86" s="167">
        <f t="shared" si="22"/>
        <v>8385</v>
      </c>
      <c r="D86" s="167">
        <f t="shared" si="22"/>
        <v>9024</v>
      </c>
      <c r="E86" s="167">
        <f t="shared" si="22"/>
        <v>9294</v>
      </c>
      <c r="F86" s="167">
        <f t="shared" si="22"/>
        <v>9714</v>
      </c>
      <c r="G86" s="167">
        <f t="shared" si="22"/>
        <v>9932</v>
      </c>
      <c r="H86" s="167">
        <f>H85+H81+H77+H72</f>
        <v>9959</v>
      </c>
      <c r="I86" s="167">
        <f>I85+I81+I77+I72</f>
        <v>10008</v>
      </c>
    </row>
    <row r="87" spans="1:14">
      <c r="A87" s="10" t="s">
        <v>220</v>
      </c>
    </row>
    <row r="88" spans="1:14">
      <c r="A88" s="107"/>
      <c r="E88" s="134"/>
      <c r="F88" s="134"/>
      <c r="G88" s="134"/>
    </row>
    <row r="90" spans="1:14">
      <c r="A90" s="133" t="s">
        <v>204</v>
      </c>
      <c r="B90" s="133"/>
      <c r="C90" s="133"/>
      <c r="D90" s="133"/>
      <c r="E90" s="133"/>
      <c r="F90" s="133"/>
      <c r="G90" s="133"/>
      <c r="H90" s="133"/>
      <c r="I90" s="133"/>
      <c r="J90" s="133"/>
      <c r="K90" s="133"/>
      <c r="L90" s="133"/>
      <c r="M90" s="133"/>
      <c r="N90" s="133"/>
    </row>
    <row r="91" spans="1:14">
      <c r="A91" s="10" t="s">
        <v>219</v>
      </c>
      <c r="B91" s="136"/>
      <c r="C91" s="136"/>
      <c r="D91" s="136"/>
      <c r="E91" s="136"/>
      <c r="F91" s="136"/>
      <c r="G91" s="136"/>
      <c r="H91" s="136"/>
      <c r="I91" s="136"/>
    </row>
    <row r="92" spans="1:14">
      <c r="A92" s="107" t="s">
        <v>220</v>
      </c>
      <c r="B92" s="139"/>
      <c r="C92" s="139">
        <f>C67/B67-1</f>
        <v>6.2859884836852231E-2</v>
      </c>
      <c r="D92" s="139">
        <f>D67/C67-1</f>
        <v>0.13047404063205414</v>
      </c>
      <c r="E92" s="139">
        <f>E67/D67-1</f>
        <v>3.6741214057508076E-2</v>
      </c>
      <c r="F92" s="139">
        <f t="shared" ref="F92:I92" si="23">F67/E67-1</f>
        <v>7.3189522342064661E-2</v>
      </c>
      <c r="G92" s="139">
        <f t="shared" si="23"/>
        <v>5.348169418521187E-2</v>
      </c>
      <c r="H92" s="139">
        <f t="shared" si="23"/>
        <v>5.0085178875638903E-2</v>
      </c>
      <c r="I92" s="139">
        <f t="shared" si="23"/>
        <v>-1.2654120700843596E-2</v>
      </c>
    </row>
    <row r="93" spans="1:14" hidden="1" outlineLevel="1">
      <c r="A93" s="168" t="s">
        <v>234</v>
      </c>
      <c r="B93" s="139"/>
      <c r="C93" s="139">
        <f t="shared" ref="C93:D93" si="24">C68/B68-1</f>
        <v>-7.6659038901601861E-2</v>
      </c>
      <c r="D93" s="139">
        <f t="shared" si="24"/>
        <v>0.17967781908302349</v>
      </c>
      <c r="E93" s="139">
        <f t="shared" ref="E93:I93" si="25">E68/D68-1</f>
        <v>8.2983193277310852E-2</v>
      </c>
      <c r="F93" s="139">
        <f t="shared" si="25"/>
        <v>3.491755577109612E-2</v>
      </c>
      <c r="G93" s="139">
        <f t="shared" si="25"/>
        <v>1.6869728209934376E-2</v>
      </c>
      <c r="H93" s="139">
        <f t="shared" si="25"/>
        <v>-0.14193548387096777</v>
      </c>
      <c r="I93" s="139">
        <f t="shared" si="25"/>
        <v>-4.4038668098818512E-2</v>
      </c>
    </row>
    <row r="94" spans="1:14" hidden="1" outlineLevel="1">
      <c r="A94" s="168" t="s">
        <v>235</v>
      </c>
      <c r="B94" s="139"/>
      <c r="C94" s="139">
        <f t="shared" ref="C94:D94" si="26">C69/B69-1</f>
        <v>7.0512820512820484E-2</v>
      </c>
      <c r="D94" s="139">
        <f t="shared" si="26"/>
        <v>0.11257485029940129</v>
      </c>
      <c r="E94" s="139">
        <f t="shared" ref="E94:I94" si="27">E69/D69-1</f>
        <v>4.3057050592034685E-3</v>
      </c>
      <c r="F94" s="139">
        <f t="shared" si="27"/>
        <v>6.9667738478027763E-2</v>
      </c>
      <c r="G94" s="139">
        <f t="shared" si="27"/>
        <v>0.11523046092184375</v>
      </c>
      <c r="H94" s="139">
        <f t="shared" si="27"/>
        <v>0.14465408805031443</v>
      </c>
      <c r="I94" s="139">
        <f t="shared" si="27"/>
        <v>4.0031397174254302E-2</v>
      </c>
    </row>
    <row r="95" spans="1:14" hidden="1" outlineLevel="1">
      <c r="A95" s="168" t="s">
        <v>236</v>
      </c>
      <c r="B95" s="139"/>
      <c r="C95" s="139">
        <f t="shared" ref="C95:D95" si="28">C70/B70-1</f>
        <v>0.33255813953488378</v>
      </c>
      <c r="D95" s="139">
        <f t="shared" si="28"/>
        <v>8.5514834205933754E-2</v>
      </c>
      <c r="E95" s="139">
        <f t="shared" ref="E95:I95" si="29">E70/D70-1</f>
        <v>1.4469453376205754E-2</v>
      </c>
      <c r="F95" s="139">
        <f t="shared" si="29"/>
        <v>0.14263074484944527</v>
      </c>
      <c r="G95" s="139">
        <f t="shared" si="29"/>
        <v>2.2191400832177521E-2</v>
      </c>
      <c r="H95" s="139">
        <f t="shared" si="29"/>
        <v>0.1899592944369064</v>
      </c>
      <c r="I95" s="139">
        <f t="shared" si="29"/>
        <v>-5.587229190421894E-2</v>
      </c>
    </row>
    <row r="96" spans="1:14" collapsed="1">
      <c r="A96" s="107" t="s">
        <v>221</v>
      </c>
      <c r="B96" s="139"/>
      <c r="C96" s="139">
        <f t="shared" ref="C96:D96" si="30">C71/B71-1</f>
        <v>2.4999999999999911E-2</v>
      </c>
      <c r="D96" s="139">
        <f t="shared" si="30"/>
        <v>2.6829268292682951E-2</v>
      </c>
      <c r="E96" s="139">
        <f t="shared" ref="E96:I96" si="31">E71/D71-1</f>
        <v>7.1258907363420665E-3</v>
      </c>
      <c r="F96" s="139">
        <f t="shared" si="31"/>
        <v>5.6603773584905648E-2</v>
      </c>
      <c r="G96" s="139">
        <f t="shared" si="31"/>
        <v>6.6964285714285809E-2</v>
      </c>
      <c r="H96" s="139">
        <f t="shared" si="31"/>
        <v>0.11087866108786604</v>
      </c>
      <c r="I96" s="139">
        <f t="shared" si="31"/>
        <v>0.10546139359698681</v>
      </c>
    </row>
    <row r="97" spans="1:10">
      <c r="A97" s="158" t="s">
        <v>222</v>
      </c>
      <c r="C97" s="139">
        <f t="shared" ref="C97:D97" si="32">C72/B72-1</f>
        <v>5.6763285024154619E-2</v>
      </c>
      <c r="D97" s="139">
        <f t="shared" si="32"/>
        <v>0.11428571428571432</v>
      </c>
      <c r="E97" s="139">
        <f t="shared" ref="E97:I99" si="33">E72/D72-1</f>
        <v>3.2136752136752156E-2</v>
      </c>
      <c r="F97" s="139">
        <f t="shared" si="33"/>
        <v>7.1215634315998644E-2</v>
      </c>
      <c r="G97" s="139">
        <f t="shared" si="33"/>
        <v>5.5349412492269545E-2</v>
      </c>
      <c r="H97" s="139">
        <f t="shared" si="33"/>
        <v>5.8599472604746516E-2</v>
      </c>
      <c r="I97" s="139">
        <f t="shared" si="33"/>
        <v>4.7052311098809696E-3</v>
      </c>
    </row>
    <row r="98" spans="1:10">
      <c r="A98" s="10" t="s">
        <v>223</v>
      </c>
      <c r="B98" s="136"/>
      <c r="C98" s="136"/>
      <c r="D98" s="136"/>
      <c r="E98" s="136"/>
      <c r="F98" s="136"/>
      <c r="G98" s="136"/>
      <c r="H98" s="136"/>
      <c r="I98" s="136"/>
    </row>
    <row r="99" spans="1:10">
      <c r="A99" s="107" t="s">
        <v>224</v>
      </c>
      <c r="B99" s="139"/>
      <c r="C99" s="139">
        <f t="shared" ref="C99:D99" si="34">C74/B74-1</f>
        <v>1.0452961672473782E-2</v>
      </c>
      <c r="D99" s="139">
        <f t="shared" si="34"/>
        <v>-3.1034482758620641E-2</v>
      </c>
      <c r="E99" s="139">
        <f t="shared" si="33"/>
        <v>-3.2028469750889688E-2</v>
      </c>
      <c r="F99" s="139">
        <f t="shared" si="33"/>
        <v>0.10661764705882359</v>
      </c>
      <c r="G99" s="139">
        <f t="shared" si="33"/>
        <v>1.3289036544850585E-2</v>
      </c>
      <c r="H99" s="139">
        <f t="shared" si="33"/>
        <v>2.2950819672131084E-2</v>
      </c>
      <c r="I99" s="139">
        <f t="shared" si="33"/>
        <v>-7.3717948717948678E-2</v>
      </c>
    </row>
    <row r="100" spans="1:10">
      <c r="A100" s="107" t="s">
        <v>225</v>
      </c>
      <c r="B100" s="139"/>
      <c r="C100" s="139">
        <f t="shared" ref="C100:D100" si="35">C75/B75-1</f>
        <v>-0.29581151832460728</v>
      </c>
      <c r="D100" s="139">
        <f t="shared" si="35"/>
        <v>0.11152416356877315</v>
      </c>
      <c r="E100" s="139">
        <f t="shared" ref="E100:I100" si="36">E75/D75-1</f>
        <v>-0.15050167224080269</v>
      </c>
      <c r="F100" s="139">
        <f t="shared" si="36"/>
        <v>-4.7244094488189003E-2</v>
      </c>
      <c r="G100" s="139">
        <f t="shared" si="36"/>
        <v>-2.0661157024793431E-2</v>
      </c>
      <c r="H100" s="139">
        <f t="shared" si="36"/>
        <v>2.9535864978903037E-2</v>
      </c>
      <c r="I100" s="139">
        <f t="shared" si="36"/>
        <v>6.5573770491803351E-2</v>
      </c>
    </row>
    <row r="101" spans="1:10">
      <c r="A101" s="107" t="s">
        <v>221</v>
      </c>
      <c r="C101" s="139">
        <f t="shared" ref="C101:D101" si="37">C76/B76-1</f>
        <v>0.10510510510510507</v>
      </c>
      <c r="D101" s="139">
        <f t="shared" si="37"/>
        <v>6.0688405797101552E-2</v>
      </c>
      <c r="E101" s="139">
        <f t="shared" ref="E101:I101" si="38">E76/D76-1</f>
        <v>-0.19470538001707938</v>
      </c>
      <c r="F101" s="139">
        <f t="shared" si="38"/>
        <v>-9.8621420996818698E-2</v>
      </c>
      <c r="G101" s="139">
        <f t="shared" si="38"/>
        <v>-0.15411764705882358</v>
      </c>
      <c r="H101" s="139">
        <f t="shared" si="38"/>
        <v>-0.13769123783031989</v>
      </c>
      <c r="I101" s="139">
        <f t="shared" si="38"/>
        <v>6.1290322580645151E-2</v>
      </c>
    </row>
    <row r="102" spans="1:10">
      <c r="A102" s="158" t="s">
        <v>226</v>
      </c>
      <c r="B102" s="136"/>
      <c r="C102" s="139">
        <f t="shared" ref="C102:D102" si="39">C77/B77-1</f>
        <v>-2.9976019184652092E-3</v>
      </c>
      <c r="D102" s="139">
        <f t="shared" si="39"/>
        <v>5.2916416115454057E-2</v>
      </c>
      <c r="E102" s="139">
        <f t="shared" ref="E102:I102" si="40">E77/D77-1</f>
        <v>-0.16105082809822957</v>
      </c>
      <c r="F102" s="139">
        <f t="shared" si="40"/>
        <v>-5.1735874744724297E-2</v>
      </c>
      <c r="G102" s="139">
        <f t="shared" si="40"/>
        <v>-9.4759511844939026E-2</v>
      </c>
      <c r="H102" s="139">
        <f t="shared" si="40"/>
        <v>-6.7406819984139554E-2</v>
      </c>
      <c r="I102" s="139">
        <f t="shared" si="40"/>
        <v>2.6360544217687076E-2</v>
      </c>
    </row>
    <row r="103" spans="1:10">
      <c r="A103" s="10" t="s">
        <v>227</v>
      </c>
      <c r="B103" s="139"/>
      <c r="C103" s="139"/>
      <c r="D103" s="139"/>
      <c r="E103" s="139"/>
      <c r="F103" s="139"/>
      <c r="G103" s="139"/>
      <c r="H103" s="139"/>
      <c r="I103" s="139"/>
    </row>
    <row r="104" spans="1:10">
      <c r="A104" s="107" t="s">
        <v>228</v>
      </c>
      <c r="B104" s="139"/>
      <c r="C104" s="139">
        <f t="shared" ref="C104:D104" si="41">C79/B79-1</f>
        <v>0.28806133625410735</v>
      </c>
      <c r="D104" s="139">
        <f t="shared" si="41"/>
        <v>8.2908163265306145E-2</v>
      </c>
      <c r="E104" s="139">
        <f t="shared" ref="E104:I104" si="42">E79/D79-1</f>
        <v>0.1134668237141736</v>
      </c>
      <c r="F104" s="139">
        <f t="shared" si="42"/>
        <v>0.11424541607898453</v>
      </c>
      <c r="G104" s="139">
        <f t="shared" si="42"/>
        <v>0.120253164556962</v>
      </c>
      <c r="H104" s="139">
        <f t="shared" si="42"/>
        <v>5.3672316384180796E-2</v>
      </c>
      <c r="I104" s="139">
        <f t="shared" si="42"/>
        <v>4.9329758713136718E-2</v>
      </c>
    </row>
    <row r="105" spans="1:10">
      <c r="A105" s="107" t="s">
        <v>221</v>
      </c>
      <c r="C105" s="139">
        <f t="shared" ref="C105:D105" si="43">C80/B80-1</f>
        <v>0.15015974440894575</v>
      </c>
      <c r="D105" s="139">
        <f t="shared" si="43"/>
        <v>2.0833333333333259E-2</v>
      </c>
      <c r="E105" s="139">
        <f t="shared" ref="E105:I105" si="44">E80/D80-1</f>
        <v>0.25034013605442174</v>
      </c>
      <c r="F105" s="139">
        <f t="shared" si="44"/>
        <v>-3.1556039173014194E-2</v>
      </c>
      <c r="G105" s="139">
        <f t="shared" si="44"/>
        <v>-5.6179775280898903E-2</v>
      </c>
      <c r="H105" s="139">
        <f t="shared" si="44"/>
        <v>-5.3571428571428603E-2</v>
      </c>
      <c r="I105" s="139">
        <f t="shared" si="44"/>
        <v>-0.15345911949685531</v>
      </c>
    </row>
    <row r="106" spans="1:10">
      <c r="A106" t="s">
        <v>229</v>
      </c>
      <c r="B106" s="136"/>
      <c r="C106" s="139">
        <f t="shared" ref="C106:D106" si="45">C81/B81-1</f>
        <v>0.25285481239804231</v>
      </c>
      <c r="D106" s="139">
        <f t="shared" si="45"/>
        <v>6.8359375E-2</v>
      </c>
      <c r="E106" s="139">
        <f t="shared" ref="E106:I106" si="46">E81/D81-1</f>
        <v>0.14411943936624017</v>
      </c>
      <c r="F106" s="139">
        <f t="shared" si="46"/>
        <v>7.856191744340868E-2</v>
      </c>
      <c r="G106" s="139">
        <f t="shared" si="46"/>
        <v>8.1481481481481488E-2</v>
      </c>
      <c r="H106" s="139">
        <f t="shared" si="46"/>
        <v>3.3105022831050324E-2</v>
      </c>
      <c r="I106" s="139">
        <f t="shared" si="46"/>
        <v>1.3701657458563554E-2</v>
      </c>
    </row>
    <row r="107" spans="1:10">
      <c r="A107" s="10" t="s">
        <v>230</v>
      </c>
      <c r="B107" s="139"/>
      <c r="C107" s="160"/>
      <c r="D107" s="160"/>
      <c r="E107" s="160"/>
      <c r="F107" s="139"/>
      <c r="G107" s="139"/>
      <c r="H107" s="139"/>
      <c r="I107" s="139"/>
    </row>
    <row r="108" spans="1:10">
      <c r="A108" s="107" t="s">
        <v>231</v>
      </c>
      <c r="B108" s="139"/>
      <c r="C108" s="139">
        <f t="shared" ref="C108:D108" si="47">C83/B83-1</f>
        <v>0.10402684563758391</v>
      </c>
      <c r="D108" s="139">
        <f t="shared" si="47"/>
        <v>-3.951367781155013E-2</v>
      </c>
      <c r="E108" s="139">
        <f t="shared" ref="E108:I108" si="48">E83/D83-1</f>
        <v>1.7405063291139333E-2</v>
      </c>
      <c r="F108" s="139">
        <f t="shared" si="48"/>
        <v>1.0886469673405896E-2</v>
      </c>
      <c r="G108" s="139">
        <f t="shared" si="48"/>
        <v>-0.10923076923076924</v>
      </c>
      <c r="H108" s="139">
        <f t="shared" si="48"/>
        <v>-0.32987910189982728</v>
      </c>
      <c r="I108" s="139">
        <f t="shared" si="48"/>
        <v>-0.10824742268041232</v>
      </c>
    </row>
    <row r="109" spans="1:10">
      <c r="A109" s="107" t="s">
        <v>221</v>
      </c>
      <c r="B109" s="134"/>
      <c r="C109" s="139">
        <f t="shared" ref="C109:D109" si="49">C84/B84-1</f>
        <v>0.32971014492753614</v>
      </c>
      <c r="D109" s="139">
        <f t="shared" si="49"/>
        <v>0.18256130790190728</v>
      </c>
      <c r="E109" s="139">
        <f t="shared" ref="E109:I109" si="50">E84/D84-1</f>
        <v>-5.9907834101382451E-2</v>
      </c>
      <c r="F109" s="139">
        <f t="shared" si="50"/>
        <v>-5.1470588235294157E-2</v>
      </c>
      <c r="G109" s="139">
        <f t="shared" si="50"/>
        <v>-0.22739018087855301</v>
      </c>
      <c r="H109" s="139">
        <f t="shared" si="50"/>
        <v>-0.14046822742474918</v>
      </c>
      <c r="I109" s="139">
        <f t="shared" si="50"/>
        <v>-7.3929961089494123E-2</v>
      </c>
      <c r="J109" s="134"/>
    </row>
    <row r="110" spans="1:10" s="10" customFormat="1">
      <c r="A110" s="107" t="s">
        <v>232</v>
      </c>
      <c r="C110" s="139">
        <f t="shared" ref="C110:D110" si="51">C85/B85-1</f>
        <v>0.17545871559633031</v>
      </c>
      <c r="D110" s="139">
        <f t="shared" si="51"/>
        <v>4.0000000000000036E-2</v>
      </c>
      <c r="E110" s="139">
        <f t="shared" ref="E110:I110" si="52">E85/D85-1</f>
        <v>-1.407129455909939E-2</v>
      </c>
      <c r="F110" s="139">
        <f t="shared" si="52"/>
        <v>-1.3320647002854402E-2</v>
      </c>
      <c r="G110" s="139">
        <f t="shared" si="52"/>
        <v>-0.15332690453230469</v>
      </c>
      <c r="H110" s="139">
        <f t="shared" si="52"/>
        <v>-0.26537585421412302</v>
      </c>
      <c r="I110" s="139">
        <f t="shared" si="52"/>
        <v>-9.4573643410852726E-2</v>
      </c>
    </row>
    <row r="111" spans="1:10">
      <c r="A111" t="s">
        <v>233</v>
      </c>
      <c r="C111" s="139">
        <f t="shared" ref="C111:D111" si="53">C86/B86-1</f>
        <v>0.12158908507223121</v>
      </c>
      <c r="D111" s="139">
        <f t="shared" si="53"/>
        <v>7.6207513416815642E-2</v>
      </c>
      <c r="E111" s="139">
        <f t="shared" ref="E111:I111" si="54">E86/D86-1</f>
        <v>2.9920212765957466E-2</v>
      </c>
      <c r="F111" s="139">
        <f t="shared" si="54"/>
        <v>4.5190445448676675E-2</v>
      </c>
      <c r="G111" s="139">
        <f t="shared" si="54"/>
        <v>2.2441836524603742E-2</v>
      </c>
      <c r="H111" s="139">
        <f t="shared" si="54"/>
        <v>2.7184857027788834E-3</v>
      </c>
      <c r="I111" s="139">
        <f t="shared" si="54"/>
        <v>4.9201727081031876E-3</v>
      </c>
    </row>
    <row r="112" spans="1:10">
      <c r="A112" s="10"/>
    </row>
    <row r="113" spans="1:9">
      <c r="A113" s="107"/>
      <c r="E113" s="139"/>
      <c r="F113" s="139"/>
      <c r="G113" s="139"/>
      <c r="H113" s="139"/>
      <c r="I113" s="139"/>
    </row>
    <row r="114" spans="1:9">
      <c r="A114" s="107"/>
      <c r="E114" s="139"/>
      <c r="F114" s="139"/>
      <c r="G114" s="139"/>
      <c r="H114" s="139"/>
      <c r="I114" s="139"/>
    </row>
    <row r="115" spans="1:9">
      <c r="A115" s="107"/>
      <c r="E115" s="139"/>
      <c r="F115" s="139"/>
      <c r="G115" s="139"/>
      <c r="H115" s="139"/>
      <c r="I115" s="139"/>
    </row>
    <row r="116" spans="1:9">
      <c r="E116" s="139"/>
      <c r="F116" s="139"/>
      <c r="G116" s="139"/>
      <c r="H116" s="139"/>
      <c r="I116" s="139"/>
    </row>
  </sheetData>
  <pageMargins left="0.7" right="0.7" top="0.75" bottom="0.75" header="0.3" footer="0.3"/>
  <ignoredErrors>
    <ignoredError sqref="B35:I35" formulaRange="1"/>
  </ignoredError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5"/>
  <sheetViews>
    <sheetView workbookViewId="0"/>
  </sheetViews>
  <sheetFormatPr defaultRowHeight="15"/>
  <cols>
    <col min="1" max="1" width="37.42578125" bestFit="1" customWidth="1"/>
    <col min="2" max="3" width="10.5703125" bestFit="1" customWidth="1"/>
    <col min="4" max="4" width="12" customWidth="1"/>
    <col min="5" max="5" width="9.5703125" bestFit="1" customWidth="1"/>
    <col min="8" max="8" width="10.85546875" customWidth="1"/>
    <col min="10" max="10" width="9.5703125" bestFit="1" customWidth="1"/>
  </cols>
  <sheetData>
    <row r="1" spans="1:14">
      <c r="A1" s="10" t="s">
        <v>37</v>
      </c>
      <c r="B1" s="126">
        <f>'Company Analysis'!B2</f>
        <v>40178</v>
      </c>
      <c r="C1" s="126">
        <f>'Company Analysis'!C2</f>
        <v>40543</v>
      </c>
      <c r="D1" s="126">
        <f>'Company Analysis'!D2</f>
        <v>40908</v>
      </c>
      <c r="E1" s="126">
        <f>'Company Analysis'!E2</f>
        <v>41274</v>
      </c>
      <c r="F1" s="126">
        <f>'Company Analysis'!F2</f>
        <v>41639</v>
      </c>
      <c r="G1" s="126">
        <f>'Company Analysis'!G2</f>
        <v>42004</v>
      </c>
      <c r="H1" s="126">
        <f>'Company Analysis'!H2</f>
        <v>42369</v>
      </c>
      <c r="I1" s="126">
        <f>'Company Analysis'!I2</f>
        <v>42735</v>
      </c>
      <c r="J1" s="126">
        <f>'Graphing Data'!I1+365</f>
        <v>43100</v>
      </c>
      <c r="K1" s="126">
        <f>'Graphing Data'!J1+365</f>
        <v>43465</v>
      </c>
      <c r="L1" s="126">
        <f>'Graphing Data'!K1+365</f>
        <v>43830</v>
      </c>
      <c r="M1" s="126">
        <f>'Graphing Data'!L1+365</f>
        <v>44195</v>
      </c>
      <c r="N1" s="126">
        <f>'Graphing Data'!M1+365</f>
        <v>44560</v>
      </c>
    </row>
    <row r="2" spans="1:14">
      <c r="A2" t="s">
        <v>162</v>
      </c>
      <c r="B2" s="17">
        <f>'Company Analysis'!B3</f>
        <v>104589</v>
      </c>
      <c r="C2" s="17">
        <f>'Company Analysis'!C3</f>
        <v>135592</v>
      </c>
      <c r="D2" s="17">
        <f>'Company Analysis'!D3</f>
        <v>150276</v>
      </c>
      <c r="E2" s="17">
        <f>'Company Analysis'!E3</f>
        <v>152256</v>
      </c>
      <c r="F2" s="17">
        <f>'Company Analysis'!F3</f>
        <v>155427</v>
      </c>
      <c r="G2" s="17">
        <f>'Company Analysis'!G3</f>
        <v>155929</v>
      </c>
      <c r="H2" s="17">
        <f>'Company Analysis'!H3</f>
        <v>152356</v>
      </c>
      <c r="I2" s="17">
        <f>'Company Analysis'!I3</f>
        <v>166380</v>
      </c>
      <c r="J2" s="17"/>
      <c r="K2" s="17"/>
      <c r="L2" s="17"/>
      <c r="M2" s="17"/>
      <c r="N2" s="17"/>
    </row>
    <row r="3" spans="1:14">
      <c r="A3" t="s">
        <v>163</v>
      </c>
      <c r="J3" s="17">
        <f>$I$2*(1+'Valuation Model'!C8)</f>
        <v>166380</v>
      </c>
      <c r="K3" s="17">
        <f>J3*(1+'Valuation Model'!D8)</f>
        <v>166380</v>
      </c>
      <c r="L3" s="17">
        <f>K3*(1+'Valuation Model'!E8)</f>
        <v>166380</v>
      </c>
      <c r="M3" s="17">
        <f>L3*(1+'Valuation Model'!F8)</f>
        <v>166380</v>
      </c>
      <c r="N3" s="17">
        <f>M3*(1+'Valuation Model'!G8)</f>
        <v>166380</v>
      </c>
    </row>
    <row r="4" spans="1:14">
      <c r="A4" t="s">
        <v>164</v>
      </c>
      <c r="J4" s="17">
        <f>$I$2*(1+'Valuation Model'!C9)</f>
        <v>166380</v>
      </c>
      <c r="K4" s="17">
        <f>J4*(1+'Valuation Model'!D9)</f>
        <v>166380</v>
      </c>
      <c r="L4" s="17">
        <f>K4*(1+'Valuation Model'!E9)</f>
        <v>166380</v>
      </c>
      <c r="M4" s="17">
        <f>L4*(1+'Valuation Model'!F9)</f>
        <v>166380</v>
      </c>
      <c r="N4" s="17">
        <f>M4*(1+'Valuation Model'!G9)</f>
        <v>166380</v>
      </c>
    </row>
    <row r="5" spans="1:14">
      <c r="A5" t="s">
        <v>165</v>
      </c>
      <c r="B5" s="20"/>
      <c r="C5" s="20">
        <f t="shared" ref="C5:I5" si="0">C2/B2-1</f>
        <v>0.29642696650699407</v>
      </c>
      <c r="D5" s="20">
        <f t="shared" si="0"/>
        <v>0.10829547465927192</v>
      </c>
      <c r="E5" s="20">
        <f t="shared" si="0"/>
        <v>1.3175756607841649E-2</v>
      </c>
      <c r="F5" s="20">
        <f t="shared" si="0"/>
        <v>2.0826765447667039E-2</v>
      </c>
      <c r="G5" s="20">
        <f t="shared" si="0"/>
        <v>3.2298120661147234E-3</v>
      </c>
      <c r="H5" s="20">
        <f t="shared" si="0"/>
        <v>-2.2914275086738156E-2</v>
      </c>
      <c r="I5" s="20">
        <f t="shared" si="0"/>
        <v>9.2047572790044274E-2</v>
      </c>
    </row>
    <row r="6" spans="1:14">
      <c r="A6" t="s">
        <v>166</v>
      </c>
      <c r="I6" s="95">
        <f>I5</f>
        <v>9.2047572790044274E-2</v>
      </c>
      <c r="J6" s="95">
        <f>'Valuation Model'!C8</f>
        <v>0</v>
      </c>
      <c r="K6" s="95">
        <f>'Valuation Model'!D8</f>
        <v>0</v>
      </c>
      <c r="L6" s="95">
        <f>'Valuation Model'!E8</f>
        <v>0</v>
      </c>
      <c r="M6" s="95">
        <f>'Valuation Model'!F8</f>
        <v>0</v>
      </c>
      <c r="N6" s="95">
        <f>'Valuation Model'!G8</f>
        <v>0</v>
      </c>
    </row>
    <row r="7" spans="1:14">
      <c r="A7" t="s">
        <v>167</v>
      </c>
      <c r="I7" s="95">
        <f>I5</f>
        <v>9.2047572790044274E-2</v>
      </c>
      <c r="J7" s="95">
        <f>'Valuation Model'!C9</f>
        <v>0</v>
      </c>
      <c r="K7" s="95">
        <f>'Valuation Model'!D9</f>
        <v>0</v>
      </c>
      <c r="L7" s="95">
        <f>'Valuation Model'!E9</f>
        <v>0</v>
      </c>
      <c r="M7" s="95">
        <f>'Valuation Model'!F9</f>
        <v>0</v>
      </c>
      <c r="N7" s="95">
        <f>'Valuation Model'!G9</f>
        <v>0</v>
      </c>
    </row>
    <row r="9" spans="1:14">
      <c r="A9" s="10" t="s">
        <v>71</v>
      </c>
      <c r="B9" s="126">
        <f t="shared" ref="B9:N9" si="1">B1</f>
        <v>40178</v>
      </c>
      <c r="C9" s="126">
        <f t="shared" si="1"/>
        <v>40543</v>
      </c>
      <c r="D9" s="126">
        <f t="shared" si="1"/>
        <v>40908</v>
      </c>
      <c r="E9" s="126">
        <f t="shared" si="1"/>
        <v>41274</v>
      </c>
      <c r="F9" s="126">
        <f t="shared" si="1"/>
        <v>41639</v>
      </c>
      <c r="G9" s="126">
        <f t="shared" si="1"/>
        <v>42004</v>
      </c>
      <c r="H9" s="126">
        <f t="shared" si="1"/>
        <v>42369</v>
      </c>
      <c r="I9" s="126">
        <f t="shared" si="1"/>
        <v>42735</v>
      </c>
      <c r="J9" s="126">
        <f t="shared" si="1"/>
        <v>43100</v>
      </c>
      <c r="K9" s="126">
        <f t="shared" si="1"/>
        <v>43465</v>
      </c>
      <c r="L9" s="126">
        <f t="shared" si="1"/>
        <v>43830</v>
      </c>
      <c r="M9" s="126">
        <f t="shared" si="1"/>
        <v>44195</v>
      </c>
      <c r="N9" s="126">
        <f t="shared" si="1"/>
        <v>44560</v>
      </c>
    </row>
    <row r="10" spans="1:14">
      <c r="A10" t="s">
        <v>168</v>
      </c>
      <c r="B10" s="17">
        <f>'Company Analysis'!B12</f>
        <v>-28932.644799999998</v>
      </c>
      <c r="C10" s="17">
        <f>'Company Analysis'!C12</f>
        <v>-246.84499999999935</v>
      </c>
      <c r="D10" s="17">
        <f>'Company Analysis'!D12</f>
        <v>519.16079999999965</v>
      </c>
      <c r="E10" s="17">
        <f>'Company Analysis'!E12</f>
        <v>1585.7489999999998</v>
      </c>
      <c r="F10" s="17">
        <f>'Company Analysis'!F12</f>
        <v>4468.3850000000011</v>
      </c>
      <c r="G10" s="17">
        <f>'Company Analysis'!G12</f>
        <v>2764.9911999999995</v>
      </c>
      <c r="H10" s="17">
        <f>'Company Analysis'!H12</f>
        <v>3615.4758999999995</v>
      </c>
      <c r="I10" s="17">
        <f>'Company Analysis'!I12</f>
        <v>5921.5544000000009</v>
      </c>
    </row>
    <row r="11" spans="1:14">
      <c r="A11" t="s">
        <v>169</v>
      </c>
      <c r="J11" s="18">
        <f>'Valuation Model'!C10*'Graphing Data'!J3</f>
        <v>0</v>
      </c>
      <c r="K11" s="18">
        <f>'Valuation Model'!D10*'Graphing Data'!K3</f>
        <v>0</v>
      </c>
      <c r="L11" s="18">
        <f>'Valuation Model'!E10*'Graphing Data'!L3</f>
        <v>0</v>
      </c>
      <c r="M11" s="18">
        <f>'Valuation Model'!F10*'Graphing Data'!M3</f>
        <v>0</v>
      </c>
      <c r="N11" s="18">
        <f>'Valuation Model'!G10*'Graphing Data'!N3</f>
        <v>0</v>
      </c>
    </row>
    <row r="12" spans="1:14">
      <c r="A12" t="s">
        <v>170</v>
      </c>
      <c r="J12" s="18">
        <f>'Valuation Model'!C11*'Graphing Data'!J4</f>
        <v>0</v>
      </c>
      <c r="K12" s="18">
        <f>'Valuation Model'!D11*'Graphing Data'!K4</f>
        <v>0</v>
      </c>
      <c r="L12" s="18">
        <f>'Valuation Model'!E11*'Graphing Data'!L4</f>
        <v>0</v>
      </c>
      <c r="M12" s="18">
        <f>'Valuation Model'!F11*'Graphing Data'!M4</f>
        <v>0</v>
      </c>
      <c r="N12" s="18">
        <f>'Valuation Model'!G11*'Graphing Data'!N4</f>
        <v>0</v>
      </c>
    </row>
    <row r="13" spans="1:14">
      <c r="A13" t="s">
        <v>171</v>
      </c>
      <c r="B13" s="20">
        <f t="shared" ref="B13:I13" si="2">B10/B2</f>
        <v>-0.27663181405310311</v>
      </c>
      <c r="C13" s="20">
        <f t="shared" si="2"/>
        <v>-1.8204982594843305E-3</v>
      </c>
      <c r="D13" s="20">
        <f t="shared" si="2"/>
        <v>3.454715323804198E-3</v>
      </c>
      <c r="E13" s="20">
        <f t="shared" si="2"/>
        <v>1.0415018127364438E-2</v>
      </c>
      <c r="F13" s="20">
        <f t="shared" si="2"/>
        <v>2.8749091213238376E-2</v>
      </c>
      <c r="G13" s="20">
        <f t="shared" si="2"/>
        <v>1.7732373067229312E-2</v>
      </c>
      <c r="H13" s="20">
        <f t="shared" si="2"/>
        <v>2.3730446454356898E-2</v>
      </c>
      <c r="I13" s="20">
        <f t="shared" si="2"/>
        <v>3.5590542132467852E-2</v>
      </c>
    </row>
    <row r="14" spans="1:14">
      <c r="A14" t="s">
        <v>172</v>
      </c>
      <c r="I14" s="95">
        <f>I13</f>
        <v>3.5590542132467852E-2</v>
      </c>
      <c r="J14" s="95">
        <f>'Valuation Model'!C10</f>
        <v>0</v>
      </c>
      <c r="K14" s="95">
        <f>'Valuation Model'!D10</f>
        <v>0</v>
      </c>
      <c r="L14" s="95">
        <f>'Valuation Model'!E10</f>
        <v>0</v>
      </c>
      <c r="M14" s="95">
        <f>'Valuation Model'!F10</f>
        <v>0</v>
      </c>
      <c r="N14" s="95">
        <f>'Valuation Model'!G10</f>
        <v>0</v>
      </c>
    </row>
    <row r="15" spans="1:14">
      <c r="A15" t="s">
        <v>173</v>
      </c>
      <c r="I15" s="95">
        <f>I13</f>
        <v>3.5590542132467852E-2</v>
      </c>
      <c r="J15" s="95">
        <f>'Valuation Model'!C11</f>
        <v>0</v>
      </c>
      <c r="K15" s="95">
        <f>'Valuation Model'!D11</f>
        <v>0</v>
      </c>
      <c r="L15" s="95">
        <f>'Valuation Model'!E11</f>
        <v>0</v>
      </c>
      <c r="M15" s="95">
        <f>'Valuation Model'!F11</f>
        <v>0</v>
      </c>
      <c r="N15" s="95">
        <f>'Valuation Model'!G11</f>
        <v>0</v>
      </c>
    </row>
    <row r="17" spans="1:14">
      <c r="A17" s="10" t="s">
        <v>174</v>
      </c>
      <c r="B17" s="126">
        <f t="shared" ref="B17:I17" si="3">B9</f>
        <v>40178</v>
      </c>
      <c r="C17" s="126">
        <f t="shared" si="3"/>
        <v>40543</v>
      </c>
      <c r="D17" s="126">
        <f t="shared" si="3"/>
        <v>40908</v>
      </c>
      <c r="E17" s="126">
        <f t="shared" si="3"/>
        <v>41274</v>
      </c>
      <c r="F17" s="126">
        <f t="shared" si="3"/>
        <v>41639</v>
      </c>
      <c r="G17" s="126">
        <f t="shared" si="3"/>
        <v>42004</v>
      </c>
      <c r="H17" s="126">
        <f t="shared" si="3"/>
        <v>42369</v>
      </c>
      <c r="I17" s="126">
        <f t="shared" si="3"/>
        <v>42735</v>
      </c>
    </row>
    <row r="18" spans="1:14">
      <c r="A18" t="s">
        <v>136</v>
      </c>
      <c r="B18" s="18">
        <f t="shared" ref="B18:I18" si="4">B10</f>
        <v>-28932.644799999998</v>
      </c>
      <c r="C18" s="18">
        <f t="shared" si="4"/>
        <v>-246.84499999999935</v>
      </c>
      <c r="D18" s="18">
        <f t="shared" si="4"/>
        <v>519.16079999999965</v>
      </c>
      <c r="E18" s="18">
        <f t="shared" si="4"/>
        <v>1585.7489999999998</v>
      </c>
      <c r="F18" s="18">
        <f t="shared" si="4"/>
        <v>4468.3850000000011</v>
      </c>
      <c r="G18" s="18">
        <f t="shared" si="4"/>
        <v>2764.9911999999995</v>
      </c>
      <c r="H18" s="18">
        <f t="shared" si="4"/>
        <v>3615.4758999999995</v>
      </c>
      <c r="I18" s="18">
        <f t="shared" si="4"/>
        <v>5921.5544000000009</v>
      </c>
    </row>
    <row r="19" spans="1:14">
      <c r="A19" t="s">
        <v>175</v>
      </c>
      <c r="B19" s="18">
        <f>-'Company Analysis'!B30</f>
        <v>-4292.6447999999982</v>
      </c>
      <c r="C19" s="18">
        <f>-'Company Analysis'!C30</f>
        <v>-548.84499999999935</v>
      </c>
      <c r="D19" s="18">
        <f>-'Company Analysis'!D30</f>
        <v>-4054.6581519047622</v>
      </c>
      <c r="E19" s="18">
        <f>-'Company Analysis'!E30</f>
        <v>2287.9293952569169</v>
      </c>
      <c r="F19" s="18">
        <f>-'Company Analysis'!F30</f>
        <v>7003.8642094861661</v>
      </c>
      <c r="G19" s="18">
        <f>-'Company Analysis'!G30</f>
        <v>8297.2032237154144</v>
      </c>
      <c r="H19" s="18">
        <f>-'Company Analysis'!H30</f>
        <v>20811.301405928851</v>
      </c>
      <c r="I19" s="18">
        <f>-'Company Analysis'!I30</f>
        <v>21791.252548936172</v>
      </c>
    </row>
    <row r="21" spans="1:14">
      <c r="A21" s="10" t="s">
        <v>176</v>
      </c>
      <c r="B21" s="126">
        <f t="shared" ref="B21:I21" si="5">B17</f>
        <v>40178</v>
      </c>
      <c r="C21" s="126">
        <f t="shared" si="5"/>
        <v>40543</v>
      </c>
      <c r="D21" s="126">
        <f t="shared" si="5"/>
        <v>40908</v>
      </c>
      <c r="E21" s="126">
        <f t="shared" si="5"/>
        <v>41274</v>
      </c>
      <c r="F21" s="126">
        <f t="shared" si="5"/>
        <v>41639</v>
      </c>
      <c r="G21" s="126">
        <f t="shared" si="5"/>
        <v>42004</v>
      </c>
      <c r="H21" s="126">
        <f t="shared" si="5"/>
        <v>42369</v>
      </c>
      <c r="I21" s="126">
        <f t="shared" si="5"/>
        <v>42735</v>
      </c>
    </row>
    <row r="22" spans="1:14">
      <c r="A22" t="str">
        <f>'Company Analysis'!A21</f>
        <v>Capex in Excess of Maintenance</v>
      </c>
      <c r="B22" s="18">
        <f>-'Company Analysis'!B21</f>
        <v>-6419.6447999999982</v>
      </c>
      <c r="C22" s="18">
        <f>-'Company Analysis'!C21</f>
        <v>-3014.8449999999993</v>
      </c>
      <c r="D22" s="18">
        <f>-'Company Analysis'!D21</f>
        <v>-1397.8392000000003</v>
      </c>
      <c r="E22" s="18">
        <f>-'Company Analysis'!E21</f>
        <v>-951.2510000000002</v>
      </c>
      <c r="F22" s="18">
        <f>-'Company Analysis'!F21</f>
        <v>-596.61499999999887</v>
      </c>
      <c r="G22" s="18">
        <f>-'Company Analysis'!G21</f>
        <v>-202.00880000000052</v>
      </c>
      <c r="H22" s="18">
        <f>-'Company Analysis'!H21</f>
        <v>-201.52410000000054</v>
      </c>
      <c r="I22" s="18">
        <f>-'Company Analysis'!I21</f>
        <v>-1081.4455999999991</v>
      </c>
    </row>
    <row r="23" spans="1:14">
      <c r="A23" t="s">
        <v>178</v>
      </c>
      <c r="B23" s="18">
        <f>-'Company Analysis'!B22</f>
        <v>0</v>
      </c>
      <c r="C23" s="18">
        <f>-'Company Analysis'!C22</f>
        <v>-317</v>
      </c>
      <c r="D23" s="18">
        <f>-'Company Analysis'!D22</f>
        <v>-4821</v>
      </c>
      <c r="E23" s="18">
        <f>-'Company Analysis'!E22</f>
        <v>-18</v>
      </c>
      <c r="F23" s="18">
        <f>-'Company Analysis'!F22</f>
        <v>-896</v>
      </c>
      <c r="G23" s="18">
        <f>-'Company Analysis'!G22</f>
        <v>0</v>
      </c>
      <c r="H23" s="18">
        <f>-'Company Analysis'!H22</f>
        <v>0</v>
      </c>
      <c r="I23" s="18">
        <f>-'Company Analysis'!I22</f>
        <v>0</v>
      </c>
    </row>
    <row r="24" spans="1:14">
      <c r="A24" t="s">
        <v>179</v>
      </c>
      <c r="B24" s="18">
        <f>-'Company Analysis'!B23</f>
        <v>2127</v>
      </c>
      <c r="C24" s="18">
        <f>-'Company Analysis'!C23</f>
        <v>3042</v>
      </c>
      <c r="D24" s="18">
        <f>-'Company Analysis'!D23</f>
        <v>53</v>
      </c>
      <c r="E24" s="18">
        <f>-'Company Analysis'!E23</f>
        <v>44</v>
      </c>
      <c r="F24" s="18">
        <f>-'Company Analysis'!F23</f>
        <v>2623</v>
      </c>
      <c r="G24" s="18">
        <f>-'Company Analysis'!G23</f>
        <v>53</v>
      </c>
      <c r="H24" s="18">
        <f>-'Company Analysis'!H23</f>
        <v>928</v>
      </c>
      <c r="I24" s="18">
        <f>-'Company Analysis'!I23</f>
        <v>809</v>
      </c>
    </row>
    <row r="25" spans="1:14">
      <c r="A25" t="s">
        <v>180</v>
      </c>
      <c r="B25" s="18">
        <f>-'Company Analysis'!B24</f>
        <v>0</v>
      </c>
      <c r="C25" s="18">
        <f>-'Company Analysis'!C24</f>
        <v>-259</v>
      </c>
      <c r="D25" s="18">
        <f>-'Company Analysis'!D24</f>
        <v>2083</v>
      </c>
      <c r="E25" s="18">
        <f>-'Company Analysis'!E24</f>
        <v>3106</v>
      </c>
      <c r="F25" s="18">
        <f>-'Company Analysis'!F24</f>
        <v>5320</v>
      </c>
      <c r="G25" s="18">
        <f>-'Company Analysis'!G24</f>
        <v>8127</v>
      </c>
      <c r="H25" s="18">
        <f>-'Company Analysis'!H24</f>
        <v>19831</v>
      </c>
      <c r="I25" s="18">
        <f>-'Company Analysis'!I24</f>
        <v>21764</v>
      </c>
    </row>
    <row r="26" spans="1:14">
      <c r="A26" t="s">
        <v>189</v>
      </c>
      <c r="B26" s="18">
        <f>'Company Analysis'!B25</f>
        <v>0</v>
      </c>
      <c r="C26" s="18">
        <f>'Company Analysis'!C25</f>
        <v>0</v>
      </c>
      <c r="D26" s="18">
        <f>'Company Analysis'!D25</f>
        <v>0</v>
      </c>
      <c r="E26" s="18">
        <f>'Company Analysis'!E25</f>
        <v>0</v>
      </c>
      <c r="F26" s="18">
        <f>'Company Analysis'!F25</f>
        <v>0</v>
      </c>
      <c r="G26" s="18">
        <f>'Company Analysis'!G25</f>
        <v>0</v>
      </c>
      <c r="H26" s="18">
        <f>'Company Analysis'!H25</f>
        <v>0</v>
      </c>
      <c r="I26" s="18">
        <f>'Company Analysis'!I25</f>
        <v>0</v>
      </c>
    </row>
    <row r="27" spans="1:14">
      <c r="A27" t="s">
        <v>181</v>
      </c>
      <c r="B27" s="18">
        <f>-'Company Analysis'!B29</f>
        <v>0</v>
      </c>
      <c r="C27" s="18">
        <f>-'Company Analysis'!C29</f>
        <v>0</v>
      </c>
      <c r="D27" s="18">
        <f>-'Company Analysis'!D29</f>
        <v>28.181048095238037</v>
      </c>
      <c r="E27" s="18">
        <f>-'Company Analysis'!E29</f>
        <v>107.18039525691711</v>
      </c>
      <c r="F27" s="18">
        <f>-'Company Analysis'!F29</f>
        <v>553.47920948616479</v>
      </c>
      <c r="G27" s="18">
        <f>-'Company Analysis'!G29</f>
        <v>319.2120237154154</v>
      </c>
      <c r="H27" s="18">
        <f>-'Company Analysis'!H29</f>
        <v>253.82550592885346</v>
      </c>
      <c r="I27" s="18">
        <f>-'Company Analysis'!I29</f>
        <v>299.69814893617036</v>
      </c>
    </row>
    <row r="29" spans="1:14">
      <c r="A29" s="10" t="s">
        <v>73</v>
      </c>
      <c r="B29" s="126">
        <f t="shared" ref="B29:N29" si="6">B1</f>
        <v>40178</v>
      </c>
      <c r="C29" s="126">
        <f t="shared" si="6"/>
        <v>40543</v>
      </c>
      <c r="D29" s="126">
        <f t="shared" si="6"/>
        <v>40908</v>
      </c>
      <c r="E29" s="126">
        <f t="shared" si="6"/>
        <v>41274</v>
      </c>
      <c r="F29" s="126">
        <f t="shared" si="6"/>
        <v>41639</v>
      </c>
      <c r="G29" s="126">
        <f t="shared" si="6"/>
        <v>42004</v>
      </c>
      <c r="H29" s="126">
        <f t="shared" si="6"/>
        <v>42369</v>
      </c>
      <c r="I29" s="126">
        <f t="shared" si="6"/>
        <v>42735</v>
      </c>
      <c r="J29" s="126">
        <f t="shared" si="6"/>
        <v>43100</v>
      </c>
      <c r="K29" s="126">
        <f t="shared" si="6"/>
        <v>43465</v>
      </c>
      <c r="L29" s="126">
        <f t="shared" si="6"/>
        <v>43830</v>
      </c>
      <c r="M29" s="126">
        <f t="shared" si="6"/>
        <v>44195</v>
      </c>
      <c r="N29" s="126">
        <f t="shared" si="6"/>
        <v>44560</v>
      </c>
    </row>
    <row r="30" spans="1:14">
      <c r="A30" t="s">
        <v>182</v>
      </c>
      <c r="B30" s="18">
        <f>'Company Analysis'!B34</f>
        <v>-24640</v>
      </c>
      <c r="C30" s="18">
        <f>'Company Analysis'!C34</f>
        <v>302</v>
      </c>
      <c r="D30" s="18">
        <f>'Company Analysis'!D34</f>
        <v>4573.8189519047619</v>
      </c>
      <c r="E30" s="18">
        <f>'Company Analysis'!E34</f>
        <v>-702.18039525691711</v>
      </c>
      <c r="F30" s="18">
        <f>'Company Analysis'!F34</f>
        <v>-2535.479209486165</v>
      </c>
      <c r="G30" s="18">
        <f>'Company Analysis'!G34</f>
        <v>-5532.2120237154149</v>
      </c>
      <c r="H30" s="18">
        <f>'Company Analysis'!H34</f>
        <v>-17195.825505928849</v>
      </c>
      <c r="I30" s="18">
        <f>'Company Analysis'!I34</f>
        <v>-15869.698148936171</v>
      </c>
    </row>
    <row r="31" spans="1:14">
      <c r="A31" t="s">
        <v>183</v>
      </c>
      <c r="J31" s="18">
        <f>J11*(1-'Valuation Model'!C12)</f>
        <v>0</v>
      </c>
      <c r="K31" s="18">
        <f>K11*(1-'Valuation Model'!D12)</f>
        <v>0</v>
      </c>
      <c r="L31" s="18">
        <f>L11*(1-'Valuation Model'!E12)</f>
        <v>0</v>
      </c>
      <c r="M31" s="18">
        <f>M11*(1-'Valuation Model'!F12)</f>
        <v>0</v>
      </c>
      <c r="N31" s="18">
        <f>N11*(1-'Valuation Model'!G12)</f>
        <v>0</v>
      </c>
    </row>
    <row r="32" spans="1:14">
      <c r="A32" t="s">
        <v>184</v>
      </c>
      <c r="J32" s="18">
        <f>J12*(1-'Valuation Model'!C12)</f>
        <v>0</v>
      </c>
      <c r="K32" s="18">
        <f>K12*(1-'Valuation Model'!D12)</f>
        <v>0</v>
      </c>
      <c r="L32" s="18">
        <f>L12*(1-'Valuation Model'!E12)</f>
        <v>0</v>
      </c>
      <c r="M32" s="18">
        <f>M12*(1-'Valuation Model'!F12)</f>
        <v>0</v>
      </c>
      <c r="N32" s="18">
        <f>N12*(1-'Valuation Model'!G12)</f>
        <v>0</v>
      </c>
    </row>
    <row r="33" spans="1:14">
      <c r="A33" t="s">
        <v>185</v>
      </c>
      <c r="B33" s="130">
        <f t="shared" ref="B33:H33" si="7">B30/B2</f>
        <v>-0.23558882865310884</v>
      </c>
      <c r="C33" s="130">
        <f t="shared" si="7"/>
        <v>2.2272700454304089E-3</v>
      </c>
      <c r="D33" s="130">
        <f t="shared" si="7"/>
        <v>3.043612387809605E-2</v>
      </c>
      <c r="E33" s="130">
        <f t="shared" si="7"/>
        <v>-4.6118405531270831E-3</v>
      </c>
      <c r="F33" s="130">
        <f t="shared" si="7"/>
        <v>-1.6312990725460601E-2</v>
      </c>
      <c r="G33" s="130">
        <f t="shared" si="7"/>
        <v>-3.5479045102036276E-2</v>
      </c>
      <c r="H33" s="130">
        <f t="shared" si="7"/>
        <v>-0.11286608670435591</v>
      </c>
      <c r="I33" s="130">
        <f>I30/I2</f>
        <v>-9.538224635735168E-2</v>
      </c>
    </row>
    <row r="34" spans="1:14">
      <c r="A34" t="s">
        <v>186</v>
      </c>
      <c r="I34" s="95">
        <f>I33</f>
        <v>-9.538224635735168E-2</v>
      </c>
      <c r="J34" s="127">
        <f>(1-'Valuation Model'!C12)*'Valuation Model'!C10</f>
        <v>0</v>
      </c>
      <c r="K34" s="127">
        <f>(1-'Valuation Model'!D12)*'Valuation Model'!D10</f>
        <v>0</v>
      </c>
      <c r="L34" s="127">
        <f>(1-'Valuation Model'!E12)*'Valuation Model'!E10</f>
        <v>0</v>
      </c>
      <c r="M34" s="127">
        <f>(1-'Valuation Model'!F12)*'Valuation Model'!F10</f>
        <v>0</v>
      </c>
      <c r="N34" s="127">
        <f>(1-'Valuation Model'!G12)*'Valuation Model'!G10</f>
        <v>0</v>
      </c>
    </row>
    <row r="35" spans="1:14">
      <c r="A35" t="s">
        <v>187</v>
      </c>
      <c r="I35" s="95">
        <f>I33</f>
        <v>-9.538224635735168E-2</v>
      </c>
      <c r="J35" s="127">
        <f>(1-'Valuation Model'!C12)*'Valuation Model'!C11</f>
        <v>0</v>
      </c>
      <c r="K35" s="127">
        <f>(1-'Valuation Model'!D12)*'Valuation Model'!D11</f>
        <v>0</v>
      </c>
      <c r="L35" s="127">
        <f>(1-'Valuation Model'!E12)*'Valuation Model'!E11</f>
        <v>0</v>
      </c>
      <c r="M35" s="127">
        <f>(1-'Valuation Model'!F12)*'Valuation Model'!F11</f>
        <v>0</v>
      </c>
      <c r="N35" s="127">
        <f>(1-'Valuation Model'!G12)*'Valuation Model'!G11</f>
        <v>0</v>
      </c>
    </row>
    <row r="37" spans="1:14">
      <c r="A37" s="10" t="s">
        <v>152</v>
      </c>
      <c r="B37" s="126">
        <f t="shared" ref="B37:I37" si="8">B1</f>
        <v>40178</v>
      </c>
      <c r="C37" s="126">
        <f t="shared" si="8"/>
        <v>40543</v>
      </c>
      <c r="D37" s="126">
        <f t="shared" si="8"/>
        <v>40908</v>
      </c>
      <c r="E37" s="126">
        <f t="shared" si="8"/>
        <v>41274</v>
      </c>
      <c r="F37" s="126">
        <f t="shared" si="8"/>
        <v>41639</v>
      </c>
      <c r="G37" s="126">
        <f t="shared" si="8"/>
        <v>42004</v>
      </c>
      <c r="H37" s="126">
        <f t="shared" si="8"/>
        <v>42369</v>
      </c>
      <c r="I37" s="126">
        <f t="shared" si="8"/>
        <v>42735</v>
      </c>
    </row>
    <row r="38" spans="1:14">
      <c r="A38" t="str">
        <f>ticker&amp;" Actual OCP ($, LHS)"</f>
        <v>GM Actual OCP ($, LHS)</v>
      </c>
      <c r="B38" s="18">
        <f t="shared" ref="B38:I38" si="9">B10</f>
        <v>-28932.644799999998</v>
      </c>
      <c r="C38" s="18">
        <f t="shared" si="9"/>
        <v>-246.84499999999935</v>
      </c>
      <c r="D38" s="18">
        <f t="shared" si="9"/>
        <v>519.16079999999965</v>
      </c>
      <c r="E38" s="18">
        <f t="shared" si="9"/>
        <v>1585.7489999999998</v>
      </c>
      <c r="F38" s="18">
        <f t="shared" si="9"/>
        <v>4468.3850000000011</v>
      </c>
      <c r="G38" s="18">
        <f t="shared" si="9"/>
        <v>2764.9911999999995</v>
      </c>
      <c r="H38" s="18">
        <f t="shared" si="9"/>
        <v>3615.4758999999995</v>
      </c>
      <c r="I38" s="18">
        <f t="shared" si="9"/>
        <v>5921.5544000000009</v>
      </c>
    </row>
    <row r="39" spans="1:14">
      <c r="A39" t="str">
        <f>ticker&amp;" OCP if GDP-Growth ($, LHS)"</f>
        <v>GM OCP if GDP-Growth ($, LHS)</v>
      </c>
      <c r="B39" s="18"/>
      <c r="C39" s="18"/>
      <c r="D39" s="18">
        <f>D38</f>
        <v>519.16079999999965</v>
      </c>
      <c r="E39" s="18">
        <f>(1+'Company Analysis'!E42)*D39</f>
        <v>537.15759383730403</v>
      </c>
      <c r="F39" s="18">
        <f>(1+'Company Analysis'!F42)*E39</f>
        <v>561.68611877126159</v>
      </c>
      <c r="G39" s="18">
        <f>(1+'Company Analysis'!G42)*F39</f>
        <v>582.2548228389702</v>
      </c>
      <c r="H39" s="18">
        <f>(1+'Company Analysis'!H42)*G39</f>
        <v>597.41988431261973</v>
      </c>
      <c r="I39" s="18">
        <f>(1+'Company Analysis'!I42)*H39</f>
        <v>620.59338748835921</v>
      </c>
    </row>
    <row r="40" spans="1:14">
      <c r="A40" t="str">
        <f>ticker&amp;" - GDP Growth Difference (YoY, %, RHS)"</f>
        <v>GM - GDP Growth Difference (YoY, %, RHS)</v>
      </c>
      <c r="B40" s="95"/>
      <c r="C40" s="95"/>
      <c r="D40" s="95">
        <f>'Company Analysis'!D43-'Company Analysis'!D42</f>
        <v>3.0667380779761921</v>
      </c>
      <c r="E40" s="95">
        <f>'Company Analysis'!E43-'Company Analysis'!E42</f>
        <v>2.0197815516169486</v>
      </c>
      <c r="F40" s="95">
        <f>'Company Analysis'!F43-'Company Analysis'!F42</f>
        <v>1.7721752083659186</v>
      </c>
      <c r="G40" s="95">
        <f>'Company Analysis'!G43-'Company Analysis'!G42</f>
        <v>-0.41782973863813566</v>
      </c>
      <c r="H40" s="95">
        <f>'Company Analysis'!H43-'Company Analysis'!H42</f>
        <v>0.28154497926610267</v>
      </c>
      <c r="I40" s="95">
        <f>'Company Analysis'!I43-'Company Analysis'!I42</f>
        <v>0.59904608854365993</v>
      </c>
    </row>
    <row r="41" spans="1:14">
      <c r="A41" t="str">
        <f>ticker&amp;" - GDP Growth Difference (3Y, %, RHS)"</f>
        <v>GM - GDP Growth Difference (3Y, %, RHS)</v>
      </c>
      <c r="B41" s="95"/>
      <c r="C41" s="95"/>
      <c r="D41" s="95">
        <f>'Company Analysis'!D45-'Company Analysis'!D44</f>
        <v>0</v>
      </c>
      <c r="E41" s="95">
        <f>'Company Analysis'!E45-'Company Analysis'!E44</f>
        <v>-1.103573910389674</v>
      </c>
      <c r="F41" s="95">
        <f>'Company Analysis'!F45-'Company Analysis'!F44</f>
        <v>2.4986779308815903</v>
      </c>
      <c r="G41" s="95">
        <f>'Company Analysis'!G45-'Company Analysis'!G44</f>
        <v>0.30266481061314154</v>
      </c>
      <c r="H41" s="95">
        <f>'Company Analysis'!H45-'Company Analysis'!H44</f>
        <v>0.19430362260518352</v>
      </c>
      <c r="I41" s="95">
        <f>'Company Analysis'!I45-'Company Analysis'!I44</f>
        <v>0.1001185392270727</v>
      </c>
    </row>
    <row r="43" spans="1:14" hidden="1">
      <c r="A43" s="10" t="s">
        <v>200</v>
      </c>
    </row>
    <row r="44" spans="1:14" hidden="1">
      <c r="A44" s="10" t="s">
        <v>202</v>
      </c>
      <c r="B44" s="154" t="s">
        <v>197</v>
      </c>
      <c r="C44" s="154" t="s">
        <v>203</v>
      </c>
      <c r="D44" s="154" t="s">
        <v>198</v>
      </c>
      <c r="E44" s="154" t="s">
        <v>203</v>
      </c>
      <c r="H44" s="154" t="s">
        <v>201</v>
      </c>
      <c r="I44" s="154" t="s">
        <v>203</v>
      </c>
    </row>
    <row r="45" spans="1:14" hidden="1">
      <c r="A45" s="152">
        <v>32781</v>
      </c>
      <c r="H45" s="153">
        <v>5763.4440000000004</v>
      </c>
      <c r="I45" s="37">
        <v>100</v>
      </c>
    </row>
    <row r="46" spans="1:14" hidden="1">
      <c r="A46" s="152">
        <v>33146</v>
      </c>
      <c r="H46" s="153">
        <v>6023.3320000000003</v>
      </c>
      <c r="I46" s="37">
        <f>H46/H45*I45</f>
        <v>104.50924828973787</v>
      </c>
    </row>
    <row r="47" spans="1:14" hidden="1">
      <c r="A47" s="152">
        <v>33511</v>
      </c>
      <c r="H47" s="153">
        <v>6279.2960000000003</v>
      </c>
      <c r="I47" s="37">
        <f t="shared" ref="I47:I77" si="10">H47/H46*I46</f>
        <v>108.95041228820823</v>
      </c>
    </row>
    <row r="48" spans="1:14" hidden="1">
      <c r="A48" s="152">
        <v>33877</v>
      </c>
      <c r="H48" s="153">
        <v>6697.5529999999999</v>
      </c>
      <c r="I48" s="37">
        <f t="shared" si="10"/>
        <v>116.2074794168209</v>
      </c>
    </row>
    <row r="49" spans="1:9" hidden="1">
      <c r="A49" s="152">
        <v>34242</v>
      </c>
      <c r="H49" s="153">
        <v>7032.8440000000001</v>
      </c>
      <c r="I49" s="37">
        <f t="shared" si="10"/>
        <v>122.025025314725</v>
      </c>
    </row>
    <row r="50" spans="1:9" hidden="1">
      <c r="A50" s="152">
        <v>34607</v>
      </c>
      <c r="H50" s="153">
        <v>7476.6610000000001</v>
      </c>
      <c r="I50" s="37">
        <f t="shared" si="10"/>
        <v>129.72557727636459</v>
      </c>
    </row>
    <row r="51" spans="1:9" hidden="1">
      <c r="A51" s="152">
        <v>34972</v>
      </c>
      <c r="H51" s="153">
        <v>7799.4930000000004</v>
      </c>
      <c r="I51" s="37">
        <f t="shared" si="10"/>
        <v>135.32695034427329</v>
      </c>
    </row>
    <row r="52" spans="1:9" hidden="1">
      <c r="A52" s="152">
        <v>35338</v>
      </c>
      <c r="H52" s="153">
        <v>8287.0779999999995</v>
      </c>
      <c r="I52" s="37">
        <f t="shared" si="10"/>
        <v>143.78690935489263</v>
      </c>
    </row>
    <row r="53" spans="1:9" hidden="1">
      <c r="A53" s="152">
        <v>35703</v>
      </c>
      <c r="H53" s="153">
        <v>8788.32</v>
      </c>
      <c r="I53" s="37">
        <f t="shared" si="10"/>
        <v>152.48382737821339</v>
      </c>
    </row>
    <row r="54" spans="1:9" hidden="1">
      <c r="A54" s="152">
        <v>36068</v>
      </c>
      <c r="H54" s="153">
        <v>9325.65</v>
      </c>
      <c r="I54" s="37">
        <f t="shared" si="10"/>
        <v>161.80689879176404</v>
      </c>
    </row>
    <row r="55" spans="1:9" hidden="1">
      <c r="A55" s="152">
        <v>36433</v>
      </c>
      <c r="H55" s="153">
        <v>9926.1010000000006</v>
      </c>
      <c r="I55" s="37">
        <f t="shared" si="10"/>
        <v>172.22516606390201</v>
      </c>
    </row>
    <row r="56" spans="1:9" hidden="1">
      <c r="A56" s="152">
        <v>36799</v>
      </c>
      <c r="H56" s="153">
        <f>INDEX('GDP Data'!$B$2:$B$71,MATCH('Graphing Data'!A56,'GDP Data'!$A$2:$A$71,0))</f>
        <v>10363.799999999999</v>
      </c>
      <c r="I56" s="37">
        <f t="shared" si="10"/>
        <v>179.81956621769891</v>
      </c>
    </row>
    <row r="57" spans="1:9" hidden="1">
      <c r="A57" s="152">
        <v>37164</v>
      </c>
      <c r="H57" s="153">
        <f>INDEX('GDP Data'!$B$2:$B$71,MATCH('Graphing Data'!A57,'GDP Data'!$A$2:$A$71,0))</f>
        <v>10644.3</v>
      </c>
      <c r="I57" s="37">
        <f t="shared" si="10"/>
        <v>184.68644789469622</v>
      </c>
    </row>
    <row r="58" spans="1:9" hidden="1">
      <c r="A58" s="152">
        <v>37529</v>
      </c>
      <c r="H58" s="153">
        <f>INDEX('GDP Data'!$B$2:$B$71,MATCH('Graphing Data'!A58,'GDP Data'!$A$2:$A$71,0))</f>
        <v>11039.8</v>
      </c>
      <c r="I58" s="37">
        <f t="shared" si="10"/>
        <v>191.54866430557831</v>
      </c>
    </row>
    <row r="59" spans="1:9" hidden="1">
      <c r="A59" s="152">
        <v>37894</v>
      </c>
      <c r="H59" s="153">
        <f>INDEX('GDP Data'!$B$2:$B$71,MATCH('Graphing Data'!A59,'GDP Data'!$A$2:$A$71,0))</f>
        <v>11628.4</v>
      </c>
      <c r="I59" s="37">
        <f t="shared" si="10"/>
        <v>201.76130799570524</v>
      </c>
    </row>
    <row r="60" spans="1:9" hidden="1">
      <c r="A60" s="152">
        <v>38260</v>
      </c>
      <c r="H60" s="153">
        <f>INDEX('GDP Data'!$B$2:$B$71,MATCH('Graphing Data'!A60,'GDP Data'!$A$2:$A$71,0))</f>
        <v>12369.4</v>
      </c>
      <c r="I60" s="37">
        <f t="shared" si="10"/>
        <v>214.61820397664994</v>
      </c>
    </row>
    <row r="61" spans="1:9" hidden="1">
      <c r="A61" s="152">
        <v>38625</v>
      </c>
      <c r="H61" s="153">
        <f>INDEX('GDP Data'!$B$2:$B$71,MATCH('Graphing Data'!A61,'GDP Data'!$A$2:$A$71,0))</f>
        <v>13206.5</v>
      </c>
      <c r="I61" s="37">
        <f t="shared" si="10"/>
        <v>229.14250576564967</v>
      </c>
    </row>
    <row r="62" spans="1:9" hidden="1">
      <c r="A62" s="152">
        <v>38990</v>
      </c>
      <c r="H62" s="153">
        <f>INDEX('GDP Data'!$B$2:$B$71,MATCH('Graphing Data'!A62,'GDP Data'!$A$2:$A$71,0))</f>
        <v>13910.5</v>
      </c>
      <c r="I62" s="37">
        <f t="shared" si="10"/>
        <v>241.35742448438799</v>
      </c>
    </row>
    <row r="63" spans="1:9" hidden="1">
      <c r="A63" s="152">
        <v>39355</v>
      </c>
      <c r="H63" s="153">
        <f>INDEX('GDP Data'!$B$2:$B$71,MATCH('Graphing Data'!A63,'GDP Data'!$A$2:$A$71,0))</f>
        <v>14571.9</v>
      </c>
      <c r="I63" s="37">
        <f t="shared" si="10"/>
        <v>252.83320181474809</v>
      </c>
    </row>
    <row r="64" spans="1:9" hidden="1">
      <c r="A64" s="152">
        <v>39721</v>
      </c>
      <c r="H64" s="153">
        <f>INDEX('GDP Data'!$B$2:$B$71,MATCH('Graphing Data'!A64,'GDP Data'!$A$2:$A$71,0))</f>
        <v>14843</v>
      </c>
      <c r="I64" s="37">
        <f t="shared" si="10"/>
        <v>257.53698656567133</v>
      </c>
    </row>
    <row r="65" spans="1:9" hidden="1">
      <c r="A65" s="152">
        <v>40086</v>
      </c>
      <c r="H65" s="153">
        <f>INDEX('GDP Data'!$B$2:$B$71,MATCH('Graphing Data'!A65,'GDP Data'!$A$2:$A$71,0))</f>
        <v>14384.1</v>
      </c>
      <c r="I65" s="37">
        <f t="shared" si="10"/>
        <v>249.57473344063013</v>
      </c>
    </row>
    <row r="66" spans="1:9" hidden="1">
      <c r="A66" s="152">
        <v>40451</v>
      </c>
      <c r="H66" s="153">
        <f>INDEX('GDP Data'!$B$2:$B$71,MATCH('Graphing Data'!A66,'GDP Data'!$A$2:$A$71,0))</f>
        <v>15057.7</v>
      </c>
      <c r="I66" s="37">
        <f t="shared" si="10"/>
        <v>261.26218976015019</v>
      </c>
    </row>
    <row r="67" spans="1:9" hidden="1">
      <c r="A67" s="152">
        <v>40816</v>
      </c>
      <c r="H67" s="153">
        <f>INDEX('GDP Data'!$B$2:$B$71,MATCH('Graphing Data'!A67,'GDP Data'!$A$2:$A$71,0))</f>
        <v>15587.1</v>
      </c>
      <c r="I67" s="37">
        <f t="shared" si="10"/>
        <v>270.44766983074686</v>
      </c>
    </row>
    <row r="68" spans="1:9" hidden="1">
      <c r="A68" s="152">
        <v>41182</v>
      </c>
      <c r="H68" s="153">
        <f>INDEX('GDP Data'!$B$2:$B$71,MATCH('Graphing Data'!A68,'GDP Data'!$A$2:$A$71,0))</f>
        <v>16268.9</v>
      </c>
      <c r="I68" s="37">
        <f t="shared" si="10"/>
        <v>282.27740219216128</v>
      </c>
    </row>
    <row r="69" spans="1:9" hidden="1">
      <c r="A69" s="152">
        <v>41547</v>
      </c>
      <c r="H69" s="153">
        <f>INDEX('GDP Data'!$B$2:$B$71,MATCH('Graphing Data'!A69,'GDP Data'!$A$2:$A$71,0))</f>
        <v>16872.3</v>
      </c>
      <c r="I69" s="37">
        <f t="shared" si="10"/>
        <v>292.74683678717076</v>
      </c>
    </row>
    <row r="70" spans="1:9" hidden="1">
      <c r="A70" s="152">
        <v>41912</v>
      </c>
      <c r="H70" s="153">
        <f>INDEX('GDP Data'!$B$2:$B$71,MATCH('Graphing Data'!A70,'GDP Data'!$A$2:$A$71,0))</f>
        <v>17599.8</v>
      </c>
      <c r="I70" s="37">
        <f t="shared" si="10"/>
        <v>305.36949782109423</v>
      </c>
    </row>
    <row r="71" spans="1:9" hidden="1">
      <c r="A71" s="152">
        <v>42277</v>
      </c>
      <c r="B71" s="154"/>
      <c r="C71" s="154"/>
      <c r="D71" s="154"/>
      <c r="E71" s="154"/>
      <c r="H71" s="153">
        <f>INDEX('GDP Data'!$B$2:$B$71,MATCH('Graphing Data'!A71,'GDP Data'!$A$2:$A$71,0))</f>
        <v>18060.2</v>
      </c>
      <c r="I71" s="37">
        <f t="shared" si="10"/>
        <v>313.35777705136002</v>
      </c>
    </row>
    <row r="72" spans="1:9" hidden="1">
      <c r="A72" s="152">
        <v>42643</v>
      </c>
      <c r="B72" s="37" t="e">
        <f>#REF!</f>
        <v>#REF!</v>
      </c>
      <c r="C72" s="37" t="e">
        <f>#REF!</f>
        <v>#REF!</v>
      </c>
      <c r="D72" s="37" t="e">
        <f>#REF!</f>
        <v>#REF!</v>
      </c>
      <c r="E72" s="37" t="e">
        <f>#REF!</f>
        <v>#REF!</v>
      </c>
      <c r="H72" s="153">
        <f>INDEX('GDP Data'!$B$2:$B$71,MATCH('Graphing Data'!A72,'GDP Data'!$A$2:$A$71,0))</f>
        <v>18651.2</v>
      </c>
      <c r="I72" s="37">
        <f t="shared" si="10"/>
        <v>323.61206250984628</v>
      </c>
    </row>
    <row r="73" spans="1:9" hidden="1">
      <c r="A73" s="152">
        <v>43008</v>
      </c>
      <c r="B73" s="37">
        <f>J11</f>
        <v>0</v>
      </c>
      <c r="C73" s="37" t="e">
        <f>B73/#REF!*#REF!</f>
        <v>#REF!</v>
      </c>
      <c r="D73" s="37">
        <f>J12</f>
        <v>0</v>
      </c>
      <c r="E73" s="37" t="e">
        <f>D73/#REF!*#REF!</f>
        <v>#REF!</v>
      </c>
      <c r="H73" s="37">
        <f>H72*1.05</f>
        <v>19583.760000000002</v>
      </c>
      <c r="I73" s="37">
        <f t="shared" si="10"/>
        <v>339.79266563533861</v>
      </c>
    </row>
    <row r="74" spans="1:9" hidden="1">
      <c r="A74" s="152">
        <v>43373</v>
      </c>
      <c r="B74" s="37">
        <f>K11</f>
        <v>0</v>
      </c>
      <c r="C74" s="37" t="e">
        <f>B74/B73*C73</f>
        <v>#DIV/0!</v>
      </c>
      <c r="D74" s="37">
        <f>K12</f>
        <v>0</v>
      </c>
      <c r="E74" s="37" t="e">
        <f>D74/D73*E73</f>
        <v>#DIV/0!</v>
      </c>
      <c r="H74" s="37">
        <f t="shared" ref="H74:H77" si="11">H73*1.05</f>
        <v>20562.948000000004</v>
      </c>
      <c r="I74" s="37">
        <f t="shared" si="10"/>
        <v>356.78229891710555</v>
      </c>
    </row>
    <row r="75" spans="1:9" hidden="1">
      <c r="A75" s="152">
        <v>43738</v>
      </c>
      <c r="B75" s="37">
        <f>L11</f>
        <v>0</v>
      </c>
      <c r="C75" s="37" t="e">
        <f t="shared" ref="C75:C77" si="12">B75/B74*C74</f>
        <v>#DIV/0!</v>
      </c>
      <c r="D75" s="37">
        <f>L12</f>
        <v>0</v>
      </c>
      <c r="E75" s="37" t="e">
        <f t="shared" ref="E75:E77" si="13">D75/D74*E74</f>
        <v>#DIV/0!</v>
      </c>
      <c r="H75" s="37">
        <f t="shared" si="11"/>
        <v>21591.095400000006</v>
      </c>
      <c r="I75" s="37">
        <f t="shared" si="10"/>
        <v>374.62141386296082</v>
      </c>
    </row>
    <row r="76" spans="1:9" hidden="1">
      <c r="A76" s="152">
        <v>44104</v>
      </c>
      <c r="B76" s="37">
        <f>M11</f>
        <v>0</v>
      </c>
      <c r="C76" s="37" t="e">
        <f t="shared" si="12"/>
        <v>#DIV/0!</v>
      </c>
      <c r="D76" s="37">
        <f>M12</f>
        <v>0</v>
      </c>
      <c r="E76" s="37" t="e">
        <f t="shared" si="13"/>
        <v>#DIV/0!</v>
      </c>
      <c r="H76" s="37">
        <f t="shared" si="11"/>
        <v>22670.650170000008</v>
      </c>
      <c r="I76" s="37">
        <f t="shared" si="10"/>
        <v>393.35248455610889</v>
      </c>
    </row>
    <row r="77" spans="1:9" hidden="1">
      <c r="A77" s="152">
        <v>44469</v>
      </c>
      <c r="B77" s="37">
        <f>N11</f>
        <v>0</v>
      </c>
      <c r="C77" s="37" t="e">
        <f t="shared" si="12"/>
        <v>#DIV/0!</v>
      </c>
      <c r="D77" s="37">
        <f>N12</f>
        <v>0</v>
      </c>
      <c r="E77" s="37" t="e">
        <f t="shared" si="13"/>
        <v>#DIV/0!</v>
      </c>
      <c r="H77" s="37">
        <f t="shared" si="11"/>
        <v>23804.182678500008</v>
      </c>
      <c r="I77" s="37">
        <f t="shared" si="10"/>
        <v>413.02010878391434</v>
      </c>
    </row>
    <row r="78" spans="1:9">
      <c r="A78" s="152"/>
    </row>
    <row r="79" spans="1:9">
      <c r="A79" s="152"/>
    </row>
    <row r="80" spans="1:9">
      <c r="A80" s="152"/>
    </row>
    <row r="81" spans="1:1">
      <c r="A81" s="152"/>
    </row>
    <row r="82" spans="1:1">
      <c r="A82" s="152"/>
    </row>
    <row r="83" spans="1:1">
      <c r="A83" s="152"/>
    </row>
    <row r="84" spans="1:1">
      <c r="A84" s="152"/>
    </row>
    <row r="85" spans="1:1">
      <c r="A85" s="152"/>
    </row>
  </sheetData>
  <pageMargins left="0.7" right="0.7" top="0.75" bottom="0.75" header="0.3" footer="0.3"/>
  <ignoredErrors>
    <ignoredError sqref="D74:D7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5"/>
  <sheetViews>
    <sheetView zoomScaleNormal="100" workbookViewId="0"/>
  </sheetViews>
  <sheetFormatPr defaultColWidth="9.140625" defaultRowHeight="15"/>
  <cols>
    <col min="1" max="1" width="4.7109375" style="73" bestFit="1" customWidth="1"/>
    <col min="2" max="2" width="14.42578125" style="73" bestFit="1" customWidth="1"/>
    <col min="3" max="3" width="9.28515625" style="73" bestFit="1" customWidth="1"/>
    <col min="4" max="4" width="12.28515625" style="73" bestFit="1" customWidth="1"/>
    <col min="5" max="7" width="12.28515625" style="73" customWidth="1"/>
    <col min="8" max="8" width="16.140625" style="73" bestFit="1" customWidth="1"/>
    <col min="9" max="10" width="12.28515625" style="73" customWidth="1"/>
    <col min="11" max="11" width="10.85546875" style="73" bestFit="1" customWidth="1"/>
    <col min="12" max="12" width="10.5703125" style="73" bestFit="1" customWidth="1"/>
    <col min="13" max="14" width="9.140625" style="73"/>
    <col min="15" max="15" width="13.85546875" style="73" bestFit="1" customWidth="1"/>
    <col min="16" max="16384" width="9.140625" style="73"/>
  </cols>
  <sheetData>
    <row r="1" spans="1:15">
      <c r="A1" s="73" t="s">
        <v>100</v>
      </c>
      <c r="B1" s="74">
        <f ca="1">MAX(C5:C12)+10</f>
        <v>10</v>
      </c>
      <c r="D1" s="73" t="s">
        <v>101</v>
      </c>
      <c r="E1" s="73">
        <v>5</v>
      </c>
    </row>
    <row r="2" spans="1:15">
      <c r="A2" s="73" t="s">
        <v>102</v>
      </c>
      <c r="B2" s="74">
        <f ca="1">MIN(C5:C12)-10</f>
        <v>-10</v>
      </c>
    </row>
    <row r="4" spans="1:15" s="75" customFormat="1" ht="12">
      <c r="B4" s="76" t="s">
        <v>103</v>
      </c>
      <c r="C4" s="77" t="s">
        <v>104</v>
      </c>
      <c r="D4" s="75" t="s">
        <v>105</v>
      </c>
      <c r="E4" s="75" t="s">
        <v>106</v>
      </c>
      <c r="F4" s="75" t="s">
        <v>107</v>
      </c>
      <c r="G4" s="75" t="s">
        <v>108</v>
      </c>
      <c r="H4" s="75" t="s">
        <v>109</v>
      </c>
      <c r="J4" s="75" t="s">
        <v>110</v>
      </c>
      <c r="K4" s="75" t="s">
        <v>111</v>
      </c>
      <c r="L4" s="75" t="s">
        <v>56</v>
      </c>
      <c r="M4" s="75" t="s">
        <v>112</v>
      </c>
      <c r="N4" s="75" t="s">
        <v>113</v>
      </c>
      <c r="O4" s="75" t="s">
        <v>114</v>
      </c>
    </row>
    <row r="5" spans="1:15" s="75" customFormat="1" ht="12">
      <c r="A5" s="78"/>
      <c r="B5" s="84" t="e">
        <f>'Valuation Model'!I2</f>
        <v>#DIV/0!</v>
      </c>
      <c r="C5" s="85">
        <f ca="1">'Valuation Model'!K2</f>
        <v>0</v>
      </c>
      <c r="D5" s="80" t="e">
        <f t="shared" ref="D5:D12" ca="1" si="0">IF(ABS(INDEX($K$6:$K$55,MATCH(C5,$K$6:$K$55,1)+IF(C5&gt;=MAX($K$6:$K$55),0,1),1)-C5)&lt;ABS(INDEX($K$6:$K$55,MATCH(C5,$K$6:$K$55,1))-C5),INDEX($K$6:$K$55,MATCH(C5,$K$6:$K$55,1)+IF(C5&gt;=MAX($K$6:$K$55),0,1),1),INDEX($K$6:$K$55,MATCH(C5,$K$6:$K$55,1)))</f>
        <v>#N/A</v>
      </c>
      <c r="E5" s="81">
        <f>IF(H5="N",5%/COUNTIF('Valuation Model'!$L$2:$L$9,"No"),IF(G5&lt;&gt;"Y",50%/(COUNTIF('Valuation Model'!$L$2:$L$9,"Yes")-COUNTIF(G$5:G$12,"Y")),45%/(COUNTIF(G$5:G$12,"Y"))))</f>
        <v>6.25E-2</v>
      </c>
      <c r="F5" s="75" t="s">
        <v>51</v>
      </c>
      <c r="G5" s="75" t="str">
        <f>IF(LEFT('Valuation Model'!L2,1)="M","Y","")</f>
        <v/>
      </c>
      <c r="H5" s="75" t="str">
        <f>IF(LEFT('Valuation Model'!L2,1)="M","Y",LEFT('Valuation Model'!L2,1))</f>
        <v>Y</v>
      </c>
      <c r="J5" s="82">
        <v>0</v>
      </c>
      <c r="K5" s="80">
        <f t="shared" ref="K5:K55" ca="1" si="1">$B$1*J5</f>
        <v>0</v>
      </c>
      <c r="L5" s="83" t="str">
        <f t="shared" ref="L5:L55" ca="1" si="2">IFERROR(IF(VLOOKUP(K5,$D$5:$F$16,3,FALSE)="Scenario",IF(VLOOKUP(K5,$D$5:$H$16,5,FALSE)="Y",VLOOKUP(K5,$D$5:$E$16,2,0),""),IF(VLOOKUP(K5,$D$5:$F$16,3,FALSE)&lt;&gt;"Scenario","")),"")</f>
        <v/>
      </c>
      <c r="M5" s="81" t="str">
        <f t="shared" ref="M5:M55" ca="1" si="3">IFERROR(IF(VLOOKUP(K5,$D$5:$F$16,3,FALSE)="Scenario",IF(VLOOKUP(K5,$D$5:$H$16,5,FALSE)="N",VLOOKUP(K5,$D$5:$E$16,2,0),""),IF(VLOOKUP(K5,$D$5:$F$16,3,FALSE)&lt;&gt;"Scenario","")),"")</f>
        <v/>
      </c>
      <c r="N5" s="80">
        <f ca="1">LN('Histogram Data'!K5+0.01)-LN(price)</f>
        <v>-8.3893598199063515</v>
      </c>
      <c r="O5" s="80">
        <f ca="1">_xlfn.NORM.DIST(N5,0+0.03^3,AVERAGE('Valuation Model'!$K$22:$L$22),FALSE)/scaling</f>
        <v>5.3968985649246146E-240</v>
      </c>
    </row>
    <row r="6" spans="1:15" s="75" customFormat="1" ht="12">
      <c r="A6" s="78"/>
      <c r="B6" s="84" t="e">
        <f>'Valuation Model'!I6</f>
        <v>#DIV/0!</v>
      </c>
      <c r="C6" s="85">
        <f ca="1">'Valuation Model'!K6</f>
        <v>0</v>
      </c>
      <c r="D6" s="80" t="e">
        <f t="shared" ca="1" si="0"/>
        <v>#N/A</v>
      </c>
      <c r="E6" s="81">
        <f>IF(H6="N",5%/COUNTIF('Valuation Model'!$L$2:$L$9,"No"),IF(G6&lt;&gt;"Y",50%/(COUNTIF('Valuation Model'!$L$2:$L$9,"Yes")-COUNTIF(G$5:G$12,"Y")),45%/(COUNTIF(G$5:G$12,"Y"))))</f>
        <v>6.25E-2</v>
      </c>
      <c r="F6" s="75" t="s">
        <v>51</v>
      </c>
      <c r="G6" s="75" t="str">
        <f>IF(LEFT('Valuation Model'!L3,1)="M","Y","")</f>
        <v/>
      </c>
      <c r="H6" s="75" t="str">
        <f>IF(LEFT('Valuation Model'!L6,1)="M","Y",LEFT('Valuation Model'!L6,1))</f>
        <v>Y</v>
      </c>
      <c r="J6" s="82">
        <v>0.02</v>
      </c>
      <c r="K6" s="80">
        <f t="shared" ca="1" si="1"/>
        <v>0.2</v>
      </c>
      <c r="L6" s="83" t="str">
        <f t="shared" ca="1" si="2"/>
        <v/>
      </c>
      <c r="M6" s="81" t="str">
        <f t="shared" ca="1" si="3"/>
        <v/>
      </c>
      <c r="N6" s="80">
        <f ca="1">LN('Histogram Data'!K6+0.01)-LN(price)</f>
        <v>-5.3448373821829289</v>
      </c>
      <c r="O6" s="80">
        <f ca="1">_xlfn.NORM.DIST(N6,0+0.03^3,AVERAGE('Valuation Model'!$K$22:$L$22),FALSE)/scaling</f>
        <v>3.8440541243384021E-98</v>
      </c>
    </row>
    <row r="7" spans="1:15" s="75" customFormat="1" ht="12">
      <c r="A7" s="78"/>
      <c r="B7" s="84" t="e">
        <f>'Valuation Model'!I3</f>
        <v>#DIV/0!</v>
      </c>
      <c r="C7" s="85">
        <f ca="1">'Valuation Model'!K3</f>
        <v>0</v>
      </c>
      <c r="D7" s="80" t="e">
        <f t="shared" ca="1" si="0"/>
        <v>#N/A</v>
      </c>
      <c r="E7" s="81">
        <f>IF(H7="N",5%/COUNTIF('Valuation Model'!$L$2:$L$9,"No"),IF(G7&lt;&gt;"Y",50%/(COUNTIF('Valuation Model'!$L$2:$L$9,"Yes")-COUNTIF(G$5:G$12,"Y")),45%/(COUNTIF(G$5:G$12,"Y"))))</f>
        <v>6.25E-2</v>
      </c>
      <c r="F7" s="75" t="s">
        <v>51</v>
      </c>
      <c r="G7" s="75" t="str">
        <f>IF(LEFT('Valuation Model'!L6,1)="M","Y","")</f>
        <v/>
      </c>
      <c r="H7" s="75" t="str">
        <f>IF(LEFT('Valuation Model'!L3,1)="M","Y",LEFT('Valuation Model'!L3,1))</f>
        <v>Y</v>
      </c>
      <c r="J7" s="82">
        <f>J6+2%</f>
        <v>0.04</v>
      </c>
      <c r="K7" s="80">
        <f t="shared" ca="1" si="1"/>
        <v>0.4</v>
      </c>
      <c r="L7" s="83" t="str">
        <f t="shared" ca="1" si="2"/>
        <v/>
      </c>
      <c r="M7" s="81" t="str">
        <f t="shared" ca="1" si="3"/>
        <v/>
      </c>
      <c r="N7" s="80">
        <f ca="1">LN('Histogram Data'!K7+0.01)-LN(price)</f>
        <v>-4.6757877532020444</v>
      </c>
      <c r="O7" s="80">
        <f ca="1">_xlfn.NORM.DIST(N7,0+0.03^3,AVERAGE('Valuation Model'!$K$22:$L$22),FALSE)/scaling</f>
        <v>2.1325041464069639E-75</v>
      </c>
    </row>
    <row r="8" spans="1:15" s="75" customFormat="1" ht="12">
      <c r="A8" s="78"/>
      <c r="B8" s="84" t="e">
        <f>'Valuation Model'!I4</f>
        <v>#DIV/0!</v>
      </c>
      <c r="C8" s="85">
        <f ca="1">'Valuation Model'!K4</f>
        <v>0</v>
      </c>
      <c r="D8" s="80" t="e">
        <f t="shared" ca="1" si="0"/>
        <v>#N/A</v>
      </c>
      <c r="E8" s="81">
        <f>IF(H8="N",5%/COUNTIF('Valuation Model'!$L$2:$L$9,"No"),IF(G8&lt;&gt;"Y",50%/(COUNTIF('Valuation Model'!$L$2:$L$9,"Yes")-COUNTIF(G$5:G$12,"Y")),45%/(COUNTIF(G$5:G$12,"Y"))))</f>
        <v>6.25E-2</v>
      </c>
      <c r="F8" s="75" t="s">
        <v>51</v>
      </c>
      <c r="G8" s="75" t="str">
        <f>IF(LEFT('Valuation Model'!L4,1)="M","Y","")</f>
        <v/>
      </c>
      <c r="H8" s="75" t="str">
        <f>IF(LEFT('Valuation Model'!L4,1)="M","Y",LEFT('Valuation Model'!L4,1))</f>
        <v>Y</v>
      </c>
      <c r="J8" s="82">
        <f t="shared" ref="J8:J55" si="4">J7+2%</f>
        <v>0.06</v>
      </c>
      <c r="K8" s="80">
        <f t="shared" ca="1" si="1"/>
        <v>0.6</v>
      </c>
      <c r="L8" s="83" t="str">
        <f t="shared" ca="1" si="2"/>
        <v/>
      </c>
      <c r="M8" s="81" t="str">
        <f t="shared" ca="1" si="3"/>
        <v/>
      </c>
      <c r="N8" s="80">
        <f ca="1">LN('Histogram Data'!K8+0.01)-LN(price)</f>
        <v>-4.278485955733041</v>
      </c>
      <c r="O8" s="80">
        <f ca="1">_xlfn.NORM.DIST(N8,0+0.03^3,AVERAGE('Valuation Model'!$K$22:$L$22),FALSE)/scaling</f>
        <v>2.4989918691390405E-63</v>
      </c>
    </row>
    <row r="9" spans="1:15" s="75" customFormat="1" ht="12">
      <c r="A9" s="78"/>
      <c r="B9" s="84" t="e">
        <f>'Valuation Model'!I7</f>
        <v>#DIV/0!</v>
      </c>
      <c r="C9" s="85">
        <f ca="1">'Valuation Model'!K7</f>
        <v>0</v>
      </c>
      <c r="D9" s="80" t="e">
        <f t="shared" ca="1" si="0"/>
        <v>#N/A</v>
      </c>
      <c r="E9" s="81">
        <f>IF(H9="N",5%/COUNTIF('Valuation Model'!$L$2:$L$9,"No"),IF(G9&lt;&gt;"Y",50%/(COUNTIF('Valuation Model'!$L$2:$L$9,"Yes")-COUNTIF(G$5:G$12,"Y")),45%/(COUNTIF(G$5:G$12,"Y"))))</f>
        <v>6.25E-2</v>
      </c>
      <c r="F9" s="75" t="s">
        <v>51</v>
      </c>
      <c r="G9" s="75" t="str">
        <f>IF(LEFT('Valuation Model'!L7,1)="M","Y","")</f>
        <v/>
      </c>
      <c r="H9" s="75" t="str">
        <f>IF(LEFT('Valuation Model'!L7,1)="M","Y",LEFT('Valuation Model'!L7,1))</f>
        <v>Y</v>
      </c>
      <c r="J9" s="82">
        <f t="shared" si="4"/>
        <v>0.08</v>
      </c>
      <c r="K9" s="80">
        <f t="shared" ca="1" si="1"/>
        <v>0.8</v>
      </c>
      <c r="L9" s="83" t="str">
        <f t="shared" ca="1" si="2"/>
        <v/>
      </c>
      <c r="M9" s="81" t="str">
        <f t="shared" ca="1" si="3"/>
        <v/>
      </c>
      <c r="N9" s="80">
        <f ca="1">LN('Histogram Data'!K9+0.01)-LN(price)</f>
        <v>-3.9949106652339137</v>
      </c>
      <c r="O9" s="80">
        <f ca="1">_xlfn.NORM.DIST(N9,0+0.03^3,AVERAGE('Valuation Model'!$K$22:$L$22),FALSE)/scaling</f>
        <v>2.274809616992627E-55</v>
      </c>
    </row>
    <row r="10" spans="1:15" s="75" customFormat="1" ht="12">
      <c r="A10" s="78"/>
      <c r="B10" s="84" t="e">
        <f>'Valuation Model'!I8</f>
        <v>#DIV/0!</v>
      </c>
      <c r="C10" s="85">
        <f ca="1">'Valuation Model'!K8</f>
        <v>0</v>
      </c>
      <c r="D10" s="80" t="e">
        <f t="shared" ca="1" si="0"/>
        <v>#N/A</v>
      </c>
      <c r="E10" s="81">
        <f>IF(H10="N",5%/COUNTIF('Valuation Model'!$L$2:$L$9,"No"),IF(G10&lt;&gt;"Y",50%/(COUNTIF('Valuation Model'!$L$2:$L$9,"Yes")-COUNTIF(G$5:G$12,"Y")),45%/(COUNTIF(G$5:G$12,"Y"))))</f>
        <v>6.25E-2</v>
      </c>
      <c r="F10" s="75" t="s">
        <v>51</v>
      </c>
      <c r="G10" s="75" t="str">
        <f>IF(LEFT('Valuation Model'!L5,1)="M","Y","")</f>
        <v/>
      </c>
      <c r="H10" s="75" t="str">
        <f>IF(LEFT('Valuation Model'!L8,1)="M","Y",LEFT('Valuation Model'!L8,1))</f>
        <v>Y</v>
      </c>
      <c r="J10" s="82">
        <f t="shared" si="4"/>
        <v>0.1</v>
      </c>
      <c r="K10" s="80">
        <f t="shared" ca="1" si="1"/>
        <v>1</v>
      </c>
      <c r="L10" s="83" t="str">
        <f t="shared" ca="1" si="2"/>
        <v/>
      </c>
      <c r="M10" s="81" t="str">
        <f t="shared" ca="1" si="3"/>
        <v/>
      </c>
      <c r="N10" s="80">
        <f ca="1">LN('Histogram Data'!K10+0.01)-LN(price)</f>
        <v>-3.7742393030650931</v>
      </c>
      <c r="O10" s="80">
        <f ca="1">_xlfn.NORM.DIST(N10,0+0.03^3,AVERAGE('Valuation Model'!$K$22:$L$22),FALSE)/scaling</f>
        <v>1.4896950833370324E-49</v>
      </c>
    </row>
    <row r="11" spans="1:15" s="75" customFormat="1" ht="12">
      <c r="A11" s="78"/>
      <c r="B11" s="84" t="e">
        <f>'Valuation Model'!I5</f>
        <v>#DIV/0!</v>
      </c>
      <c r="C11" s="85">
        <f ca="1">'Valuation Model'!K5</f>
        <v>0</v>
      </c>
      <c r="D11" s="80" t="e">
        <f t="shared" ca="1" si="0"/>
        <v>#N/A</v>
      </c>
      <c r="E11" s="81">
        <f>IF(H11="N",5%/COUNTIF('Valuation Model'!$L$2:$L$9,"No"),IF(G11&lt;&gt;"Y",50%/(COUNTIF('Valuation Model'!$L$2:$L$9,"Yes")-COUNTIF(G$5:G$12,"Y")),45%/(COUNTIF(G$5:G$12,"Y"))))</f>
        <v>6.25E-2</v>
      </c>
      <c r="F11" s="75" t="s">
        <v>51</v>
      </c>
      <c r="G11" s="75" t="str">
        <f>IF(LEFT('Valuation Model'!L8,1)="M","Y","")</f>
        <v/>
      </c>
      <c r="H11" s="75" t="str">
        <f>IF(LEFT('Valuation Model'!L5,1)="M","Y",LEFT('Valuation Model'!L5,1))</f>
        <v>Y</v>
      </c>
      <c r="J11" s="82">
        <f t="shared" si="4"/>
        <v>0.12000000000000001</v>
      </c>
      <c r="K11" s="80">
        <f t="shared" ca="1" si="1"/>
        <v>1.2000000000000002</v>
      </c>
      <c r="L11" s="83" t="str">
        <f t="shared" ca="1" si="2"/>
        <v/>
      </c>
      <c r="M11" s="81" t="str">
        <f t="shared" ca="1" si="3"/>
        <v/>
      </c>
      <c r="N11" s="80">
        <f ca="1">LN('Histogram Data'!K11+0.01)-LN(price)</f>
        <v>-3.593569274309611</v>
      </c>
      <c r="O11" s="80">
        <f ca="1">_xlfn.NORM.DIST(N11,0+0.03^3,AVERAGE('Valuation Model'!$K$22:$L$22),FALSE)/scaling</f>
        <v>4.8860949402510219E-45</v>
      </c>
    </row>
    <row r="12" spans="1:15" s="75" customFormat="1" ht="12">
      <c r="A12" s="78"/>
      <c r="B12" s="84" t="e">
        <f>'Valuation Model'!I9</f>
        <v>#DIV/0!</v>
      </c>
      <c r="C12" s="85">
        <f ca="1">'Valuation Model'!K9</f>
        <v>0</v>
      </c>
      <c r="D12" s="80" t="e">
        <f t="shared" ca="1" si="0"/>
        <v>#N/A</v>
      </c>
      <c r="E12" s="81">
        <f>IF(H12="N",5%/COUNTIF('Valuation Model'!$L$2:$L$9,"No"),IF(G12&lt;&gt;"Y",50%/(COUNTIF('Valuation Model'!$L$2:$L$9,"Yes")-COUNTIF(G$5:G$12,"Y")),45%/(COUNTIF(G$5:G$12,"Y"))))</f>
        <v>6.25E-2</v>
      </c>
      <c r="F12" s="75" t="s">
        <v>51</v>
      </c>
      <c r="G12" s="75" t="str">
        <f>IF(LEFT('Valuation Model'!L9,1)="M","Y","")</f>
        <v/>
      </c>
      <c r="H12" s="75" t="str">
        <f>IF(LEFT('Valuation Model'!L9,1)="M","Y",LEFT('Valuation Model'!L9,1))</f>
        <v>Y</v>
      </c>
      <c r="J12" s="82">
        <f t="shared" si="4"/>
        <v>0.14000000000000001</v>
      </c>
      <c r="K12" s="80">
        <f t="shared" ca="1" si="1"/>
        <v>1.4000000000000001</v>
      </c>
      <c r="L12" s="83" t="str">
        <f t="shared" ca="1" si="2"/>
        <v/>
      </c>
      <c r="M12" s="81" t="str">
        <f t="shared" ca="1" si="3"/>
        <v/>
      </c>
      <c r="N12" s="80">
        <f ca="1">LN('Histogram Data'!K12+0.01)-LN(price)</f>
        <v>-3.4405999295281839</v>
      </c>
      <c r="O12" s="80">
        <f ca="1">_xlfn.NORM.DIST(N12,0+0.03^3,AVERAGE('Valuation Model'!$K$22:$L$22),FALSE)/scaling</f>
        <v>2.1842692130731054E-41</v>
      </c>
    </row>
    <row r="13" spans="1:15" s="75" customFormat="1" ht="12">
      <c r="A13" s="78"/>
      <c r="J13" s="82">
        <f t="shared" si="4"/>
        <v>0.16</v>
      </c>
      <c r="K13" s="80">
        <f t="shared" ca="1" si="1"/>
        <v>1.6</v>
      </c>
      <c r="L13" s="83" t="str">
        <f t="shared" ca="1" si="2"/>
        <v/>
      </c>
      <c r="M13" s="81" t="str">
        <f t="shared" ca="1" si="3"/>
        <v/>
      </c>
      <c r="N13" s="80">
        <f ca="1">LN('Histogram Data'!K13+0.01)-LN(price)</f>
        <v>-3.3079554549218892</v>
      </c>
      <c r="O13" s="80">
        <f ca="1">_xlfn.NORM.DIST(N13,0+0.03^3,AVERAGE('Valuation Model'!$K$22:$L$22),FALSE)/scaling</f>
        <v>2.3774419738584032E-38</v>
      </c>
    </row>
    <row r="14" spans="1:15" s="75" customFormat="1" ht="12">
      <c r="A14" s="78"/>
      <c r="J14" s="82">
        <f t="shared" si="4"/>
        <v>0.18</v>
      </c>
      <c r="K14" s="80">
        <f t="shared" ca="1" si="1"/>
        <v>1.7999999999999998</v>
      </c>
      <c r="L14" s="83" t="str">
        <f t="shared" ca="1" si="2"/>
        <v/>
      </c>
      <c r="M14" s="81" t="str">
        <f t="shared" ca="1" si="3"/>
        <v/>
      </c>
      <c r="N14" s="80">
        <f ca="1">LN('Histogram Data'!K14+0.01)-LN(price)</f>
        <v>-3.1908627886405267</v>
      </c>
      <c r="O14" s="80">
        <f ca="1">_xlfn.NORM.DIST(N14,0+0.03^3,AVERAGE('Valuation Model'!$K$22:$L$22),FALSE)/scaling</f>
        <v>9.0711524400571342E-36</v>
      </c>
    </row>
    <row r="15" spans="1:15" s="75" customFormat="1" ht="12">
      <c r="A15" s="78"/>
      <c r="J15" s="82">
        <f t="shared" si="4"/>
        <v>0.19999999999999998</v>
      </c>
      <c r="K15" s="80">
        <f t="shared" ca="1" si="1"/>
        <v>1.9999999999999998</v>
      </c>
      <c r="L15" s="83" t="str">
        <f t="shared" ca="1" si="2"/>
        <v/>
      </c>
      <c r="M15" s="81" t="str">
        <f t="shared" ca="1" si="3"/>
        <v/>
      </c>
      <c r="N15" s="80">
        <f ca="1">LN('Histogram Data'!K15+0.01)-LN(price)</f>
        <v>-3.0860549118472766</v>
      </c>
      <c r="O15" s="80">
        <f ca="1">_xlfn.NORM.DIST(N15,0+0.03^3,AVERAGE('Valuation Model'!$K$22:$L$22),FALSE)/scaling</f>
        <v>1.5469391299927544E-33</v>
      </c>
    </row>
    <row r="16" spans="1:15" s="75" customFormat="1" ht="12">
      <c r="A16" s="78"/>
      <c r="C16" s="79"/>
      <c r="D16" s="80"/>
      <c r="E16" s="81"/>
      <c r="J16" s="82">
        <f t="shared" si="4"/>
        <v>0.21999999999999997</v>
      </c>
      <c r="K16" s="80">
        <f t="shared" ca="1" si="1"/>
        <v>2.1999999999999997</v>
      </c>
      <c r="L16" s="83" t="str">
        <f t="shared" ca="1" si="2"/>
        <v/>
      </c>
      <c r="M16" s="81" t="str">
        <f t="shared" ca="1" si="3"/>
        <v/>
      </c>
      <c r="N16" s="80">
        <f ca="1">LN('Histogram Data'!K16+0.01)-LN(price)</f>
        <v>-2.9911971183885999</v>
      </c>
      <c r="O16" s="80">
        <f ca="1">_xlfn.NORM.DIST(N16,0+0.03^3,AVERAGE('Valuation Model'!$K$22:$L$22),FALSE)/scaling</f>
        <v>1.3968553598464931E-31</v>
      </c>
    </row>
    <row r="17" spans="4:15" s="75" customFormat="1" ht="12">
      <c r="J17" s="82">
        <f t="shared" si="4"/>
        <v>0.23999999999999996</v>
      </c>
      <c r="K17" s="80">
        <f t="shared" ca="1" si="1"/>
        <v>2.3999999999999995</v>
      </c>
      <c r="L17" s="83" t="str">
        <f t="shared" ca="1" si="2"/>
        <v/>
      </c>
      <c r="M17" s="81" t="str">
        <f t="shared" ca="1" si="3"/>
        <v/>
      </c>
      <c r="N17" s="80">
        <f ca="1">LN('Histogram Data'!K17+0.01)-LN(price)</f>
        <v>-2.9045628864156976</v>
      </c>
      <c r="O17" s="80">
        <f ca="1">_xlfn.NORM.DIST(N17,0+0.03^3,AVERAGE('Valuation Model'!$K$22:$L$22),FALSE)/scaling</f>
        <v>7.5499488528415774E-30</v>
      </c>
    </row>
    <row r="18" spans="4:15" s="75" customFormat="1" ht="12">
      <c r="D18" s="82"/>
      <c r="J18" s="82">
        <f t="shared" si="4"/>
        <v>0.25999999999999995</v>
      </c>
      <c r="K18" s="80">
        <f t="shared" ca="1" si="1"/>
        <v>2.5999999999999996</v>
      </c>
      <c r="L18" s="83" t="str">
        <f t="shared" ca="1" si="2"/>
        <v/>
      </c>
      <c r="M18" s="81" t="str">
        <f t="shared" ca="1" si="3"/>
        <v/>
      </c>
      <c r="N18" s="80">
        <f ca="1">LN('Histogram Data'!K18+0.01)-LN(price)</f>
        <v>-2.8248394125836591</v>
      </c>
      <c r="O18" s="80">
        <f ca="1">_xlfn.NORM.DIST(N18,0+0.03^3,AVERAGE('Valuation Model'!$K$22:$L$22),FALSE)/scaling</f>
        <v>2.6762092738717498E-28</v>
      </c>
    </row>
    <row r="19" spans="4:15" s="75" customFormat="1" ht="12">
      <c r="D19" s="86"/>
      <c r="J19" s="82">
        <f t="shared" si="4"/>
        <v>0.27999999999999997</v>
      </c>
      <c r="K19" s="80">
        <f t="shared" ca="1" si="1"/>
        <v>2.8</v>
      </c>
      <c r="L19" s="83" t="str">
        <f t="shared" ca="1" si="2"/>
        <v/>
      </c>
      <c r="M19" s="81" t="str">
        <f t="shared" ca="1" si="3"/>
        <v/>
      </c>
      <c r="N19" s="80">
        <f ca="1">LN('Histogram Data'!K19+0.01)-LN(price)</f>
        <v>-2.751005150572607</v>
      </c>
      <c r="O19" s="80">
        <f ca="1">_xlfn.NORM.DIST(N19,0+0.03^3,AVERAGE('Valuation Model'!$K$22:$L$22),FALSE)/scaling</f>
        <v>6.6706048774609207E-27</v>
      </c>
    </row>
    <row r="20" spans="4:15" s="75" customFormat="1" ht="12">
      <c r="J20" s="82">
        <f t="shared" si="4"/>
        <v>0.3</v>
      </c>
      <c r="K20" s="80">
        <f t="shared" ca="1" si="1"/>
        <v>3</v>
      </c>
      <c r="L20" s="83" t="str">
        <f t="shared" ca="1" si="2"/>
        <v/>
      </c>
      <c r="M20" s="81" t="str">
        <f t="shared" ca="1" si="3"/>
        <v/>
      </c>
      <c r="N20" s="80">
        <f ca="1">LN('Histogram Data'!K20+0.01)-LN(price)</f>
        <v>-2.682249555157477</v>
      </c>
      <c r="O20" s="80">
        <f ca="1">_xlfn.NORM.DIST(N20,0+0.03^3,AVERAGE('Valuation Model'!$K$22:$L$22),FALSE)/scaling</f>
        <v>1.2344784249440377E-25</v>
      </c>
    </row>
    <row r="21" spans="4:15" s="75" customFormat="1" ht="12">
      <c r="J21" s="82">
        <f t="shared" si="4"/>
        <v>0.32</v>
      </c>
      <c r="K21" s="80">
        <f t="shared" ca="1" si="1"/>
        <v>3.2</v>
      </c>
      <c r="L21" s="83" t="str">
        <f t="shared" ca="1" si="2"/>
        <v/>
      </c>
      <c r="M21" s="81" t="str">
        <f t="shared" ca="1" si="3"/>
        <v/>
      </c>
      <c r="N21" s="80">
        <f ca="1">LN('Histogram Data'!K21+0.01)-LN(price)</f>
        <v>-2.6179186967763366</v>
      </c>
      <c r="O21" s="80">
        <f ca="1">_xlfn.NORM.DIST(N21,0+0.03^3,AVERAGE('Valuation Model'!$K$22:$L$22),FALSE)/scaling</f>
        <v>1.7709218308468792E-24</v>
      </c>
    </row>
    <row r="22" spans="4:15" s="75" customFormat="1" ht="12">
      <c r="J22" s="82">
        <f t="shared" si="4"/>
        <v>0.34</v>
      </c>
      <c r="K22" s="80">
        <f t="shared" ca="1" si="1"/>
        <v>3.4000000000000004</v>
      </c>
      <c r="L22" s="83" t="str">
        <f t="shared" ca="1" si="2"/>
        <v/>
      </c>
      <c r="M22" s="81" t="str">
        <f t="shared" ca="1" si="3"/>
        <v/>
      </c>
      <c r="N22" s="80">
        <f ca="1">LN('Histogram Data'!K22+0.01)-LN(price)</f>
        <v>-2.5574773426228354</v>
      </c>
      <c r="O22" s="80">
        <f ca="1">_xlfn.NORM.DIST(N22,0+0.03^3,AVERAGE('Valuation Model'!$K$22:$L$22),FALSE)/scaling</f>
        <v>2.0388972099123407E-23</v>
      </c>
    </row>
    <row r="23" spans="4:15" s="75" customFormat="1" ht="12">
      <c r="J23" s="82">
        <f t="shared" si="4"/>
        <v>0.36000000000000004</v>
      </c>
      <c r="K23" s="80">
        <f t="shared" ca="1" si="1"/>
        <v>3.6000000000000005</v>
      </c>
      <c r="L23" s="83" t="str">
        <f t="shared" ca="1" si="2"/>
        <v/>
      </c>
      <c r="M23" s="81" t="str">
        <f t="shared" ca="1" si="3"/>
        <v/>
      </c>
      <c r="N23" s="80">
        <f ca="1">LN('Histogram Data'!K23+0.01)-LN(price)</f>
        <v>-2.5004818615734714</v>
      </c>
      <c r="O23" s="80">
        <f ca="1">_xlfn.NORM.DIST(N23,0+0.03^3,AVERAGE('Valuation Model'!$K$22:$L$22),FALSE)/scaling</f>
        <v>1.9381332103009206E-22</v>
      </c>
    </row>
    <row r="24" spans="4:15" s="75" customFormat="1" ht="12">
      <c r="J24" s="82">
        <f t="shared" si="4"/>
        <v>0.38000000000000006</v>
      </c>
      <c r="K24" s="80">
        <f t="shared" ca="1" si="1"/>
        <v>3.8000000000000007</v>
      </c>
      <c r="L24" s="83" t="str">
        <f t="shared" ca="1" si="2"/>
        <v/>
      </c>
      <c r="M24" s="81" t="str">
        <f t="shared" ca="1" si="3"/>
        <v/>
      </c>
      <c r="N24" s="80">
        <f ca="1">LN('Histogram Data'!K24+0.01)-LN(price)</f>
        <v>-2.4465604447796512</v>
      </c>
      <c r="O24" s="80">
        <f ca="1">_xlfn.NORM.DIST(N24,0+0.03^3,AVERAGE('Valuation Model'!$K$22:$L$22),FALSE)/scaling</f>
        <v>1.5571639828974782E-21</v>
      </c>
    </row>
    <row r="25" spans="4:15" s="75" customFormat="1" ht="12">
      <c r="J25" s="82">
        <f t="shared" si="4"/>
        <v>0.40000000000000008</v>
      </c>
      <c r="K25" s="80">
        <f t="shared" ca="1" si="1"/>
        <v>4.0000000000000009</v>
      </c>
      <c r="L25" s="83" t="str">
        <f t="shared" ca="1" si="2"/>
        <v/>
      </c>
      <c r="M25" s="81" t="str">
        <f t="shared" ca="1" si="3"/>
        <v/>
      </c>
      <c r="N25" s="80">
        <f ca="1">LN('Histogram Data'!K25+0.01)-LN(price)</f>
        <v>-2.395398392599783</v>
      </c>
      <c r="O25" s="80">
        <f ca="1">_xlfn.NORM.DIST(N25,0+0.03^3,AVERAGE('Valuation Model'!$K$22:$L$22),FALSE)/scaling</f>
        <v>1.0782923444863445E-20</v>
      </c>
    </row>
    <row r="26" spans="4:15" s="75" customFormat="1" ht="12">
      <c r="J26" s="82">
        <f t="shared" si="4"/>
        <v>0.4200000000000001</v>
      </c>
      <c r="K26" s="80">
        <f t="shared" ca="1" si="1"/>
        <v>4.2000000000000011</v>
      </c>
      <c r="L26" s="83" t="str">
        <f t="shared" ca="1" si="2"/>
        <v/>
      </c>
      <c r="M26" s="81" t="str">
        <f t="shared" ca="1" si="3"/>
        <v/>
      </c>
      <c r="N26" s="80">
        <f ca="1">LN('Histogram Data'!K26+0.01)-LN(price)</f>
        <v>-2.3467269862239708</v>
      </c>
      <c r="O26" s="80">
        <f ca="1">_xlfn.NORM.DIST(N26,0+0.03^3,AVERAGE('Valuation Model'!$K$22:$L$22),FALSE)/scaling</f>
        <v>6.5424833147365833E-20</v>
      </c>
    </row>
    <row r="27" spans="4:15" s="75" customFormat="1" ht="12">
      <c r="J27" s="82">
        <f t="shared" si="4"/>
        <v>0.44000000000000011</v>
      </c>
      <c r="K27" s="80">
        <f t="shared" ca="1" si="1"/>
        <v>4.4000000000000012</v>
      </c>
      <c r="L27" s="83" t="str">
        <f t="shared" ca="1" si="2"/>
        <v/>
      </c>
      <c r="M27" s="81" t="str">
        <f t="shared" ca="1" si="3"/>
        <v/>
      </c>
      <c r="N27" s="80">
        <f ca="1">LN('Histogram Data'!K27+0.01)-LN(price)</f>
        <v>-2.3003149444595063</v>
      </c>
      <c r="O27" s="80">
        <f ca="1">_xlfn.NORM.DIST(N27,0+0.03^3,AVERAGE('Valuation Model'!$K$22:$L$22),FALSE)/scaling</f>
        <v>3.5271996202273218E-19</v>
      </c>
    </row>
    <row r="28" spans="4:15" s="75" customFormat="1" ht="12">
      <c r="J28" s="82">
        <f t="shared" si="4"/>
        <v>0.46000000000000013</v>
      </c>
      <c r="K28" s="80">
        <f t="shared" ca="1" si="1"/>
        <v>4.6000000000000014</v>
      </c>
      <c r="L28" s="83" t="str">
        <f t="shared" ca="1" si="2"/>
        <v/>
      </c>
      <c r="M28" s="81" t="str">
        <f t="shared" ca="1" si="3"/>
        <v/>
      </c>
      <c r="N28" s="80">
        <f ca="1">LN('Histogram Data'!K28+0.01)-LN(price)</f>
        <v>-2.2559617769097038</v>
      </c>
      <c r="O28" s="80">
        <f ca="1">_xlfn.NORM.DIST(N28,0+0.03^3,AVERAGE('Valuation Model'!$K$22:$L$22),FALSE)/scaling</f>
        <v>1.7100238552977446E-18</v>
      </c>
    </row>
    <row r="29" spans="4:15" s="75" customFormat="1" ht="12">
      <c r="J29" s="82">
        <f t="shared" si="4"/>
        <v>0.48000000000000015</v>
      </c>
      <c r="K29" s="80">
        <f t="shared" ca="1" si="1"/>
        <v>4.8000000000000016</v>
      </c>
      <c r="L29" s="83" t="str">
        <f t="shared" ca="1" si="2"/>
        <v/>
      </c>
      <c r="M29" s="81" t="str">
        <f t="shared" ca="1" si="3"/>
        <v/>
      </c>
      <c r="N29" s="80">
        <f ca="1">LN('Histogram Data'!K29+0.01)-LN(price)</f>
        <v>-2.2134925498005908</v>
      </c>
      <c r="O29" s="80">
        <f ca="1">_xlfn.NORM.DIST(N29,0+0.03^3,AVERAGE('Valuation Model'!$K$22:$L$22),FALSE)/scaling</f>
        <v>7.5326034011160638E-18</v>
      </c>
    </row>
    <row r="30" spans="4:15" s="75" customFormat="1" ht="12">
      <c r="J30" s="82">
        <f t="shared" si="4"/>
        <v>0.50000000000000011</v>
      </c>
      <c r="K30" s="80">
        <f t="shared" ca="1" si="1"/>
        <v>5.0000000000000009</v>
      </c>
      <c r="L30" s="83" t="str">
        <f ca="1">L33</f>
        <v/>
      </c>
      <c r="M30" s="81" t="str">
        <f t="shared" ca="1" si="3"/>
        <v/>
      </c>
      <c r="N30" s="80">
        <f ca="1">LN('Histogram Data'!K30+0.01)-LN(price)</f>
        <v>-2.1727537188214874</v>
      </c>
      <c r="O30" s="80">
        <f ca="1">_xlfn.NORM.DIST(N30,0+0.03^3,AVERAGE('Valuation Model'!$K$22:$L$22),FALSE)/scaling</f>
        <v>3.0419428557018468E-17</v>
      </c>
    </row>
    <row r="31" spans="4:15" s="75" customFormat="1" ht="12">
      <c r="J31" s="82">
        <f t="shared" si="4"/>
        <v>0.52000000000000013</v>
      </c>
      <c r="K31" s="80">
        <f t="shared" ca="1" si="1"/>
        <v>5.2000000000000011</v>
      </c>
      <c r="L31" s="83" t="str">
        <f t="shared" ca="1" si="2"/>
        <v/>
      </c>
      <c r="M31" s="81" t="str">
        <f t="shared" ca="1" si="3"/>
        <v/>
      </c>
      <c r="N31" s="80">
        <f ca="1">LN('Histogram Data'!K31+0.01)-LN(price)</f>
        <v>-2.1336097781529855</v>
      </c>
      <c r="O31" s="80">
        <f ca="1">_xlfn.NORM.DIST(N31,0+0.03^3,AVERAGE('Valuation Model'!$K$22:$L$22),FALSE)/scaling</f>
        <v>1.1350542527271294E-16</v>
      </c>
    </row>
    <row r="32" spans="4:15" s="75" customFormat="1" ht="12">
      <c r="J32" s="82">
        <f t="shared" si="4"/>
        <v>0.54000000000000015</v>
      </c>
      <c r="K32" s="80">
        <f t="shared" ca="1" si="1"/>
        <v>5.4000000000000012</v>
      </c>
      <c r="L32" s="83" t="str">
        <f t="shared" ca="1" si="2"/>
        <v/>
      </c>
      <c r="M32" s="81" t="str">
        <f t="shared" ca="1" si="3"/>
        <v/>
      </c>
      <c r="N32" s="80">
        <f ca="1">LN('Histogram Data'!K32+0.01)-LN(price)</f>
        <v>-2.0959405410598704</v>
      </c>
      <c r="O32" s="80">
        <f ca="1">_xlfn.NORM.DIST(N32,0+0.03^3,AVERAGE('Valuation Model'!$K$22:$L$22),FALSE)/scaling</f>
        <v>3.9402318144217358E-16</v>
      </c>
    </row>
    <row r="33" spans="10:15" s="75" customFormat="1" ht="12">
      <c r="J33" s="82">
        <f t="shared" si="4"/>
        <v>0.56000000000000016</v>
      </c>
      <c r="K33" s="80">
        <f t="shared" ca="1" si="1"/>
        <v>5.6000000000000014</v>
      </c>
      <c r="L33" s="83" t="str">
        <f t="shared" ca="1" si="2"/>
        <v/>
      </c>
      <c r="M33" s="81" t="str">
        <f t="shared" ca="1" si="3"/>
        <v/>
      </c>
      <c r="N33" s="80">
        <f ca="1">LN('Histogram Data'!K33+0.01)-LN(price)</f>
        <v>-2.0596389143836555</v>
      </c>
      <c r="O33" s="80">
        <f ca="1">_xlfn.NORM.DIST(N33,0+0.03^3,AVERAGE('Valuation Model'!$K$22:$L$22),FALSE)/scaling</f>
        <v>1.2802472702338012E-15</v>
      </c>
    </row>
    <row r="34" spans="10:15" s="75" customFormat="1" ht="12">
      <c r="J34" s="82">
        <f t="shared" si="4"/>
        <v>0.58000000000000018</v>
      </c>
      <c r="K34" s="80">
        <f t="shared" ca="1" si="1"/>
        <v>5.8000000000000016</v>
      </c>
      <c r="L34" s="83" t="str">
        <f t="shared" ca="1" si="2"/>
        <v/>
      </c>
      <c r="M34" s="81" t="str">
        <f t="shared" ca="1" si="3"/>
        <v/>
      </c>
      <c r="N34" s="80">
        <f ca="1">LN('Histogram Data'!K34+0.01)-LN(price)</f>
        <v>-2.0246090630544407</v>
      </c>
      <c r="O34" s="80">
        <f ca="1">_xlfn.NORM.DIST(N34,0+0.03^3,AVERAGE('Valuation Model'!$K$22:$L$22),FALSE)/scaling</f>
        <v>3.9143524500109247E-15</v>
      </c>
    </row>
    <row r="35" spans="10:15" s="75" customFormat="1" ht="12">
      <c r="J35" s="82">
        <f t="shared" si="4"/>
        <v>0.6000000000000002</v>
      </c>
      <c r="K35" s="80">
        <f t="shared" ca="1" si="1"/>
        <v>6.0000000000000018</v>
      </c>
      <c r="L35" s="83" t="str">
        <f t="shared" ca="1" si="2"/>
        <v/>
      </c>
      <c r="M35" s="81" t="str">
        <f t="shared" ca="1" si="3"/>
        <v/>
      </c>
      <c r="N35" s="80">
        <f ca="1">LN('Histogram Data'!K35+0.01)-LN(price)</f>
        <v>-1.9907648853711446</v>
      </c>
      <c r="O35" s="80">
        <f ca="1">_xlfn.NORM.DIST(N35,0+0.03^3,AVERAGE('Valuation Model'!$K$22:$L$22),FALSE)/scaling</f>
        <v>1.1315918503411857E-14</v>
      </c>
    </row>
    <row r="36" spans="10:15" s="75" customFormat="1" ht="12">
      <c r="J36" s="82">
        <f t="shared" si="4"/>
        <v>0.62000000000000022</v>
      </c>
      <c r="K36" s="80">
        <f t="shared" ca="1" si="1"/>
        <v>6.200000000000002</v>
      </c>
      <c r="L36" s="83" t="str">
        <f t="shared" ca="1" si="2"/>
        <v/>
      </c>
      <c r="M36" s="81" t="str">
        <f t="shared" ca="1" si="3"/>
        <v/>
      </c>
      <c r="N36" s="80">
        <f ca="1">LN('Histogram Data'!K36+0.01)-LN(price)</f>
        <v>-1.9580287379728734</v>
      </c>
      <c r="O36" s="80">
        <f ca="1">_xlfn.NORM.DIST(N36,0+0.03^3,AVERAGE('Valuation Model'!$K$22:$L$22),FALSE)/scaling</f>
        <v>3.1062173046225522E-14</v>
      </c>
    </row>
    <row r="37" spans="10:15" s="75" customFormat="1" ht="12">
      <c r="J37" s="82">
        <f t="shared" si="4"/>
        <v>0.64000000000000024</v>
      </c>
      <c r="K37" s="80">
        <f t="shared" ca="1" si="1"/>
        <v>6.4000000000000021</v>
      </c>
      <c r="L37" s="83" t="str">
        <f t="shared" ca="1" si="2"/>
        <v/>
      </c>
      <c r="M37" s="81" t="str">
        <f t="shared" ca="1" si="3"/>
        <v/>
      </c>
      <c r="N37" s="80">
        <f ca="1">LN('Histogram Data'!K37+0.01)-LN(price)</f>
        <v>-1.9263303629856821</v>
      </c>
      <c r="O37" s="80">
        <f ca="1">_xlfn.NORM.DIST(N37,0+0.03^3,AVERAGE('Valuation Model'!$K$22:$L$22),FALSE)/scaling</f>
        <v>8.1272311838404713E-14</v>
      </c>
    </row>
    <row r="38" spans="10:15" s="75" customFormat="1" ht="12">
      <c r="J38" s="82">
        <f t="shared" si="4"/>
        <v>0.66000000000000025</v>
      </c>
      <c r="K38" s="80">
        <f t="shared" ca="1" si="1"/>
        <v>6.6000000000000023</v>
      </c>
      <c r="L38" s="83" t="str">
        <f t="shared" ca="1" si="2"/>
        <v/>
      </c>
      <c r="M38" s="81" t="str">
        <f t="shared" ca="1" si="3"/>
        <v/>
      </c>
      <c r="N38" s="80">
        <f ca="1">LN('Histogram Data'!K38+0.01)-LN(price)</f>
        <v>-1.8956059800546659</v>
      </c>
      <c r="O38" s="80">
        <f ca="1">_xlfn.NORM.DIST(N38,0+0.03^3,AVERAGE('Valuation Model'!$K$22:$L$22),FALSE)/scaling</f>
        <v>2.033817900635853E-13</v>
      </c>
    </row>
    <row r="39" spans="10:15" s="75" customFormat="1" ht="12">
      <c r="J39" s="82">
        <f t="shared" si="4"/>
        <v>0.68000000000000027</v>
      </c>
      <c r="K39" s="80">
        <f t="shared" ca="1" si="1"/>
        <v>6.8000000000000025</v>
      </c>
      <c r="L39" s="83" t="str">
        <f t="shared" ca="1" si="2"/>
        <v/>
      </c>
      <c r="M39" s="81" t="str">
        <f t="shared" ca="1" si="3"/>
        <v/>
      </c>
      <c r="N39" s="80">
        <f ca="1">LN('Histogram Data'!K39+0.01)-LN(price)</f>
        <v>-1.8657975137568397</v>
      </c>
      <c r="O39" s="80">
        <f ca="1">_xlfn.NORM.DIST(N39,0+0.03^3,AVERAGE('Valuation Model'!$K$22:$L$22),FALSE)/scaling</f>
        <v>4.8829752555304126E-13</v>
      </c>
    </row>
    <row r="40" spans="10:15" s="75" customFormat="1" ht="12">
      <c r="J40" s="82">
        <f t="shared" si="4"/>
        <v>0.70000000000000029</v>
      </c>
      <c r="K40" s="80">
        <f t="shared" ca="1" si="1"/>
        <v>7.0000000000000027</v>
      </c>
      <c r="L40" s="83" t="str">
        <f t="shared" ca="1" si="2"/>
        <v/>
      </c>
      <c r="M40" s="81" t="str">
        <f t="shared" ca="1" si="3"/>
        <v/>
      </c>
      <c r="N40" s="80">
        <f ca="1">LN('Histogram Data'!K40+0.01)-LN(price)</f>
        <v>-1.8368519328717618</v>
      </c>
      <c r="O40" s="80">
        <f ca="1">_xlfn.NORM.DIST(N40,0+0.03^3,AVERAGE('Valuation Model'!$K$22:$L$22),FALSE)/scaling</f>
        <v>1.1279157277144764E-12</v>
      </c>
    </row>
    <row r="41" spans="10:15" s="75" customFormat="1" ht="12">
      <c r="J41" s="82">
        <f t="shared" si="4"/>
        <v>0.72000000000000031</v>
      </c>
      <c r="K41" s="80">
        <f t="shared" ca="1" si="1"/>
        <v>7.2000000000000028</v>
      </c>
      <c r="L41" s="83" t="str">
        <f t="shared" ca="1" si="2"/>
        <v/>
      </c>
      <c r="M41" s="81" t="str">
        <f t="shared" ca="1" si="3"/>
        <v/>
      </c>
      <c r="N41" s="80">
        <f ca="1">LN('Histogram Data'!K41+0.01)-LN(price)</f>
        <v>-1.8087206826214028</v>
      </c>
      <c r="O41" s="80">
        <f ca="1">_xlfn.NORM.DIST(N41,0+0.03^3,AVERAGE('Valuation Model'!$K$22:$L$22),FALSE)/scaling</f>
        <v>2.5130013753437827E-12</v>
      </c>
    </row>
    <row r="42" spans="10:15" s="75" customFormat="1" ht="12">
      <c r="J42" s="82">
        <f t="shared" si="4"/>
        <v>0.74000000000000032</v>
      </c>
      <c r="K42" s="80">
        <f t="shared" ca="1" si="1"/>
        <v>7.400000000000003</v>
      </c>
      <c r="L42" s="83" t="str">
        <f t="shared" ca="1" si="2"/>
        <v/>
      </c>
      <c r="M42" s="81" t="str">
        <f t="shared" ca="1" si="3"/>
        <v/>
      </c>
      <c r="N42" s="80">
        <f ca="1">LN('Histogram Data'!K42+0.01)-LN(price)</f>
        <v>-1.7813591946102649</v>
      </c>
      <c r="O42" s="80">
        <f ca="1">_xlfn.NORM.DIST(N42,0+0.03^3,AVERAGE('Valuation Model'!$K$22:$L$22),FALSE)/scaling</f>
        <v>5.4129961288641296E-12</v>
      </c>
    </row>
    <row r="43" spans="10:15" s="75" customFormat="1" ht="12">
      <c r="J43" s="82">
        <f t="shared" si="4"/>
        <v>0.76000000000000034</v>
      </c>
      <c r="K43" s="80">
        <f t="shared" ca="1" si="1"/>
        <v>7.6000000000000032</v>
      </c>
      <c r="L43" s="83" t="str">
        <f t="shared" ca="1" si="2"/>
        <v/>
      </c>
      <c r="M43" s="81" t="str">
        <f t="shared" ca="1" si="3"/>
        <v/>
      </c>
      <c r="N43" s="80">
        <f ca="1">LN('Histogram Data'!K43+0.01)-LN(price)</f>
        <v>-1.7547264620446663</v>
      </c>
      <c r="O43" s="80">
        <f ca="1">_xlfn.NORM.DIST(N43,0+0.03^3,AVERAGE('Valuation Model'!$K$22:$L$22),FALSE)/scaling</f>
        <v>1.1296100712000266E-11</v>
      </c>
    </row>
    <row r="44" spans="10:15" s="75" customFormat="1" ht="12">
      <c r="J44" s="82">
        <f t="shared" si="4"/>
        <v>0.78000000000000036</v>
      </c>
      <c r="K44" s="80">
        <f t="shared" ca="1" si="1"/>
        <v>7.8000000000000034</v>
      </c>
      <c r="L44" s="83" t="str">
        <f t="shared" ca="1" si="2"/>
        <v/>
      </c>
      <c r="M44" s="81" t="str">
        <f t="shared" ca="1" si="3"/>
        <v/>
      </c>
      <c r="N44" s="80">
        <f ca="1">LN('Histogram Data'!K44+0.01)-LN(price)</f>
        <v>-1.7287846700666658</v>
      </c>
      <c r="O44" s="80">
        <f ca="1">_xlfn.NORM.DIST(N44,0+0.03^3,AVERAGE('Valuation Model'!$K$22:$L$22),FALSE)/scaling</f>
        <v>2.2882520968903396E-11</v>
      </c>
    </row>
    <row r="45" spans="10:15" s="75" customFormat="1" ht="12">
      <c r="J45" s="82">
        <f t="shared" si="4"/>
        <v>0.80000000000000038</v>
      </c>
      <c r="K45" s="80">
        <f t="shared" ca="1" si="1"/>
        <v>8.0000000000000036</v>
      </c>
      <c r="L45" s="83" t="str">
        <f t="shared" ca="1" si="2"/>
        <v/>
      </c>
      <c r="M45" s="81" t="str">
        <f t="shared" ca="1" si="3"/>
        <v/>
      </c>
      <c r="N45" s="80">
        <f ca="1">LN('Histogram Data'!K45+0.01)-LN(price)</f>
        <v>-1.7034988728379927</v>
      </c>
      <c r="O45" s="80">
        <f ca="1">_xlfn.NORM.DIST(N45,0+0.03^3,AVERAGE('Valuation Model'!$K$22:$L$22),FALSE)/scaling</f>
        <v>4.5074655425424545E-11</v>
      </c>
    </row>
    <row r="46" spans="10:15" s="75" customFormat="1" ht="12">
      <c r="J46" s="82">
        <f t="shared" si="4"/>
        <v>0.8200000000000004</v>
      </c>
      <c r="K46" s="80">
        <f t="shared" ca="1" si="1"/>
        <v>8.2000000000000046</v>
      </c>
      <c r="L46" s="83" t="str">
        <f t="shared" ca="1" si="2"/>
        <v/>
      </c>
      <c r="M46" s="81" t="str">
        <f t="shared" ca="1" si="3"/>
        <v/>
      </c>
      <c r="N46" s="80">
        <f ca="1">LN('Histogram Data'!K46+0.01)-LN(price)</f>
        <v>-1.6788367104539237</v>
      </c>
      <c r="O46" s="80">
        <f ca="1">_xlfn.NORM.DIST(N46,0+0.03^3,AVERAGE('Valuation Model'!$K$22:$L$22),FALSE)/scaling</f>
        <v>8.6480947257255373E-11</v>
      </c>
    </row>
    <row r="47" spans="10:15" s="75" customFormat="1" ht="12">
      <c r="J47" s="82">
        <f t="shared" si="4"/>
        <v>0.84000000000000041</v>
      </c>
      <c r="K47" s="80">
        <f t="shared" ca="1" si="1"/>
        <v>8.4000000000000039</v>
      </c>
      <c r="L47" s="83" t="str">
        <f t="shared" ca="1" si="2"/>
        <v/>
      </c>
      <c r="M47" s="81" t="str">
        <f t="shared" ca="1" si="3"/>
        <v/>
      </c>
      <c r="N47" s="80">
        <f ca="1">LN('Histogram Data'!K47+0.01)-LN(price)</f>
        <v>-1.6547681599334041</v>
      </c>
      <c r="O47" s="80">
        <f ca="1">_xlfn.NORM.DIST(N47,0+0.03^3,AVERAGE('Valuation Model'!$K$22:$L$22),FALSE)/scaling</f>
        <v>1.6185200547127114E-10</v>
      </c>
    </row>
    <row r="48" spans="10:15" s="75" customFormat="1" ht="12">
      <c r="J48" s="82">
        <f t="shared" si="4"/>
        <v>0.86000000000000043</v>
      </c>
      <c r="K48" s="80">
        <f t="shared" ca="1" si="1"/>
        <v>8.600000000000005</v>
      </c>
      <c r="L48" s="83" t="str">
        <f t="shared" ca="1" si="2"/>
        <v/>
      </c>
      <c r="M48" s="81" t="str">
        <f t="shared" ca="1" si="3"/>
        <v/>
      </c>
      <c r="N48" s="80">
        <f ca="1">LN('Histogram Data'!K48+0.01)-LN(price)</f>
        <v>-1.631265315478621</v>
      </c>
      <c r="O48" s="80">
        <f ca="1">_xlfn.NORM.DIST(N48,0+0.03^3,AVERAGE('Valuation Model'!$K$22:$L$22),FALSE)/scaling</f>
        <v>2.9588642458619369E-10</v>
      </c>
    </row>
    <row r="49" spans="10:15" s="75" customFormat="1" ht="12">
      <c r="J49" s="82">
        <f t="shared" si="4"/>
        <v>0.88000000000000045</v>
      </c>
      <c r="K49" s="80">
        <f t="shared" ca="1" si="1"/>
        <v>8.8000000000000043</v>
      </c>
      <c r="L49" s="83" t="str">
        <f t="shared" ca="1" si="2"/>
        <v/>
      </c>
      <c r="M49" s="81" t="str">
        <f t="shared" ca="1" si="3"/>
        <v/>
      </c>
      <c r="N49" s="80">
        <f ca="1">LN('Histogram Data'!K49+0.01)-LN(price)</f>
        <v>-1.6083021939701725</v>
      </c>
      <c r="O49" s="80">
        <f ca="1">_xlfn.NORM.DIST(N49,0+0.03^3,AVERAGE('Valuation Model'!$K$22:$L$22),FALSE)/scaling</f>
        <v>5.2904848111230574E-10</v>
      </c>
    </row>
    <row r="50" spans="10:15" s="75" customFormat="1" ht="12">
      <c r="J50" s="82">
        <f t="shared" si="4"/>
        <v>0.90000000000000047</v>
      </c>
      <c r="K50" s="80">
        <f t="shared" ca="1" si="1"/>
        <v>9.0000000000000053</v>
      </c>
      <c r="L50" s="83" t="str">
        <f t="shared" ca="1" si="2"/>
        <v/>
      </c>
      <c r="M50" s="81" t="str">
        <f t="shared" ca="1" si="3"/>
        <v/>
      </c>
      <c r="N50" s="80">
        <f ca="1">LN('Histogram Data'!K50+0.01)-LN(price)</f>
        <v>-1.5858545622980138</v>
      </c>
      <c r="O50" s="80">
        <f ca="1">_xlfn.NORM.DIST(N50,0+0.03^3,AVERAGE('Valuation Model'!$K$22:$L$22),FALSE)/scaling</f>
        <v>9.2628024626215042E-10</v>
      </c>
    </row>
    <row r="51" spans="10:15" s="75" customFormat="1" ht="12">
      <c r="J51" s="82">
        <f t="shared" si="4"/>
        <v>0.92000000000000048</v>
      </c>
      <c r="K51" s="80">
        <f t="shared" ca="1" si="1"/>
        <v>9.2000000000000046</v>
      </c>
      <c r="L51" s="83" t="str">
        <f t="shared" ca="1" si="2"/>
        <v/>
      </c>
      <c r="M51" s="81" t="str">
        <f t="shared" ca="1" si="3"/>
        <v/>
      </c>
      <c r="N51" s="80">
        <f ca="1">LN('Histogram Data'!K51+0.01)-LN(price)</f>
        <v>-1.5638997836510451</v>
      </c>
      <c r="O51" s="80">
        <f ca="1">_xlfn.NORM.DIST(N51,0+0.03^3,AVERAGE('Valuation Model'!$K$22:$L$22),FALSE)/scaling</f>
        <v>1.5897966200182897E-9</v>
      </c>
    </row>
    <row r="52" spans="10:15" s="75" customFormat="1" ht="12">
      <c r="J52" s="82">
        <f t="shared" si="4"/>
        <v>0.9400000000000005</v>
      </c>
      <c r="K52" s="80">
        <f t="shared" ca="1" si="1"/>
        <v>9.4000000000000057</v>
      </c>
      <c r="L52" s="83" t="str">
        <f t="shared" ca="1" si="2"/>
        <v/>
      </c>
      <c r="M52" s="81" t="str">
        <f t="shared" ca="1" si="3"/>
        <v/>
      </c>
      <c r="N52" s="80">
        <f ca="1">LN('Histogram Data'!K52+0.01)-LN(price)</f>
        <v>-1.5424166803209722</v>
      </c>
      <c r="O52" s="80">
        <f ca="1">_xlfn.NORM.DIST(N52,0+0.03^3,AVERAGE('Valuation Model'!$K$22:$L$22),FALSE)/scaling</f>
        <v>2.6775331291949486E-9</v>
      </c>
    </row>
    <row r="53" spans="10:15" s="75" customFormat="1" ht="12">
      <c r="J53" s="82">
        <f t="shared" si="4"/>
        <v>0.96000000000000052</v>
      </c>
      <c r="K53" s="80">
        <f t="shared" ca="1" si="1"/>
        <v>9.600000000000005</v>
      </c>
      <c r="L53" s="83" t="str">
        <f t="shared" ca="1" si="2"/>
        <v/>
      </c>
      <c r="M53" s="81" t="str">
        <f t="shared" ca="1" si="3"/>
        <v/>
      </c>
      <c r="N53" s="80">
        <f ca="1">LN('Histogram Data'!K53+0.01)-LN(price)</f>
        <v>-1.5213854109360594</v>
      </c>
      <c r="O53" s="80">
        <f ca="1">_xlfn.NORM.DIST(N53,0+0.03^3,AVERAGE('Valuation Model'!$K$22:$L$22),FALSE)/scaling</f>
        <v>4.4292819361333568E-9</v>
      </c>
    </row>
    <row r="54" spans="10:15" s="75" customFormat="1" ht="12">
      <c r="J54" s="82">
        <f t="shared" si="4"/>
        <v>0.98000000000000054</v>
      </c>
      <c r="K54" s="80">
        <f t="shared" ca="1" si="1"/>
        <v>9.800000000000006</v>
      </c>
      <c r="L54" s="83" t="str">
        <f t="shared" ca="1" si="2"/>
        <v/>
      </c>
      <c r="M54" s="81" t="str">
        <f t="shared" ca="1" si="3"/>
        <v/>
      </c>
      <c r="N54" s="80">
        <f ca="1">LN('Histogram Data'!K54+0.01)-LN(price)</f>
        <v>-1.5007873603409889</v>
      </c>
      <c r="O54" s="80">
        <f ca="1">_xlfn.NORM.DIST(N54,0+0.03^3,AVERAGE('Valuation Model'!$K$22:$L$22),FALSE)/scaling</f>
        <v>7.2031086559895287E-9</v>
      </c>
    </row>
    <row r="55" spans="10:15">
      <c r="J55" s="82">
        <f t="shared" si="4"/>
        <v>1.0000000000000004</v>
      </c>
      <c r="K55" s="80">
        <f t="shared" ca="1" si="1"/>
        <v>10.000000000000004</v>
      </c>
      <c r="L55" s="83" t="str">
        <f t="shared" ca="1" si="2"/>
        <v/>
      </c>
      <c r="M55" s="81" t="str">
        <f t="shared" ca="1" si="3"/>
        <v/>
      </c>
      <c r="N55" s="80">
        <f ca="1">LN('Histogram Data'!K55+0.01)-LN(price)</f>
        <v>-1.4806050405911315</v>
      </c>
      <c r="O55" s="80">
        <f ca="1">_xlfn.NORM.DIST(N55,0+0.03^3,AVERAGE('Valuation Model'!$K$22:$L$22),FALSE)/scaling</f>
        <v>1.1525296145349098E-8</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72"/>
  <sheetViews>
    <sheetView zoomScaleNormal="100" workbookViewId="0"/>
  </sheetViews>
  <sheetFormatPr defaultRowHeight="15"/>
  <cols>
    <col min="1" max="1" width="10.7109375" bestFit="1" customWidth="1"/>
    <col min="3" max="3" width="10.7109375" bestFit="1" customWidth="1"/>
  </cols>
  <sheetData>
    <row r="1" spans="1:3">
      <c r="A1" t="s">
        <v>160</v>
      </c>
      <c r="B1" t="s">
        <v>161</v>
      </c>
    </row>
    <row r="2" spans="1:3">
      <c r="A2" s="125">
        <v>36616</v>
      </c>
      <c r="B2">
        <v>10036.1</v>
      </c>
      <c r="C2" s="125"/>
    </row>
    <row r="3" spans="1:3">
      <c r="A3" s="125">
        <v>36707</v>
      </c>
      <c r="B3">
        <v>10283.700000000001</v>
      </c>
      <c r="C3" s="125"/>
    </row>
    <row r="4" spans="1:3">
      <c r="A4" s="125">
        <v>36799</v>
      </c>
      <c r="B4">
        <v>10363.799999999999</v>
      </c>
      <c r="C4" s="125"/>
    </row>
    <row r="5" spans="1:3">
      <c r="A5" s="125">
        <v>36891</v>
      </c>
      <c r="B5">
        <v>10475.299999999999</v>
      </c>
      <c r="C5" s="125"/>
    </row>
    <row r="6" spans="1:3">
      <c r="A6" s="125">
        <v>36981</v>
      </c>
      <c r="B6">
        <v>10512.5</v>
      </c>
      <c r="C6" s="125"/>
    </row>
    <row r="7" spans="1:3">
      <c r="A7" s="125">
        <v>37072</v>
      </c>
      <c r="B7">
        <v>10641.6</v>
      </c>
      <c r="C7" s="125"/>
    </row>
    <row r="8" spans="1:3">
      <c r="A8" s="125">
        <v>37164</v>
      </c>
      <c r="B8">
        <v>10644.3</v>
      </c>
      <c r="C8" s="125"/>
    </row>
    <row r="9" spans="1:3">
      <c r="A9" s="125">
        <v>37256</v>
      </c>
      <c r="B9">
        <v>10702.7</v>
      </c>
      <c r="C9" s="125"/>
    </row>
    <row r="10" spans="1:3">
      <c r="A10" s="125">
        <v>37346</v>
      </c>
      <c r="B10">
        <v>10837.3</v>
      </c>
      <c r="C10" s="125"/>
    </row>
    <row r="11" spans="1:3">
      <c r="A11" s="125">
        <v>37437</v>
      </c>
      <c r="B11">
        <v>10938</v>
      </c>
      <c r="C11" s="125"/>
    </row>
    <row r="12" spans="1:3">
      <c r="A12" s="125">
        <v>37529</v>
      </c>
      <c r="B12">
        <v>11039.8</v>
      </c>
      <c r="C12" s="125"/>
    </row>
    <row r="13" spans="1:3">
      <c r="A13" s="125">
        <v>37621</v>
      </c>
      <c r="B13">
        <v>11105.7</v>
      </c>
      <c r="C13" s="125"/>
    </row>
    <row r="14" spans="1:3">
      <c r="A14" s="125">
        <v>37711</v>
      </c>
      <c r="B14">
        <v>11230.8</v>
      </c>
      <c r="C14" s="125"/>
    </row>
    <row r="15" spans="1:3">
      <c r="A15" s="125">
        <v>37802</v>
      </c>
      <c r="B15">
        <v>11371.4</v>
      </c>
      <c r="C15" s="125"/>
    </row>
    <row r="16" spans="1:3">
      <c r="A16" s="125">
        <v>37894</v>
      </c>
      <c r="B16">
        <v>11628.4</v>
      </c>
      <c r="C16" s="125"/>
    </row>
    <row r="17" spans="1:3">
      <c r="A17" s="125">
        <v>37986</v>
      </c>
      <c r="B17">
        <v>11818.5</v>
      </c>
      <c r="C17" s="125"/>
    </row>
    <row r="18" spans="1:3">
      <c r="A18" s="125">
        <v>38077</v>
      </c>
      <c r="B18">
        <v>11991.4</v>
      </c>
      <c r="C18" s="125"/>
    </row>
    <row r="19" spans="1:3">
      <c r="A19" s="125">
        <v>38168</v>
      </c>
      <c r="B19">
        <v>12183.5</v>
      </c>
      <c r="C19" s="125"/>
    </row>
    <row r="20" spans="1:3">
      <c r="A20" s="125">
        <v>38260</v>
      </c>
      <c r="B20">
        <v>12369.4</v>
      </c>
      <c r="C20" s="125"/>
    </row>
    <row r="21" spans="1:3">
      <c r="A21" s="125">
        <v>38352</v>
      </c>
      <c r="B21">
        <v>12563.8</v>
      </c>
      <c r="C21" s="125"/>
    </row>
    <row r="22" spans="1:3">
      <c r="A22" s="125">
        <v>38442</v>
      </c>
      <c r="B22">
        <v>12816.2</v>
      </c>
      <c r="C22" s="125"/>
    </row>
    <row r="23" spans="1:3">
      <c r="A23" s="125">
        <v>38533</v>
      </c>
      <c r="B23">
        <v>12975.7</v>
      </c>
      <c r="C23" s="125"/>
    </row>
    <row r="24" spans="1:3">
      <c r="A24" s="125">
        <v>38625</v>
      </c>
      <c r="B24">
        <v>13206.5</v>
      </c>
      <c r="C24" s="125"/>
    </row>
    <row r="25" spans="1:3">
      <c r="A25" s="125">
        <v>38717</v>
      </c>
      <c r="B25">
        <v>13383.3</v>
      </c>
      <c r="C25" s="125"/>
    </row>
    <row r="26" spans="1:3">
      <c r="A26" s="125">
        <v>38807</v>
      </c>
      <c r="B26">
        <v>13649.8</v>
      </c>
      <c r="C26" s="125"/>
    </row>
    <row r="27" spans="1:3">
      <c r="A27" s="125">
        <v>38898</v>
      </c>
      <c r="B27">
        <v>13802.9</v>
      </c>
      <c r="C27" s="125"/>
    </row>
    <row r="28" spans="1:3">
      <c r="A28" s="125">
        <v>38990</v>
      </c>
      <c r="B28">
        <v>13910.5</v>
      </c>
      <c r="C28" s="125"/>
    </row>
    <row r="29" spans="1:3">
      <c r="A29" s="125">
        <v>39082</v>
      </c>
      <c r="B29">
        <v>14068.4</v>
      </c>
    </row>
    <row r="30" spans="1:3">
      <c r="A30" s="125">
        <v>39172</v>
      </c>
      <c r="B30">
        <v>14235</v>
      </c>
    </row>
    <row r="31" spans="1:3">
      <c r="A31" s="125">
        <v>39263</v>
      </c>
      <c r="B31">
        <v>14424.5</v>
      </c>
    </row>
    <row r="32" spans="1:3">
      <c r="A32" s="125">
        <v>39355</v>
      </c>
      <c r="B32">
        <v>14571.9</v>
      </c>
    </row>
    <row r="33" spans="1:2">
      <c r="A33" s="125">
        <v>39447</v>
      </c>
      <c r="B33">
        <v>14690</v>
      </c>
    </row>
    <row r="34" spans="1:2">
      <c r="A34" s="125">
        <v>39538</v>
      </c>
      <c r="B34">
        <v>14672.9</v>
      </c>
    </row>
    <row r="35" spans="1:2">
      <c r="A35" s="125">
        <v>39629</v>
      </c>
      <c r="B35">
        <v>14813</v>
      </c>
    </row>
    <row r="36" spans="1:2">
      <c r="A36" s="125">
        <v>39721</v>
      </c>
      <c r="B36">
        <v>14843</v>
      </c>
    </row>
    <row r="37" spans="1:2">
      <c r="A37" s="125">
        <v>39813</v>
      </c>
      <c r="B37">
        <v>14549.9</v>
      </c>
    </row>
    <row r="38" spans="1:2">
      <c r="A38" s="125">
        <v>39903</v>
      </c>
      <c r="B38">
        <v>14383.9</v>
      </c>
    </row>
    <row r="39" spans="1:2">
      <c r="A39" s="125">
        <v>39994</v>
      </c>
      <c r="B39">
        <v>14340.4</v>
      </c>
    </row>
    <row r="40" spans="1:2">
      <c r="A40" s="125">
        <v>40086</v>
      </c>
      <c r="B40">
        <v>14384.1</v>
      </c>
    </row>
    <row r="41" spans="1:2">
      <c r="A41" s="125">
        <v>40178</v>
      </c>
      <c r="B41">
        <v>14566.5</v>
      </c>
    </row>
    <row r="42" spans="1:2">
      <c r="A42" s="125">
        <v>40268</v>
      </c>
      <c r="B42">
        <v>14681.1</v>
      </c>
    </row>
    <row r="43" spans="1:2">
      <c r="A43" s="125">
        <v>40359</v>
      </c>
      <c r="B43">
        <v>14888.6</v>
      </c>
    </row>
    <row r="44" spans="1:2">
      <c r="A44" s="125">
        <v>40451</v>
      </c>
      <c r="B44">
        <v>15057.7</v>
      </c>
    </row>
    <row r="45" spans="1:2">
      <c r="A45" s="125">
        <v>40543</v>
      </c>
      <c r="B45">
        <v>15230.2</v>
      </c>
    </row>
    <row r="46" spans="1:2">
      <c r="A46" s="125">
        <v>40633</v>
      </c>
      <c r="B46">
        <v>15238.4</v>
      </c>
    </row>
    <row r="47" spans="1:2">
      <c r="A47" s="125">
        <v>40724</v>
      </c>
      <c r="B47">
        <v>15460.9</v>
      </c>
    </row>
    <row r="48" spans="1:2">
      <c r="A48" s="125">
        <v>40816</v>
      </c>
      <c r="B48">
        <v>15587.1</v>
      </c>
    </row>
    <row r="49" spans="1:5">
      <c r="A49" s="125">
        <v>40908</v>
      </c>
      <c r="B49">
        <v>15785.3</v>
      </c>
    </row>
    <row r="50" spans="1:5">
      <c r="A50" s="125">
        <v>40999</v>
      </c>
      <c r="B50">
        <v>15956.5</v>
      </c>
    </row>
    <row r="51" spans="1:5">
      <c r="A51" s="125">
        <v>41090</v>
      </c>
      <c r="B51">
        <v>16094.7</v>
      </c>
    </row>
    <row r="52" spans="1:5">
      <c r="A52" s="125">
        <v>41182</v>
      </c>
      <c r="B52">
        <v>16268.9</v>
      </c>
    </row>
    <row r="53" spans="1:5">
      <c r="A53" s="125">
        <v>41274</v>
      </c>
      <c r="B53">
        <v>16332.5</v>
      </c>
    </row>
    <row r="54" spans="1:5">
      <c r="A54" s="125">
        <v>41364</v>
      </c>
      <c r="B54">
        <v>16502.400000000001</v>
      </c>
    </row>
    <row r="55" spans="1:5">
      <c r="A55" s="125">
        <v>41455</v>
      </c>
      <c r="B55">
        <v>16619.2</v>
      </c>
    </row>
    <row r="56" spans="1:5">
      <c r="A56" s="125">
        <v>41547</v>
      </c>
      <c r="B56">
        <v>16872.3</v>
      </c>
    </row>
    <row r="57" spans="1:5">
      <c r="A57" s="125">
        <v>41639</v>
      </c>
      <c r="B57">
        <v>17078.3</v>
      </c>
    </row>
    <row r="58" spans="1:5">
      <c r="A58" s="125">
        <v>41729</v>
      </c>
      <c r="B58">
        <v>17044</v>
      </c>
    </row>
    <row r="59" spans="1:5">
      <c r="A59" s="125">
        <v>41820</v>
      </c>
      <c r="B59">
        <v>17328.2</v>
      </c>
    </row>
    <row r="60" spans="1:5">
      <c r="A60" s="125">
        <v>41912</v>
      </c>
      <c r="B60">
        <v>17599.8</v>
      </c>
    </row>
    <row r="61" spans="1:5">
      <c r="A61" s="125">
        <v>42004</v>
      </c>
      <c r="B61">
        <v>17703.7</v>
      </c>
    </row>
    <row r="62" spans="1:5">
      <c r="A62" s="125">
        <v>42094</v>
      </c>
      <c r="B62">
        <v>17665</v>
      </c>
      <c r="E62" s="125"/>
    </row>
    <row r="63" spans="1:5">
      <c r="A63" s="125">
        <v>42185</v>
      </c>
      <c r="B63">
        <v>17913.7</v>
      </c>
      <c r="E63" s="125"/>
    </row>
    <row r="64" spans="1:5">
      <c r="A64" s="125">
        <v>42277</v>
      </c>
      <c r="B64">
        <v>18060.2</v>
      </c>
    </row>
    <row r="65" spans="1:2">
      <c r="A65" s="125">
        <v>42369</v>
      </c>
      <c r="B65">
        <v>18164.8</v>
      </c>
    </row>
    <row r="66" spans="1:2">
      <c r="A66" s="125">
        <v>42460</v>
      </c>
      <c r="B66">
        <v>18229.5</v>
      </c>
    </row>
    <row r="67" spans="1:2">
      <c r="A67" s="125">
        <v>42551</v>
      </c>
      <c r="B67">
        <v>18450.099999999999</v>
      </c>
    </row>
    <row r="68" spans="1:2">
      <c r="A68" s="125">
        <v>42643</v>
      </c>
      <c r="B68">
        <v>18651.2</v>
      </c>
    </row>
    <row r="69" spans="1:2">
      <c r="A69" s="125">
        <v>42735</v>
      </c>
      <c r="B69">
        <v>18869.400000000001</v>
      </c>
    </row>
    <row r="70" spans="1:2">
      <c r="A70" s="125">
        <v>42825</v>
      </c>
      <c r="B70">
        <v>19007.3</v>
      </c>
    </row>
    <row r="71" spans="1:2">
      <c r="A71" s="125">
        <v>42916</v>
      </c>
      <c r="B71">
        <v>19246.7</v>
      </c>
    </row>
    <row r="72" spans="1:2">
      <c r="A72" s="12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showGridLines="0" workbookViewId="0"/>
  </sheetViews>
  <sheetFormatPr defaultRowHeight="1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124</v>
      </c>
    </row>
    <row r="3" spans="1:5">
      <c r="A3" t="s">
        <v>69</v>
      </c>
      <c r="B3" t="s">
        <v>70</v>
      </c>
      <c r="C3" t="s">
        <v>125</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10</vt:i4>
      </vt:variant>
      <vt:variant>
        <vt:lpstr>Named Ranges</vt:lpstr>
      </vt:variant>
      <vt:variant>
        <vt:i4>44</vt:i4>
      </vt:variant>
    </vt:vector>
  </HeadingPairs>
  <TitlesOfParts>
    <vt:vector size="61" baseType="lpstr">
      <vt:lpstr>Valuation Model</vt:lpstr>
      <vt:lpstr>Company Analysis</vt:lpstr>
      <vt:lpstr>Segments</vt:lpstr>
      <vt:lpstr>Graphing Data</vt:lpstr>
      <vt:lpstr>Histogram Data</vt:lpstr>
      <vt:lpstr>GDP Data</vt:lpstr>
      <vt:lpstr>Disclaimer</vt:lpstr>
      <vt:lpstr>Revenue History</vt:lpstr>
      <vt:lpstr>Revenue Chart</vt:lpstr>
      <vt:lpstr>Profit History</vt:lpstr>
      <vt:lpstr>Profit Chart</vt:lpstr>
      <vt:lpstr>ECF to OCP Chart</vt:lpstr>
      <vt:lpstr>ECF Breakdown Chart</vt:lpstr>
      <vt:lpstr>FCFO Chart</vt:lpstr>
      <vt:lpstr>OCP vs GDP</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2018-01-19T17:23:08Z</dcterms:modified>
</cp:coreProperties>
</file>