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chartsheets/sheet22.xml" ContentType="application/vnd.openxmlformats-officedocument.spreadsheetml.chartsheet+xml"/>
  <Override PartName="/xl/chartsheets/sheet23.xml" ContentType="application/vnd.openxmlformats-officedocument.spreadsheetml.chart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chartsheets/sheet26.xml" ContentType="application/vnd.openxmlformats-officedocument.spreadsheetml.chartsheet+xml"/>
  <Override PartName="/xl/chartsheets/sheet27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Ex1.xml" ContentType="application/vnd.ms-office.chartex+xml"/>
  <Override PartName="/xl/charts/style18.xml" ContentType="application/vnd.ms-office.chartstyle+xml"/>
  <Override PartName="/xl/charts/colors18.xml" ContentType="application/vnd.ms-office.chartcolorstyle+xml"/>
  <Override PartName="/xl/charts/chart18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4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5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6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7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8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29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30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1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32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33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3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1dfedd50d51e5ce/Documents/Business/Company Research/UNP - Union Pacific/"/>
    </mc:Choice>
  </mc:AlternateContent>
  <xr:revisionPtr revIDLastSave="1665" documentId="49598E79189F1097CD596A7AF0C4C5D350C4443A" xr6:coauthVersionLast="24" xr6:coauthVersionMax="24" xr10:uidLastSave="{9963FB14-BC89-40DA-89E3-DA0F84775CCD}"/>
  <bookViews>
    <workbookView xWindow="0" yWindow="0" windowWidth="14925" windowHeight="7350" tabRatio="699" activeTab="3" xr2:uid="{E66132C8-C0ED-47F0-B6B9-1EBBA5B6236E}"/>
  </bookViews>
  <sheets>
    <sheet name="Detailed OCP Calculations" sheetId="1" r:id="rId1"/>
    <sheet name="Capex Opex data" sheetId="3" r:id="rId2"/>
    <sheet name="Age of Locos" sheetId="2" r:id="rId3"/>
    <sheet name="BNSF OCP" sheetId="12" r:id="rId4"/>
    <sheet name="Capex as Pct Revenues" sheetId="35" r:id="rId5"/>
    <sheet name="Op Profit - OCP Chart" sheetId="34" r:id="rId6"/>
    <sheet name="Taxes" sheetId="29" r:id="rId7"/>
    <sheet name="Revenue Ton-Miles" sheetId="28" r:id="rId8"/>
    <sheet name="Revenue Ton-Mile CAGR" sheetId="33" r:id="rId9"/>
    <sheet name="Revenue Ton-Mile Chart" sheetId="32" r:id="rId10"/>
    <sheet name="OCP Tax Effect" sheetId="31" r:id="rId11"/>
    <sheet name="Tax Comparison" sheetId="30" r:id="rId12"/>
    <sheet name="Operating Ratio" sheetId="27" r:id="rId13"/>
    <sheet name="Surcharge and Diesel" sheetId="26" r:id="rId14"/>
    <sheet name="Surcharge pct Fuel Expense" sheetId="25" r:id="rId15"/>
    <sheet name="Carloads per Employee Chart" sheetId="24" r:id="rId16"/>
    <sheet name="Fuel Expense Chart" sheetId="23" r:id="rId17"/>
    <sheet name="Employee Number Chart" sheetId="22" r:id="rId18"/>
    <sheet name="Op Profit Walk Chart" sheetId="20" r:id="rId19"/>
    <sheet name="Detailed Capex Chart" sheetId="4" r:id="rId20"/>
    <sheet name="Long-term Capex Chart" sheetId="5" r:id="rId21"/>
    <sheet name="Old vs New OCP Chart" sheetId="6" r:id="rId22"/>
    <sheet name="Maint vs Growth Chart" sheetId="7" r:id="rId23"/>
    <sheet name="Leased vs Owned Chart" sheetId="8" r:id="rId24"/>
    <sheet name="LT OCP Chart" sheetId="9" r:id="rId25"/>
    <sheet name="MX as Pct of OCP and Rev" sheetId="10" r:id="rId26"/>
    <sheet name="MX as Pct of Rev" sheetId="11" r:id="rId27"/>
    <sheet name="MX Comparison Chart" sheetId="18" r:id="rId28"/>
    <sheet name="BNSF UNP OCP Chart" sheetId="13" r:id="rId29"/>
    <sheet name="BNSF UNP OCP Chart (2)" sheetId="16" r:id="rId30"/>
    <sheet name="BNSF UNP FCFO Chart" sheetId="14" r:id="rId31"/>
    <sheet name="BNSF UNP FCFO Chart (2)" sheetId="17" r:id="rId32"/>
    <sheet name="BNSF UNP Capex Chart" sheetId="15" r:id="rId33"/>
  </sheets>
  <definedNames>
    <definedName name="_xlchart.v1.0" hidden="1">'Capex Opex data'!$I$64:$P$64</definedName>
    <definedName name="_xlchart.v1.1" hidden="1">'Capex Opex data'!$I$65:$P$65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2" l="1"/>
  <c r="D33" i="12"/>
  <c r="E33" i="12"/>
  <c r="F33" i="12"/>
  <c r="G33" i="12"/>
  <c r="H33" i="12"/>
  <c r="I33" i="12"/>
  <c r="J33" i="12"/>
  <c r="K33" i="12"/>
  <c r="L33" i="12"/>
  <c r="M33" i="12"/>
  <c r="N33" i="12"/>
  <c r="O33" i="12"/>
  <c r="P33" i="12"/>
  <c r="Q33" i="12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B44" i="1"/>
  <c r="B33" i="12"/>
  <c r="S33" i="12" l="1"/>
  <c r="T33" i="12"/>
  <c r="N11" i="28"/>
  <c r="N12" i="28"/>
  <c r="N13" i="28"/>
  <c r="N14" i="28"/>
  <c r="N15" i="28"/>
  <c r="N10" i="28"/>
  <c r="N3" i="28"/>
  <c r="N4" i="28"/>
  <c r="N5" i="28"/>
  <c r="N6" i="28"/>
  <c r="N7" i="28"/>
  <c r="N2" i="28"/>
  <c r="L10" i="28"/>
  <c r="L11" i="28"/>
  <c r="L12" i="28"/>
  <c r="L13" i="28"/>
  <c r="L14" i="28"/>
  <c r="L15" i="28"/>
  <c r="L3" i="28"/>
  <c r="L4" i="28"/>
  <c r="L5" i="28"/>
  <c r="L6" i="28"/>
  <c r="L7" i="28"/>
  <c r="L2" i="28"/>
  <c r="B17" i="29"/>
  <c r="C17" i="29"/>
  <c r="D17" i="29"/>
  <c r="E17" i="29"/>
  <c r="F17" i="29"/>
  <c r="G17" i="29"/>
  <c r="H17" i="29"/>
  <c r="I17" i="29"/>
  <c r="J17" i="29"/>
  <c r="K17" i="29"/>
  <c r="L17" i="29"/>
  <c r="M17" i="29"/>
  <c r="N17" i="29"/>
  <c r="O17" i="29"/>
  <c r="P17" i="29"/>
  <c r="Q17" i="29"/>
  <c r="C16" i="29"/>
  <c r="D16" i="29"/>
  <c r="E16" i="29"/>
  <c r="F16" i="29"/>
  <c r="G16" i="29"/>
  <c r="H16" i="29"/>
  <c r="I16" i="29"/>
  <c r="J16" i="29"/>
  <c r="K16" i="29"/>
  <c r="L16" i="29"/>
  <c r="M16" i="29"/>
  <c r="N16" i="29"/>
  <c r="O16" i="29"/>
  <c r="P16" i="29"/>
  <c r="Q16" i="29"/>
  <c r="B16" i="29"/>
  <c r="C13" i="29"/>
  <c r="D13" i="29"/>
  <c r="E13" i="29"/>
  <c r="F13" i="29"/>
  <c r="G13" i="29"/>
  <c r="H13" i="29"/>
  <c r="I13" i="29"/>
  <c r="J13" i="29"/>
  <c r="K13" i="29"/>
  <c r="L13" i="29"/>
  <c r="M13" i="29"/>
  <c r="N13" i="29"/>
  <c r="O13" i="29"/>
  <c r="P13" i="29"/>
  <c r="Q13" i="29"/>
  <c r="B13" i="29"/>
  <c r="C11" i="29"/>
  <c r="D11" i="29"/>
  <c r="E11" i="29"/>
  <c r="F11" i="29"/>
  <c r="G11" i="29"/>
  <c r="H11" i="29"/>
  <c r="I11" i="29"/>
  <c r="J11" i="29"/>
  <c r="K11" i="29"/>
  <c r="L11" i="29"/>
  <c r="M11" i="29"/>
  <c r="N11" i="29"/>
  <c r="O11" i="29"/>
  <c r="P11" i="29"/>
  <c r="Q11" i="29"/>
  <c r="B11" i="29"/>
  <c r="B7" i="29"/>
  <c r="B8" i="29"/>
  <c r="C7" i="29"/>
  <c r="D7" i="29"/>
  <c r="E7" i="29"/>
  <c r="E8" i="29" s="1"/>
  <c r="C8" i="29"/>
  <c r="D8" i="29"/>
  <c r="F7" i="29"/>
  <c r="G7" i="29"/>
  <c r="G8" i="29" s="1"/>
  <c r="H7" i="29"/>
  <c r="H8" i="29" s="1"/>
  <c r="F8" i="29"/>
  <c r="I7" i="29"/>
  <c r="J7" i="29"/>
  <c r="J8" i="29" s="1"/>
  <c r="K7" i="29"/>
  <c r="K8" i="29" s="1"/>
  <c r="I8" i="29"/>
  <c r="L7" i="29"/>
  <c r="M7" i="29"/>
  <c r="N7" i="29"/>
  <c r="N8" i="29" s="1"/>
  <c r="L8" i="29"/>
  <c r="M8" i="29"/>
  <c r="O7" i="29"/>
  <c r="P7" i="29"/>
  <c r="O8" i="29"/>
  <c r="P8" i="29"/>
  <c r="Q8" i="29"/>
  <c r="Q7" i="29"/>
  <c r="C11" i="28"/>
  <c r="D11" i="28"/>
  <c r="E11" i="28"/>
  <c r="F11" i="28"/>
  <c r="G11" i="28"/>
  <c r="H11" i="28"/>
  <c r="I11" i="28"/>
  <c r="J11" i="28"/>
  <c r="K11" i="28"/>
  <c r="C12" i="28"/>
  <c r="D12" i="28"/>
  <c r="E12" i="28"/>
  <c r="F12" i="28"/>
  <c r="G12" i="28"/>
  <c r="H12" i="28"/>
  <c r="I12" i="28"/>
  <c r="J12" i="28"/>
  <c r="K12" i="28"/>
  <c r="C13" i="28"/>
  <c r="D13" i="28"/>
  <c r="E13" i="28"/>
  <c r="F13" i="28"/>
  <c r="G13" i="28"/>
  <c r="H13" i="28"/>
  <c r="I13" i="28"/>
  <c r="J13" i="28"/>
  <c r="K13" i="28"/>
  <c r="C14" i="28"/>
  <c r="D14" i="28"/>
  <c r="E14" i="28"/>
  <c r="F14" i="28"/>
  <c r="G14" i="28"/>
  <c r="H14" i="28"/>
  <c r="I14" i="28"/>
  <c r="J14" i="28"/>
  <c r="K14" i="28"/>
  <c r="C15" i="28"/>
  <c r="D15" i="28"/>
  <c r="E15" i="28"/>
  <c r="F15" i="28"/>
  <c r="G15" i="28"/>
  <c r="H15" i="28"/>
  <c r="I15" i="28"/>
  <c r="J15" i="28"/>
  <c r="K15" i="28"/>
  <c r="D10" i="28"/>
  <c r="E10" i="28"/>
  <c r="F10" i="28"/>
  <c r="G10" i="28"/>
  <c r="H10" i="28"/>
  <c r="I10" i="28"/>
  <c r="J10" i="28"/>
  <c r="K10" i="28"/>
  <c r="C10" i="28"/>
  <c r="C62" i="3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75" i="3"/>
  <c r="S44" i="3"/>
  <c r="S45" i="3"/>
  <c r="B46" i="3"/>
  <c r="B66" i="3" s="1"/>
  <c r="C46" i="3"/>
  <c r="D46" i="3"/>
  <c r="E46" i="3"/>
  <c r="F46" i="3"/>
  <c r="G46" i="3"/>
  <c r="H46" i="3"/>
  <c r="S47" i="3"/>
  <c r="B54" i="3"/>
  <c r="C54" i="3" s="1"/>
  <c r="D54" i="3" s="1"/>
  <c r="E54" i="3" s="1"/>
  <c r="F54" i="3" s="1"/>
  <c r="G54" i="3" s="1"/>
  <c r="H54" i="3" s="1"/>
  <c r="I54" i="3" s="1"/>
  <c r="J54" i="3" s="1"/>
  <c r="K54" i="3" s="1"/>
  <c r="L54" i="3" s="1"/>
  <c r="M54" i="3" s="1"/>
  <c r="N54" i="3" s="1"/>
  <c r="O54" i="3" s="1"/>
  <c r="P54" i="3" s="1"/>
  <c r="Q54" i="3" s="1"/>
  <c r="S53" i="3"/>
  <c r="C56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B56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B55" i="3"/>
  <c r="C66" i="3"/>
  <c r="C67" i="3"/>
  <c r="F67" i="3" s="1"/>
  <c r="C68" i="3"/>
  <c r="C69" i="3"/>
  <c r="C70" i="3"/>
  <c r="C65" i="3"/>
  <c r="B67" i="3"/>
  <c r="B68" i="3"/>
  <c r="B69" i="3"/>
  <c r="B70" i="3"/>
  <c r="B65" i="3"/>
  <c r="S48" i="3"/>
  <c r="S49" i="3"/>
  <c r="S50" i="3"/>
  <c r="N66" i="1"/>
  <c r="O89" i="12"/>
  <c r="I66" i="1"/>
  <c r="J66" i="1"/>
  <c r="K66" i="1"/>
  <c r="L66" i="1"/>
  <c r="M66" i="1"/>
  <c r="R65" i="1"/>
  <c r="Q65" i="1"/>
  <c r="P65" i="1"/>
  <c r="L65" i="1"/>
  <c r="K65" i="1"/>
  <c r="J65" i="1"/>
  <c r="I65" i="1"/>
  <c r="S46" i="3" l="1"/>
  <c r="S55" i="3"/>
  <c r="B71" i="3"/>
  <c r="I65" i="3" s="1"/>
  <c r="P65" i="3" s="1"/>
  <c r="F65" i="3"/>
  <c r="S56" i="3"/>
  <c r="F68" i="3"/>
  <c r="F70" i="3"/>
  <c r="C71" i="3"/>
  <c r="F71" i="3" s="1"/>
  <c r="F69" i="3"/>
  <c r="F66" i="3"/>
  <c r="I46" i="12"/>
  <c r="J46" i="12"/>
  <c r="L46" i="12"/>
  <c r="M46" i="12"/>
  <c r="N46" i="12"/>
  <c r="N47" i="12" s="1"/>
  <c r="O46" i="12"/>
  <c r="P46" i="12"/>
  <c r="Q46" i="12"/>
  <c r="H46" i="12"/>
  <c r="J84" i="12"/>
  <c r="K84" i="12"/>
  <c r="L84" i="12"/>
  <c r="M84" i="12"/>
  <c r="N84" i="12"/>
  <c r="O84" i="12"/>
  <c r="P84" i="12"/>
  <c r="Q84" i="12"/>
  <c r="I84" i="12"/>
  <c r="K58" i="12"/>
  <c r="K83" i="12" s="1"/>
  <c r="K86" i="12" s="1"/>
  <c r="J58" i="12"/>
  <c r="J83" i="12" s="1"/>
  <c r="I58" i="12"/>
  <c r="I66" i="12" s="1"/>
  <c r="K52" i="12"/>
  <c r="K54" i="12" s="1"/>
  <c r="K59" i="12" s="1"/>
  <c r="K51" i="12"/>
  <c r="K49" i="12"/>
  <c r="B66" i="12"/>
  <c r="C66" i="12"/>
  <c r="D66" i="12"/>
  <c r="E66" i="12"/>
  <c r="F66" i="12"/>
  <c r="G66" i="12"/>
  <c r="H66" i="12"/>
  <c r="J66" i="12"/>
  <c r="M66" i="12"/>
  <c r="N58" i="12"/>
  <c r="M58" i="12"/>
  <c r="M83" i="12" s="1"/>
  <c r="L58" i="12"/>
  <c r="L83" i="12" s="1"/>
  <c r="L86" i="12" s="1"/>
  <c r="G59" i="12"/>
  <c r="B54" i="12"/>
  <c r="B59" i="12" s="1"/>
  <c r="C54" i="12"/>
  <c r="C59" i="12" s="1"/>
  <c r="D54" i="12"/>
  <c r="D55" i="12" s="1"/>
  <c r="D56" i="12" s="1"/>
  <c r="E54" i="12"/>
  <c r="E55" i="12" s="1"/>
  <c r="E56" i="12" s="1"/>
  <c r="F54" i="12"/>
  <c r="F59" i="12" s="1"/>
  <c r="G54" i="12"/>
  <c r="H54" i="12"/>
  <c r="H59" i="12" s="1"/>
  <c r="I54" i="12"/>
  <c r="I55" i="12" s="1"/>
  <c r="I56" i="12" s="1"/>
  <c r="I73" i="12" s="1"/>
  <c r="J54" i="12"/>
  <c r="J55" i="12" s="1"/>
  <c r="J72" i="12" s="1"/>
  <c r="L54" i="12"/>
  <c r="L55" i="12" s="1"/>
  <c r="L56" i="12" s="1"/>
  <c r="L73" i="12" s="1"/>
  <c r="M54" i="12"/>
  <c r="M55" i="12" s="1"/>
  <c r="M56" i="12" s="1"/>
  <c r="M73" i="12" s="1"/>
  <c r="N54" i="12"/>
  <c r="N59" i="12" s="1"/>
  <c r="C55" i="12"/>
  <c r="C56" i="12" s="1"/>
  <c r="G55" i="12"/>
  <c r="G56" i="12" s="1"/>
  <c r="H55" i="12"/>
  <c r="H56" i="12" s="1"/>
  <c r="O66" i="12"/>
  <c r="Q58" i="12"/>
  <c r="P58" i="12"/>
  <c r="O58" i="12"/>
  <c r="O83" i="12" s="1"/>
  <c r="O86" i="12" s="1"/>
  <c r="O54" i="12"/>
  <c r="O55" i="12" s="1"/>
  <c r="P53" i="12"/>
  <c r="P54" i="12" s="1"/>
  <c r="P55" i="12" s="1"/>
  <c r="Q53" i="12"/>
  <c r="Q54" i="12" s="1"/>
  <c r="O53" i="12"/>
  <c r="Q11" i="12"/>
  <c r="O42" i="12"/>
  <c r="O45" i="12" s="1"/>
  <c r="O47" i="12" s="1"/>
  <c r="N11" i="12"/>
  <c r="M11" i="12"/>
  <c r="L11" i="12"/>
  <c r="L45" i="12"/>
  <c r="M45" i="12"/>
  <c r="N45" i="12"/>
  <c r="H42" i="12"/>
  <c r="H45" i="12" s="1"/>
  <c r="Q42" i="12"/>
  <c r="Q45" i="12" s="1"/>
  <c r="P42" i="12"/>
  <c r="P45" i="12" s="1"/>
  <c r="K43" i="12"/>
  <c r="K42" i="12"/>
  <c r="J42" i="12"/>
  <c r="J45" i="12" s="1"/>
  <c r="I42" i="12"/>
  <c r="I45" i="12" s="1"/>
  <c r="H63" i="12" l="1"/>
  <c r="H64" i="12" s="1"/>
  <c r="J86" i="12"/>
  <c r="M47" i="12"/>
  <c r="Q83" i="12"/>
  <c r="Q86" i="12" s="1"/>
  <c r="Q89" i="12"/>
  <c r="N83" i="12"/>
  <c r="N86" i="12" s="1"/>
  <c r="N89" i="12"/>
  <c r="G63" i="12"/>
  <c r="G64" i="12" s="1"/>
  <c r="H47" i="12"/>
  <c r="F55" i="12"/>
  <c r="P66" i="12"/>
  <c r="P89" i="12"/>
  <c r="M86" i="12"/>
  <c r="P47" i="12"/>
  <c r="L47" i="12"/>
  <c r="Q47" i="12"/>
  <c r="P56" i="12"/>
  <c r="P73" i="12" s="1"/>
  <c r="P72" i="12"/>
  <c r="J47" i="12"/>
  <c r="Q59" i="12"/>
  <c r="Q55" i="12"/>
  <c r="O56" i="12"/>
  <c r="O73" i="12" s="1"/>
  <c r="O72" i="12"/>
  <c r="I47" i="12"/>
  <c r="O59" i="12"/>
  <c r="O63" i="12" s="1"/>
  <c r="C63" i="12"/>
  <c r="C64" i="12" s="1"/>
  <c r="D59" i="12"/>
  <c r="D63" i="12" s="1"/>
  <c r="D64" i="12" s="1"/>
  <c r="P59" i="12"/>
  <c r="P63" i="12" s="1"/>
  <c r="Q66" i="12"/>
  <c r="B55" i="12"/>
  <c r="B56" i="12" s="1"/>
  <c r="L66" i="12"/>
  <c r="L72" i="12"/>
  <c r="P83" i="12"/>
  <c r="P86" i="12" s="1"/>
  <c r="I72" i="12"/>
  <c r="I83" i="12"/>
  <c r="I86" i="12" s="1"/>
  <c r="N55" i="12"/>
  <c r="N72" i="12" s="1"/>
  <c r="E59" i="12"/>
  <c r="E63" i="12" s="1"/>
  <c r="E64" i="12" s="1"/>
  <c r="N66" i="12"/>
  <c r="M72" i="12"/>
  <c r="K55" i="12"/>
  <c r="J56" i="12"/>
  <c r="J73" i="12" s="1"/>
  <c r="J59" i="12"/>
  <c r="J63" i="12" s="1"/>
  <c r="I59" i="12"/>
  <c r="I63" i="12" s="1"/>
  <c r="K66" i="12"/>
  <c r="M59" i="12"/>
  <c r="M63" i="12" s="1"/>
  <c r="L59" i="12"/>
  <c r="L63" i="12" s="1"/>
  <c r="B38" i="12"/>
  <c r="C38" i="12"/>
  <c r="D38" i="12"/>
  <c r="E38" i="12"/>
  <c r="F38" i="12"/>
  <c r="G38" i="12"/>
  <c r="I38" i="12"/>
  <c r="J38" i="12"/>
  <c r="K38" i="12"/>
  <c r="L38" i="12"/>
  <c r="M38" i="12"/>
  <c r="N38" i="12"/>
  <c r="O38" i="12"/>
  <c r="P38" i="12"/>
  <c r="Q38" i="12"/>
  <c r="H38" i="12"/>
  <c r="C32" i="12"/>
  <c r="D32" i="12"/>
  <c r="E32" i="12"/>
  <c r="F32" i="12"/>
  <c r="G32" i="12"/>
  <c r="L32" i="12"/>
  <c r="M32" i="12"/>
  <c r="N32" i="12"/>
  <c r="Q32" i="12"/>
  <c r="B32" i="12"/>
  <c r="I11" i="12"/>
  <c r="I32" i="12" s="1"/>
  <c r="H11" i="12"/>
  <c r="H32" i="12" s="1"/>
  <c r="J11" i="12"/>
  <c r="J32" i="12" s="1"/>
  <c r="K11" i="12"/>
  <c r="K2" i="12"/>
  <c r="K45" i="12" s="1"/>
  <c r="K4" i="12"/>
  <c r="K5" i="12"/>
  <c r="K7" i="12" s="1"/>
  <c r="J7" i="12"/>
  <c r="J8" i="12" s="1"/>
  <c r="J23" i="12" s="1"/>
  <c r="B7" i="12"/>
  <c r="B8" i="12" s="1"/>
  <c r="B23" i="12" s="1"/>
  <c r="C7" i="12"/>
  <c r="C12" i="12" s="1"/>
  <c r="D7" i="12"/>
  <c r="D8" i="12" s="1"/>
  <c r="D9" i="12" s="1"/>
  <c r="D24" i="12" s="1"/>
  <c r="E7" i="12"/>
  <c r="E8" i="12" s="1"/>
  <c r="E9" i="12" s="1"/>
  <c r="E24" i="12" s="1"/>
  <c r="F7" i="12"/>
  <c r="F12" i="12" s="1"/>
  <c r="G7" i="12"/>
  <c r="G12" i="12" s="1"/>
  <c r="H7" i="12"/>
  <c r="H8" i="12" s="1"/>
  <c r="H9" i="12" s="1"/>
  <c r="H24" i="12" s="1"/>
  <c r="I7" i="12"/>
  <c r="I8" i="12" s="1"/>
  <c r="I9" i="12" s="1"/>
  <c r="I24" i="12" s="1"/>
  <c r="L7" i="12"/>
  <c r="L12" i="12" s="1"/>
  <c r="M7" i="12"/>
  <c r="M8" i="12" s="1"/>
  <c r="M9" i="12" s="1"/>
  <c r="M24" i="12" s="1"/>
  <c r="N7" i="12"/>
  <c r="N8" i="12" s="1"/>
  <c r="P11" i="12"/>
  <c r="P32" i="12" s="1"/>
  <c r="O11" i="12"/>
  <c r="O32" i="12" s="1"/>
  <c r="P7" i="12"/>
  <c r="Q7" i="12"/>
  <c r="Q12" i="12" s="1"/>
  <c r="O7" i="12"/>
  <c r="O12" i="12" s="1"/>
  <c r="P12" i="12" l="1"/>
  <c r="P8" i="12"/>
  <c r="P23" i="12" s="1"/>
  <c r="F8" i="12"/>
  <c r="F9" i="12" s="1"/>
  <c r="F24" i="12" s="1"/>
  <c r="S32" i="12"/>
  <c r="F63" i="12"/>
  <c r="F64" i="12" s="1"/>
  <c r="F56" i="12"/>
  <c r="G8" i="12"/>
  <c r="G23" i="12" s="1"/>
  <c r="N56" i="12"/>
  <c r="N73" i="12" s="1"/>
  <c r="K8" i="12"/>
  <c r="K23" i="12" s="1"/>
  <c r="M64" i="12"/>
  <c r="M80" i="12" s="1"/>
  <c r="M79" i="12"/>
  <c r="L64" i="12"/>
  <c r="L80" i="12" s="1"/>
  <c r="L79" i="12"/>
  <c r="I64" i="12"/>
  <c r="I80" i="12" s="1"/>
  <c r="I79" i="12"/>
  <c r="K46" i="12"/>
  <c r="K47" i="12" s="1"/>
  <c r="C8" i="12"/>
  <c r="C23" i="12" s="1"/>
  <c r="K32" i="12"/>
  <c r="T32" i="12" s="1"/>
  <c r="J64" i="12"/>
  <c r="J80" i="12" s="1"/>
  <c r="J79" i="12"/>
  <c r="K63" i="12"/>
  <c r="K72" i="12"/>
  <c r="P64" i="12"/>
  <c r="P80" i="12" s="1"/>
  <c r="P79" i="12"/>
  <c r="Q8" i="12"/>
  <c r="Q23" i="12" s="1"/>
  <c r="L8" i="12"/>
  <c r="L9" i="12" s="1"/>
  <c r="L24" i="12" s="1"/>
  <c r="N63" i="12"/>
  <c r="O64" i="12"/>
  <c r="O80" i="12" s="1"/>
  <c r="O79" i="12"/>
  <c r="Q56" i="12"/>
  <c r="Q73" i="12" s="1"/>
  <c r="Q72" i="12"/>
  <c r="Q63" i="12"/>
  <c r="B63" i="12"/>
  <c r="B64" i="12" s="1"/>
  <c r="K56" i="12"/>
  <c r="K73" i="12" s="1"/>
  <c r="J12" i="12"/>
  <c r="O8" i="12"/>
  <c r="P16" i="12"/>
  <c r="K12" i="12"/>
  <c r="F23" i="12"/>
  <c r="N9" i="12"/>
  <c r="N24" i="12" s="1"/>
  <c r="N23" i="12"/>
  <c r="M23" i="12"/>
  <c r="I23" i="12"/>
  <c r="E23" i="12"/>
  <c r="L16" i="12"/>
  <c r="N12" i="12"/>
  <c r="N16" i="12" s="1"/>
  <c r="L23" i="12"/>
  <c r="H23" i="12"/>
  <c r="D23" i="12"/>
  <c r="M12" i="12"/>
  <c r="M16" i="12" s="1"/>
  <c r="D12" i="12"/>
  <c r="D16" i="12" s="1"/>
  <c r="B12" i="12"/>
  <c r="B16" i="12" s="1"/>
  <c r="C9" i="12"/>
  <c r="C24" i="12" s="1"/>
  <c r="B9" i="12"/>
  <c r="B24" i="12" s="1"/>
  <c r="G16" i="12"/>
  <c r="E12" i="12"/>
  <c r="E16" i="12" s="1"/>
  <c r="F16" i="12"/>
  <c r="H12" i="12"/>
  <c r="H16" i="12" s="1"/>
  <c r="I12" i="12"/>
  <c r="I16" i="12" s="1"/>
  <c r="J9" i="12"/>
  <c r="J24" i="12" s="1"/>
  <c r="J16" i="12"/>
  <c r="G9" i="12" l="1"/>
  <c r="G24" i="12" s="1"/>
  <c r="P9" i="12"/>
  <c r="P24" i="12" s="1"/>
  <c r="Q64" i="12"/>
  <c r="Q80" i="12" s="1"/>
  <c r="Q79" i="12"/>
  <c r="C16" i="12"/>
  <c r="C17" i="12" s="1"/>
  <c r="C30" i="12" s="1"/>
  <c r="Q16" i="12"/>
  <c r="Q29" i="12" s="1"/>
  <c r="N64" i="12"/>
  <c r="N80" i="12" s="1"/>
  <c r="N79" i="12"/>
  <c r="Q9" i="12"/>
  <c r="Q24" i="12" s="1"/>
  <c r="K64" i="12"/>
  <c r="K80" i="12" s="1"/>
  <c r="K79" i="12"/>
  <c r="J17" i="12"/>
  <c r="J30" i="12" s="1"/>
  <c r="J29" i="12"/>
  <c r="P17" i="12"/>
  <c r="P30" i="12" s="1"/>
  <c r="P29" i="12"/>
  <c r="O16" i="12"/>
  <c r="O23" i="12"/>
  <c r="O9" i="12"/>
  <c r="O24" i="12" s="1"/>
  <c r="L17" i="12"/>
  <c r="L30" i="12" s="1"/>
  <c r="L29" i="12"/>
  <c r="H17" i="12"/>
  <c r="H30" i="12" s="1"/>
  <c r="H29" i="12"/>
  <c r="G17" i="12"/>
  <c r="G30" i="12" s="1"/>
  <c r="G29" i="12"/>
  <c r="C29" i="12"/>
  <c r="N17" i="12"/>
  <c r="N30" i="12" s="1"/>
  <c r="N29" i="12"/>
  <c r="I17" i="12"/>
  <c r="I30" i="12" s="1"/>
  <c r="I29" i="12"/>
  <c r="F17" i="12"/>
  <c r="F30" i="12" s="1"/>
  <c r="F29" i="12"/>
  <c r="D17" i="12"/>
  <c r="D30" i="12" s="1"/>
  <c r="D29" i="12"/>
  <c r="B17" i="12"/>
  <c r="B30" i="12" s="1"/>
  <c r="B29" i="12"/>
  <c r="M17" i="12"/>
  <c r="M30" i="12" s="1"/>
  <c r="M29" i="12"/>
  <c r="E17" i="12"/>
  <c r="E30" i="12" s="1"/>
  <c r="E29" i="12"/>
  <c r="K16" i="12"/>
  <c r="K9" i="12"/>
  <c r="K24" i="12" s="1"/>
  <c r="S29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B28" i="3"/>
  <c r="C32" i="3"/>
  <c r="D32" i="3" s="1"/>
  <c r="E32" i="3" s="1"/>
  <c r="F32" i="3" s="1"/>
  <c r="G32" i="3" s="1"/>
  <c r="H32" i="3" s="1"/>
  <c r="I32" i="3" s="1"/>
  <c r="J32" i="3" s="1"/>
  <c r="K32" i="3" s="1"/>
  <c r="L32" i="3" s="1"/>
  <c r="M32" i="3" s="1"/>
  <c r="N32" i="3" s="1"/>
  <c r="O32" i="3" s="1"/>
  <c r="P32" i="3" s="1"/>
  <c r="Q32" i="3" s="1"/>
  <c r="C31" i="3"/>
  <c r="D31" i="3" s="1"/>
  <c r="E31" i="3" s="1"/>
  <c r="F31" i="3" s="1"/>
  <c r="G31" i="3" s="1"/>
  <c r="H31" i="3" s="1"/>
  <c r="I31" i="3" s="1"/>
  <c r="J31" i="3" s="1"/>
  <c r="K31" i="3" s="1"/>
  <c r="L31" i="3" s="1"/>
  <c r="M31" i="3" s="1"/>
  <c r="N31" i="3" s="1"/>
  <c r="O31" i="3" s="1"/>
  <c r="P31" i="3" s="1"/>
  <c r="Q31" i="3" s="1"/>
  <c r="S22" i="3"/>
  <c r="S21" i="3"/>
  <c r="S20" i="3"/>
  <c r="S19" i="3"/>
  <c r="S18" i="3"/>
  <c r="S16" i="3"/>
  <c r="S15" i="3"/>
  <c r="S12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I36" i="3"/>
  <c r="J36" i="3"/>
  <c r="K36" i="3"/>
  <c r="L36" i="3"/>
  <c r="M36" i="3"/>
  <c r="N36" i="3"/>
  <c r="O36" i="3"/>
  <c r="P36" i="3"/>
  <c r="Q36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B35" i="3"/>
  <c r="B37" i="3"/>
  <c r="B38" i="3"/>
  <c r="B39" i="3"/>
  <c r="B40" i="3"/>
  <c r="B41" i="3"/>
  <c r="B34" i="3"/>
  <c r="E17" i="3"/>
  <c r="E36" i="3" s="1"/>
  <c r="D17" i="3"/>
  <c r="D36" i="3" s="1"/>
  <c r="C17" i="3"/>
  <c r="C36" i="3" s="1"/>
  <c r="B17" i="3"/>
  <c r="S17" i="3" s="1"/>
  <c r="H17" i="3"/>
  <c r="H36" i="3" s="1"/>
  <c r="G17" i="3"/>
  <c r="G36" i="3" s="1"/>
  <c r="F17" i="3"/>
  <c r="F36" i="3" s="1"/>
  <c r="K4" i="2"/>
  <c r="B4" i="2"/>
  <c r="B43" i="1"/>
  <c r="B36" i="3" l="1"/>
  <c r="S28" i="3"/>
  <c r="Q17" i="12"/>
  <c r="Q30" i="12" s="1"/>
  <c r="K17" i="12"/>
  <c r="K30" i="12" s="1"/>
  <c r="K29" i="12"/>
  <c r="O29" i="12"/>
  <c r="O17" i="12"/>
  <c r="O30" i="12" s="1"/>
  <c r="I62" i="1"/>
  <c r="J62" i="1"/>
  <c r="K62" i="1"/>
  <c r="L62" i="1"/>
  <c r="M62" i="1"/>
  <c r="N62" i="1"/>
  <c r="O62" i="1"/>
  <c r="P62" i="1"/>
  <c r="Q62" i="1"/>
  <c r="H62" i="1"/>
  <c r="H3" i="1"/>
  <c r="I3" i="1"/>
  <c r="J3" i="1"/>
  <c r="K3" i="1"/>
  <c r="L3" i="1"/>
  <c r="M3" i="1"/>
  <c r="N3" i="1"/>
  <c r="O3" i="1"/>
  <c r="P3" i="1"/>
  <c r="Q3" i="1"/>
  <c r="R3" i="1"/>
  <c r="G3" i="1"/>
  <c r="H28" i="1"/>
  <c r="I28" i="1"/>
  <c r="J28" i="1"/>
  <c r="K28" i="1"/>
  <c r="L28" i="1"/>
  <c r="M28" i="1"/>
  <c r="N28" i="1"/>
  <c r="O28" i="1"/>
  <c r="P28" i="1"/>
  <c r="Q28" i="1"/>
  <c r="R28" i="1"/>
  <c r="G28" i="1"/>
  <c r="H27" i="1"/>
  <c r="I27" i="1"/>
  <c r="J27" i="1"/>
  <c r="K27" i="1"/>
  <c r="L27" i="1"/>
  <c r="M27" i="1"/>
  <c r="N27" i="1"/>
  <c r="O27" i="1"/>
  <c r="P27" i="1"/>
  <c r="Q27" i="1"/>
  <c r="R27" i="1"/>
  <c r="G27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B51" i="1"/>
  <c r="C12" i="2" l="1"/>
  <c r="D12" i="2"/>
  <c r="E12" i="2"/>
  <c r="F12" i="2"/>
  <c r="G12" i="2"/>
  <c r="H12" i="2"/>
  <c r="I12" i="2"/>
  <c r="J12" i="2"/>
  <c r="K12" i="2"/>
  <c r="B12" i="2"/>
  <c r="M3" i="2"/>
  <c r="M2" i="2"/>
  <c r="H6" i="2"/>
  <c r="H7" i="2" s="1"/>
  <c r="G6" i="2"/>
  <c r="G7" i="2" s="1"/>
  <c r="J6" i="2"/>
  <c r="J7" i="2" s="1"/>
  <c r="I6" i="2"/>
  <c r="I7" i="2" s="1"/>
  <c r="C14" i="2"/>
  <c r="D14" i="2"/>
  <c r="E14" i="2"/>
  <c r="F14" i="2"/>
  <c r="G14" i="2"/>
  <c r="H14" i="2"/>
  <c r="I14" i="2"/>
  <c r="I8" i="2" s="1"/>
  <c r="J14" i="2"/>
  <c r="K14" i="2"/>
  <c r="B14" i="2"/>
  <c r="C18" i="2"/>
  <c r="C20" i="2" s="1"/>
  <c r="D18" i="2"/>
  <c r="D20" i="2" s="1"/>
  <c r="E18" i="2"/>
  <c r="E20" i="2" s="1"/>
  <c r="F18" i="2"/>
  <c r="F20" i="2" s="1"/>
  <c r="G18" i="2"/>
  <c r="G20" i="2" s="1"/>
  <c r="H18" i="2"/>
  <c r="H20" i="2" s="1"/>
  <c r="I18" i="2"/>
  <c r="I20" i="2" s="1"/>
  <c r="J18" i="2"/>
  <c r="J20" i="2" s="1"/>
  <c r="K18" i="2"/>
  <c r="K20" i="2" s="1"/>
  <c r="B18" i="2"/>
  <c r="B20" i="2" s="1"/>
  <c r="M14" i="2" l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B23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B22" i="1"/>
  <c r="C21" i="1"/>
  <c r="D21" i="1"/>
  <c r="E21" i="1"/>
  <c r="F21" i="1"/>
  <c r="G21" i="1"/>
  <c r="G24" i="1" s="1"/>
  <c r="G25" i="1" s="1"/>
  <c r="R21" i="1"/>
  <c r="B21" i="1"/>
  <c r="R14" i="1"/>
  <c r="R22" i="1" s="1"/>
  <c r="R13" i="1"/>
  <c r="R16" i="1" s="1"/>
  <c r="R17" i="1" s="1"/>
  <c r="R52" i="1" s="1"/>
  <c r="B16" i="1"/>
  <c r="B17" i="1" s="1"/>
  <c r="B52" i="1" s="1"/>
  <c r="E16" i="1"/>
  <c r="E17" i="1" s="1"/>
  <c r="E52" i="1" s="1"/>
  <c r="D16" i="1"/>
  <c r="D17" i="1" s="1"/>
  <c r="D52" i="1" s="1"/>
  <c r="C16" i="1"/>
  <c r="C17" i="1" s="1"/>
  <c r="C52" i="1" s="1"/>
  <c r="H16" i="1"/>
  <c r="H12" i="1"/>
  <c r="H9" i="1"/>
  <c r="H21" i="1" s="1"/>
  <c r="G16" i="1"/>
  <c r="G17" i="1" s="1"/>
  <c r="G52" i="1" s="1"/>
  <c r="F16" i="1"/>
  <c r="F17" i="1" s="1"/>
  <c r="F52" i="1" s="1"/>
  <c r="J9" i="1"/>
  <c r="J21" i="1" s="1"/>
  <c r="K9" i="1"/>
  <c r="K21" i="1" s="1"/>
  <c r="L9" i="1"/>
  <c r="L21" i="1" s="1"/>
  <c r="L24" i="1" s="1"/>
  <c r="L25" i="1" s="1"/>
  <c r="M9" i="1"/>
  <c r="M21" i="1" s="1"/>
  <c r="N9" i="1"/>
  <c r="N21" i="1" s="1"/>
  <c r="O9" i="1"/>
  <c r="O21" i="1" s="1"/>
  <c r="P9" i="1"/>
  <c r="P21" i="1" s="1"/>
  <c r="Q9" i="1"/>
  <c r="Q21" i="1" s="1"/>
  <c r="I9" i="1"/>
  <c r="I21" i="1" s="1"/>
  <c r="J12" i="1"/>
  <c r="K12" i="1"/>
  <c r="L12" i="1"/>
  <c r="M12" i="1"/>
  <c r="N12" i="1"/>
  <c r="O12" i="1"/>
  <c r="P12" i="1"/>
  <c r="Q12" i="1"/>
  <c r="I12" i="1"/>
  <c r="J16" i="1"/>
  <c r="K16" i="1"/>
  <c r="L16" i="1"/>
  <c r="M16" i="1"/>
  <c r="N16" i="1"/>
  <c r="O16" i="1"/>
  <c r="P16" i="1"/>
  <c r="Q16" i="1"/>
  <c r="I16" i="1"/>
  <c r="O24" i="1" l="1"/>
  <c r="O25" i="1" s="1"/>
  <c r="K24" i="1"/>
  <c r="K25" i="1" s="1"/>
  <c r="H24" i="1"/>
  <c r="H25" i="1" s="1"/>
  <c r="H26" i="1" s="1"/>
  <c r="I24" i="1"/>
  <c r="I25" i="1" s="1"/>
  <c r="I26" i="1" s="1"/>
  <c r="C24" i="1"/>
  <c r="C25" i="1" s="1"/>
  <c r="C26" i="1" s="1"/>
  <c r="D24" i="1"/>
  <c r="D25" i="1" s="1"/>
  <c r="D26" i="1" s="1"/>
  <c r="M24" i="1"/>
  <c r="M25" i="1" s="1"/>
  <c r="M26" i="1" s="1"/>
  <c r="L26" i="1"/>
  <c r="K26" i="1"/>
  <c r="G26" i="1"/>
  <c r="O26" i="1"/>
  <c r="R24" i="1"/>
  <c r="R25" i="1" s="1"/>
  <c r="C30" i="1"/>
  <c r="P24" i="1"/>
  <c r="P25" i="1" s="1"/>
  <c r="G30" i="1"/>
  <c r="Q24" i="1"/>
  <c r="Q25" i="1" s="1"/>
  <c r="E24" i="1"/>
  <c r="E25" i="1" s="1"/>
  <c r="E30" i="1"/>
  <c r="R26" i="1"/>
  <c r="B24" i="1"/>
  <c r="B25" i="1" s="1"/>
  <c r="N24" i="1"/>
  <c r="J24" i="1"/>
  <c r="F24" i="1"/>
  <c r="F30" i="1" s="1"/>
  <c r="K41" i="1"/>
  <c r="K46" i="1" s="1"/>
  <c r="Q17" i="1"/>
  <c r="M17" i="1"/>
  <c r="D39" i="1"/>
  <c r="D47" i="1" s="1"/>
  <c r="O41" i="1"/>
  <c r="O46" i="1" s="1"/>
  <c r="B41" i="1"/>
  <c r="B46" i="1" s="1"/>
  <c r="G41" i="1"/>
  <c r="G46" i="1" s="1"/>
  <c r="C41" i="1"/>
  <c r="C46" i="1" s="1"/>
  <c r="Q39" i="1"/>
  <c r="Q47" i="1" s="1"/>
  <c r="M39" i="1"/>
  <c r="M47" i="1" s="1"/>
  <c r="N17" i="1"/>
  <c r="J17" i="1"/>
  <c r="E39" i="1"/>
  <c r="E47" i="1" s="1"/>
  <c r="P17" i="1"/>
  <c r="O17" i="1"/>
  <c r="K17" i="1"/>
  <c r="H41" i="1"/>
  <c r="H46" i="1" s="1"/>
  <c r="H39" i="1"/>
  <c r="H47" i="1" s="1"/>
  <c r="D41" i="1"/>
  <c r="D46" i="1" s="1"/>
  <c r="B39" i="1"/>
  <c r="B47" i="1" s="1"/>
  <c r="L41" i="1"/>
  <c r="L46" i="1" s="1"/>
  <c r="L17" i="1"/>
  <c r="H17" i="1"/>
  <c r="G39" i="1"/>
  <c r="G47" i="1" s="1"/>
  <c r="C39" i="1"/>
  <c r="C47" i="1" s="1"/>
  <c r="I17" i="1"/>
  <c r="P39" i="1" l="1"/>
  <c r="P47" i="1" s="1"/>
  <c r="I41" i="1"/>
  <c r="I46" i="1" s="1"/>
  <c r="I39" i="1"/>
  <c r="I47" i="1" s="1"/>
  <c r="B30" i="1"/>
  <c r="B33" i="1" s="1"/>
  <c r="D30" i="1"/>
  <c r="F49" i="1"/>
  <c r="F33" i="1"/>
  <c r="B49" i="1"/>
  <c r="O52" i="1"/>
  <c r="O30" i="1"/>
  <c r="N52" i="1"/>
  <c r="N30" i="1"/>
  <c r="M52" i="1"/>
  <c r="M30" i="1"/>
  <c r="J39" i="1"/>
  <c r="J47" i="1" s="1"/>
  <c r="J25" i="1"/>
  <c r="E49" i="1"/>
  <c r="E33" i="1"/>
  <c r="P26" i="1"/>
  <c r="L52" i="1"/>
  <c r="L30" i="1"/>
  <c r="K52" i="1"/>
  <c r="K30" i="1"/>
  <c r="C49" i="1"/>
  <c r="C33" i="1"/>
  <c r="P52" i="1"/>
  <c r="P30" i="1"/>
  <c r="Q52" i="1"/>
  <c r="Q30" i="1"/>
  <c r="N39" i="1"/>
  <c r="N47" i="1" s="1"/>
  <c r="N25" i="1"/>
  <c r="E26" i="1"/>
  <c r="E36" i="1"/>
  <c r="E37" i="1" s="1"/>
  <c r="I52" i="1"/>
  <c r="I30" i="1"/>
  <c r="J52" i="1"/>
  <c r="J30" i="1"/>
  <c r="F39" i="1"/>
  <c r="F47" i="1" s="1"/>
  <c r="F25" i="1"/>
  <c r="G49" i="1"/>
  <c r="G33" i="1"/>
  <c r="H52" i="1"/>
  <c r="H30" i="1"/>
  <c r="B26" i="1"/>
  <c r="D49" i="1"/>
  <c r="D33" i="1"/>
  <c r="Q26" i="1"/>
  <c r="R30" i="1"/>
  <c r="J41" i="1"/>
  <c r="F41" i="1"/>
  <c r="K39" i="1"/>
  <c r="K47" i="1" s="1"/>
  <c r="N41" i="1"/>
  <c r="P41" i="1"/>
  <c r="P46" i="1" s="1"/>
  <c r="E41" i="1"/>
  <c r="E46" i="1" s="1"/>
  <c r="Q41" i="1"/>
  <c r="Q46" i="1" s="1"/>
  <c r="O39" i="1"/>
  <c r="O47" i="1" s="1"/>
  <c r="M41" i="1"/>
  <c r="M46" i="1" s="1"/>
  <c r="L39" i="1"/>
  <c r="L47" i="1" s="1"/>
  <c r="R41" i="1"/>
  <c r="R39" i="1"/>
  <c r="R47" i="1" s="1"/>
  <c r="J46" i="1" l="1"/>
  <c r="H49" i="1"/>
  <c r="H33" i="1"/>
  <c r="N26" i="1"/>
  <c r="N49" i="1"/>
  <c r="N33" i="1"/>
  <c r="N36" i="1" s="1"/>
  <c r="N37" i="1" s="1"/>
  <c r="R33" i="1"/>
  <c r="R49" i="1"/>
  <c r="F26" i="1"/>
  <c r="F36" i="1"/>
  <c r="F37" i="1" s="1"/>
  <c r="P49" i="1"/>
  <c r="P33" i="1"/>
  <c r="B42" i="1"/>
  <c r="B34" i="1"/>
  <c r="G42" i="1"/>
  <c r="G43" i="1" s="1"/>
  <c r="G34" i="1"/>
  <c r="G36" i="1"/>
  <c r="G37" i="1" s="1"/>
  <c r="J49" i="1"/>
  <c r="J33" i="1"/>
  <c r="Q49" i="1"/>
  <c r="Q33" i="1"/>
  <c r="C42" i="1"/>
  <c r="C43" i="1" s="1"/>
  <c r="C34" i="1"/>
  <c r="C36" i="1"/>
  <c r="C37" i="1" s="1"/>
  <c r="L49" i="1"/>
  <c r="L33" i="1"/>
  <c r="E42" i="1"/>
  <c r="E43" i="1" s="1"/>
  <c r="E34" i="1"/>
  <c r="M49" i="1"/>
  <c r="M33" i="1"/>
  <c r="O49" i="1"/>
  <c r="O33" i="1"/>
  <c r="F42" i="1"/>
  <c r="F43" i="1" s="1"/>
  <c r="F34" i="1"/>
  <c r="D42" i="1"/>
  <c r="D43" i="1" s="1"/>
  <c r="D34" i="1"/>
  <c r="D36" i="1"/>
  <c r="D37" i="1" s="1"/>
  <c r="I49" i="1"/>
  <c r="I33" i="1"/>
  <c r="K49" i="1"/>
  <c r="K33" i="1"/>
  <c r="J26" i="1"/>
  <c r="J36" i="1"/>
  <c r="J37" i="1" s="1"/>
  <c r="N46" i="1"/>
  <c r="B36" i="1"/>
  <c r="B37" i="1" s="1"/>
  <c r="F46" i="1"/>
  <c r="R46" i="1"/>
  <c r="I42" i="1" l="1"/>
  <c r="I43" i="1" s="1"/>
  <c r="I34" i="1"/>
  <c r="I36" i="1"/>
  <c r="I37" i="1" s="1"/>
  <c r="J42" i="1"/>
  <c r="J43" i="1" s="1"/>
  <c r="J34" i="1"/>
  <c r="R42" i="1"/>
  <c r="R43" i="1" s="1"/>
  <c r="R34" i="1"/>
  <c r="R36" i="1"/>
  <c r="R37" i="1" s="1"/>
  <c r="M42" i="1"/>
  <c r="M43" i="1" s="1"/>
  <c r="M34" i="1"/>
  <c r="M36" i="1"/>
  <c r="M37" i="1" s="1"/>
  <c r="L42" i="1"/>
  <c r="L43" i="1" s="1"/>
  <c r="L34" i="1"/>
  <c r="L36" i="1"/>
  <c r="L37" i="1" s="1"/>
  <c r="N42" i="1"/>
  <c r="N43" i="1" s="1"/>
  <c r="N34" i="1"/>
  <c r="H42" i="1"/>
  <c r="H43" i="1" s="1"/>
  <c r="H34" i="1"/>
  <c r="H36" i="1"/>
  <c r="H37" i="1" s="1"/>
  <c r="O42" i="1"/>
  <c r="O43" i="1" s="1"/>
  <c r="O34" i="1"/>
  <c r="O36" i="1"/>
  <c r="O37" i="1" s="1"/>
  <c r="P42" i="1"/>
  <c r="P43" i="1" s="1"/>
  <c r="P34" i="1"/>
  <c r="P36" i="1"/>
  <c r="P37" i="1" s="1"/>
  <c r="K42" i="1"/>
  <c r="K43" i="1" s="1"/>
  <c r="K34" i="1"/>
  <c r="K36" i="1"/>
  <c r="K37" i="1" s="1"/>
  <c r="Q42" i="1"/>
  <c r="Q43" i="1" s="1"/>
  <c r="Q34" i="1"/>
  <c r="Q36" i="1"/>
  <c r="Q3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Erik Kobayashi-Solomon</author>
  </authors>
  <commentList>
    <comment ref="R17" authorId="0" shapeId="0" xr:uid="{0D65F606-1164-4BE2-AD5C-E8E1708E27BE}">
      <text>
        <r>
          <rPr>
            <b/>
            <sz val="9"/>
            <color indexed="81"/>
            <rFont val="Tahoma"/>
            <charset val="1"/>
          </rPr>
          <t>Erik Kobayashi-Solomon:</t>
        </r>
        <r>
          <rPr>
            <sz val="9"/>
            <color indexed="81"/>
            <rFont val="Tahoma"/>
            <charset val="1"/>
          </rPr>
          <t xml:space="preserve">
Company is guiding to $3.1b in Capex this year.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Erik Kobayashi-Solomon</author>
  </authors>
  <commentList>
    <comment ref="Q54" authorId="0" shapeId="0" xr:uid="{C4C92346-F198-491C-A00B-E80425785C45}">
      <text>
        <r>
          <rPr>
            <b/>
            <sz val="9"/>
            <color indexed="81"/>
            <rFont val="Tahoma"/>
            <charset val="1"/>
          </rPr>
          <t>Erik Kobayashi-Solomon:</t>
        </r>
        <r>
          <rPr>
            <sz val="9"/>
            <color indexed="81"/>
            <rFont val="Tahoma"/>
            <charset val="1"/>
          </rPr>
          <t xml:space="preserve">
Management reported "roughly $2 billion" in MX. Won't compare to UNP.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Erik Kobayashi-Solomon</author>
  </authors>
  <commentList>
    <comment ref="A1" authorId="0" shapeId="0" xr:uid="{15032385-C7A5-4535-BA72-E22AF9F43843}">
      <text>
        <r>
          <rPr>
            <b/>
            <sz val="9"/>
            <color indexed="81"/>
            <rFont val="Tahoma"/>
            <family val="2"/>
          </rPr>
          <t>Erik Kobayashi-Solomon:</t>
        </r>
        <r>
          <rPr>
            <sz val="9"/>
            <color indexed="81"/>
            <rFont val="Tahoma"/>
            <family val="2"/>
          </rPr>
          <t xml:space="preserve">
These data are in quarterly earnings announcements.</t>
        </r>
      </text>
    </comment>
  </commentList>
</comments>
</file>

<file path=xl/sharedStrings.xml><?xml version="1.0" encoding="utf-8"?>
<sst xmlns="http://schemas.openxmlformats.org/spreadsheetml/2006/main" count="222" uniqueCount="149">
  <si>
    <t>Rail &amp; track material</t>
  </si>
  <si>
    <t>Ties</t>
  </si>
  <si>
    <t>Ballast</t>
  </si>
  <si>
    <t>Other</t>
  </si>
  <si>
    <t>Line expansion and capacity projects</t>
  </si>
  <si>
    <t>Commercial facilities</t>
  </si>
  <si>
    <t>Locomotives</t>
  </si>
  <si>
    <t>Positive train control</t>
  </si>
  <si>
    <t>Technology &amp; other</t>
  </si>
  <si>
    <t>Track miles of rail replaced</t>
  </si>
  <si>
    <t>Track miles of rail capacity expansion</t>
  </si>
  <si>
    <t>New ties installed (thousands)</t>
  </si>
  <si>
    <t>Miles of track surfaced</t>
  </si>
  <si>
    <t>Track</t>
  </si>
  <si>
    <t>Locomotives &amp; Cars</t>
  </si>
  <si>
    <t>Capex in Excess</t>
  </si>
  <si>
    <t>Capacity &amp; Facilities</t>
  </si>
  <si>
    <t>Revenues</t>
  </si>
  <si>
    <t>PTC</t>
  </si>
  <si>
    <t>Technology &amp; Other</t>
  </si>
  <si>
    <t>Maintenance Capex Assumption</t>
  </si>
  <si>
    <t>MX % Revenues</t>
  </si>
  <si>
    <t>Asset Sales</t>
  </si>
  <si>
    <t>Antidilutive</t>
  </si>
  <si>
    <t>Cash From Operations</t>
  </si>
  <si>
    <t>OCP</t>
  </si>
  <si>
    <t>OCP Margin</t>
  </si>
  <si>
    <t>FCFO</t>
  </si>
  <si>
    <t>Expansionary Cash Flow</t>
  </si>
  <si>
    <t>FCFO Margin</t>
  </si>
  <si>
    <t>ECF % OCP</t>
  </si>
  <si>
    <t>Capex % MX</t>
  </si>
  <si>
    <t>MX % OCP</t>
  </si>
  <si>
    <t>Owned</t>
  </si>
  <si>
    <t>Leased</t>
  </si>
  <si>
    <t>Age (years)</t>
  </si>
  <si>
    <t>Leased % Owned</t>
  </si>
  <si>
    <t>Assumed age of leased</t>
  </si>
  <si>
    <t>Calculated age of owned</t>
  </si>
  <si>
    <t>CF for Locos</t>
  </si>
  <si>
    <t>Total Locos</t>
  </si>
  <si>
    <t>Surge Capacity (O&amp;L)</t>
  </si>
  <si>
    <t>Acquired</t>
  </si>
  <si>
    <t>(Owned disposed) / Lease bought</t>
  </si>
  <si>
    <t>Equipment / Other rents</t>
  </si>
  <si>
    <t>Equipment % Revenues</t>
  </si>
  <si>
    <t>Accounting Capex % Revenue</t>
  </si>
  <si>
    <t>Capex in Excess % Revenues</t>
  </si>
  <si>
    <t>Capital Spending</t>
  </si>
  <si>
    <t>Capex Total</t>
  </si>
  <si>
    <t>CFO % Revenues</t>
  </si>
  <si>
    <t>5-year RGR</t>
  </si>
  <si>
    <t>Profits and Cash Flows</t>
  </si>
  <si>
    <t>Other Track</t>
  </si>
  <si>
    <t>OCP (Original)</t>
  </si>
  <si>
    <t>OCP (Refined)</t>
  </si>
  <si>
    <t>Maintenance Capex</t>
  </si>
  <si>
    <t>Growth Capex</t>
  </si>
  <si>
    <t>OCP (LHS)</t>
  </si>
  <si>
    <t>OCP Margin (RHS)</t>
  </si>
  <si>
    <t>5-year OCP CAGR (RHS)</t>
  </si>
  <si>
    <t>Compensation &amp; benefits</t>
  </si>
  <si>
    <t>Purchased services &amp; materials</t>
  </si>
  <si>
    <t>Depreciation</t>
  </si>
  <si>
    <t>Fuel</t>
  </si>
  <si>
    <t>Equipment &amp; other rents</t>
  </si>
  <si>
    <t>Other operating expenses</t>
  </si>
  <si>
    <t>Other income</t>
  </si>
  <si>
    <t>Interest expense</t>
  </si>
  <si>
    <t>Income taxes</t>
  </si>
  <si>
    <t>OR</t>
  </si>
  <si>
    <t>Op Profit Margin</t>
  </si>
  <si>
    <t>Assumed Inflation</t>
  </si>
  <si>
    <t>MX Assumption</t>
  </si>
  <si>
    <t>Spending on PP&amp;E</t>
  </si>
  <si>
    <t>Capex in Excess of MX</t>
  </si>
  <si>
    <t>Asset Disposals</t>
  </si>
  <si>
    <t>Acquisitions</t>
  </si>
  <si>
    <t>UNP OCP Margin (RHS)</t>
  </si>
  <si>
    <t>BNSF OCP Margin (RHS)</t>
  </si>
  <si>
    <t>BNSF OCP (LHS)</t>
  </si>
  <si>
    <t>UNP OCP (LHS)</t>
  </si>
  <si>
    <t>UNP FCFO (LHS)</t>
  </si>
  <si>
    <t>UNP FCFO Margin (RHS)</t>
  </si>
  <si>
    <t>BNSF FCFO (LHS)</t>
  </si>
  <si>
    <t>BNSF FCFO Margin (RHS)</t>
  </si>
  <si>
    <t>BNSF Total Capex</t>
  </si>
  <si>
    <t>UNP Total Capex</t>
  </si>
  <si>
    <t>BNSF Capex Difference</t>
  </si>
  <si>
    <t>Capex % Revenues</t>
  </si>
  <si>
    <t>Equipment</t>
  </si>
  <si>
    <t>Capex ex-Equipment</t>
  </si>
  <si>
    <t>BNRR OCP (LHS)</t>
  </si>
  <si>
    <t>BNRR OCP Margin (RHS)</t>
  </si>
  <si>
    <t>BNRR FCFO (LHS)</t>
  </si>
  <si>
    <t>BNRR FCFO Margin (RHS)</t>
  </si>
  <si>
    <t>BNRR</t>
  </si>
  <si>
    <t>UNP</t>
  </si>
  <si>
    <t>BNSF Capex ex-Equipment</t>
  </si>
  <si>
    <t>UNP Maintenance Capex</t>
  </si>
  <si>
    <t>MX</t>
  </si>
  <si>
    <t>Operating Profit</t>
  </si>
  <si>
    <t>Attribution</t>
  </si>
  <si>
    <t>2001 Op Profit</t>
  </si>
  <si>
    <t>2016 Op Profit</t>
  </si>
  <si>
    <t>Revenues (RHS)</t>
  </si>
  <si>
    <t>Compensation &amp; benefits (LHS)</t>
  </si>
  <si>
    <t>Purchased services &amp; materials (LHS)</t>
  </si>
  <si>
    <t>Depreciation (LHS)</t>
  </si>
  <si>
    <t>Fuel (LHS)</t>
  </si>
  <si>
    <t>Equipment &amp; other rents (LHS)</t>
  </si>
  <si>
    <t>Other operating expenses (LHS)</t>
  </si>
  <si>
    <t>Average Employees</t>
  </si>
  <si>
    <t>Average Employees ('000s)</t>
  </si>
  <si>
    <t>Revenue / Employee</t>
  </si>
  <si>
    <t>Compensation &amp; benefits / Employee</t>
  </si>
  <si>
    <t>Period Average</t>
  </si>
  <si>
    <t>Average Diesel Price per Gallon (RHS)</t>
  </si>
  <si>
    <t>Fuel Expense (LHS)</t>
  </si>
  <si>
    <t>Carloads</t>
  </si>
  <si>
    <t>Carloads ('000s)</t>
  </si>
  <si>
    <t>Union Pacific Carloads / Employee</t>
  </si>
  <si>
    <t>Fuel Surcharge (LHS)</t>
  </si>
  <si>
    <t>Fuel Surcharge as a Percent of Fuel and Utilities Expense (LHS)</t>
  </si>
  <si>
    <t>Union Pacific Operating Ratio (Pct)</t>
  </si>
  <si>
    <t>Revenue Ton Miles (Millions)</t>
  </si>
  <si>
    <t>Agricultural</t>
  </si>
  <si>
    <t>Automotive</t>
  </si>
  <si>
    <t>Chemicals</t>
  </si>
  <si>
    <t>Coal</t>
  </si>
  <si>
    <t>Industrial</t>
  </si>
  <si>
    <t>Intermodal</t>
  </si>
  <si>
    <t>Interest</t>
  </si>
  <si>
    <t>Earnings Before Taxes</t>
  </si>
  <si>
    <t>Statutory Rate</t>
  </si>
  <si>
    <t>New EBT</t>
  </si>
  <si>
    <t>New Taxes</t>
  </si>
  <si>
    <t>Actual Cash Taxes</t>
  </si>
  <si>
    <t>Difference</t>
  </si>
  <si>
    <t>Actual OCP</t>
  </si>
  <si>
    <t>New OCP</t>
  </si>
  <si>
    <t>Actual OCP Margin</t>
  </si>
  <si>
    <t>New Tax Rate OCP Margin</t>
  </si>
  <si>
    <t>2017E</t>
  </si>
  <si>
    <t>Average</t>
  </si>
  <si>
    <t>10-year CAGR</t>
  </si>
  <si>
    <t>Union Pacific Revenue Ton-Mile 10-year CAGR (2007-2017E)</t>
  </si>
  <si>
    <t>Burlington Northern Santa Fe</t>
  </si>
  <si>
    <t>Union Pacific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</si>
</sst>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_(* #,##0.0_);_(* \(#,##0.0\);_(* &quot;-&quot;_);_(@_)"/>
    <numFmt numFmtId="166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46AD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38" fontId="0" fillId="0" borderId="0" xfId="0" applyNumberFormat="1"/>
    <xf numFmtId="0" fontId="0" fillId="0" borderId="0" xfId="0" applyAlignment="1">
      <alignment horizontal="left" indent="1"/>
    </xf>
    <xf numFmtId="0" fontId="0" fillId="0" borderId="10" xfId="0" applyBorder="1"/>
    <xf numFmtId="0" fontId="0" fillId="0" borderId="0" xfId="0" applyAlignment="1">
      <alignment horizontal="left"/>
    </xf>
    <xf numFmtId="41" fontId="0" fillId="0" borderId="0" xfId="0" applyNumberFormat="1"/>
    <xf numFmtId="41" fontId="0" fillId="0" borderId="10" xfId="0" applyNumberFormat="1" applyBorder="1"/>
    <xf numFmtId="0" fontId="0" fillId="0" borderId="0" xfId="0" applyFill="1" applyBorder="1" applyAlignment="1">
      <alignment horizontal="left" indent="1"/>
    </xf>
    <xf numFmtId="41" fontId="0" fillId="33" borderId="0" xfId="0" applyNumberFormat="1" applyFill="1"/>
    <xf numFmtId="0" fontId="0" fillId="0" borderId="11" xfId="0" applyBorder="1" applyAlignment="1">
      <alignment horizontal="left"/>
    </xf>
    <xf numFmtId="9" fontId="0" fillId="0" borderId="0" xfId="1" applyFont="1"/>
    <xf numFmtId="41" fontId="0" fillId="0" borderId="0" xfId="0" applyNumberFormat="1" applyBorder="1"/>
    <xf numFmtId="9" fontId="0" fillId="0" borderId="0" xfId="1" applyNumberFormat="1" applyFont="1" applyBorder="1"/>
    <xf numFmtId="164" fontId="0" fillId="0" borderId="0" xfId="1" applyNumberFormat="1" applyFont="1"/>
    <xf numFmtId="41" fontId="0" fillId="33" borderId="11" xfId="0" applyNumberFormat="1" applyFill="1" applyBorder="1"/>
    <xf numFmtId="41" fontId="0" fillId="0" borderId="11" xfId="0" applyNumberFormat="1" applyBorder="1"/>
    <xf numFmtId="0" fontId="0" fillId="0" borderId="0" xfId="0" applyBorder="1"/>
    <xf numFmtId="0" fontId="0" fillId="0" borderId="0" xfId="0" applyFill="1" applyBorder="1"/>
    <xf numFmtId="41" fontId="0" fillId="33" borderId="10" xfId="0" applyNumberFormat="1" applyFill="1" applyBorder="1"/>
    <xf numFmtId="9" fontId="0" fillId="0" borderId="0" xfId="1" applyFont="1" applyBorder="1"/>
    <xf numFmtId="0" fontId="0" fillId="0" borderId="0" xfId="0" applyBorder="1" applyAlignment="1">
      <alignment horizontal="left" indent="1"/>
    </xf>
    <xf numFmtId="0" fontId="0" fillId="0" borderId="0" xfId="0"/>
    <xf numFmtId="0" fontId="0" fillId="0" borderId="0" xfId="0"/>
    <xf numFmtId="165" fontId="0" fillId="0" borderId="0" xfId="0" applyNumberFormat="1"/>
    <xf numFmtId="43" fontId="0" fillId="0" borderId="0" xfId="0" applyNumberFormat="1"/>
    <xf numFmtId="9" fontId="0" fillId="0" borderId="0" xfId="1" applyNumberFormat="1" applyFont="1"/>
    <xf numFmtId="0" fontId="0" fillId="0" borderId="11" xfId="0" applyBorder="1"/>
    <xf numFmtId="0" fontId="0" fillId="34" borderId="10" xfId="0" applyFill="1" applyBorder="1" applyAlignment="1">
      <alignment horizontal="left" indent="1"/>
    </xf>
    <xf numFmtId="41" fontId="0" fillId="34" borderId="10" xfId="0" applyNumberFormat="1" applyFill="1" applyBorder="1"/>
    <xf numFmtId="0" fontId="0" fillId="34" borderId="12" xfId="0" applyFill="1" applyBorder="1"/>
    <xf numFmtId="41" fontId="0" fillId="34" borderId="12" xfId="0" applyNumberFormat="1" applyFill="1" applyBorder="1"/>
    <xf numFmtId="0" fontId="13" fillId="35" borderId="0" xfId="0" applyFont="1" applyFill="1" applyAlignment="1">
      <alignment horizontal="left"/>
    </xf>
    <xf numFmtId="41" fontId="13" fillId="35" borderId="0" xfId="0" applyNumberFormat="1" applyFont="1" applyFill="1"/>
    <xf numFmtId="0" fontId="16" fillId="0" borderId="0" xfId="0" applyFont="1" applyAlignment="1">
      <alignment horizontal="left"/>
    </xf>
    <xf numFmtId="41" fontId="16" fillId="0" borderId="0" xfId="0" applyNumberFormat="1" applyFont="1"/>
    <xf numFmtId="41" fontId="16" fillId="33" borderId="0" xfId="0" applyNumberFormat="1" applyFont="1" applyFill="1"/>
    <xf numFmtId="0" fontId="0" fillId="0" borderId="12" xfId="0" applyBorder="1"/>
    <xf numFmtId="41" fontId="0" fillId="0" borderId="12" xfId="0" applyNumberFormat="1" applyBorder="1"/>
    <xf numFmtId="9" fontId="0" fillId="0" borderId="0" xfId="0" applyNumberFormat="1"/>
    <xf numFmtId="0" fontId="16" fillId="0" borderId="0" xfId="0" applyFont="1"/>
    <xf numFmtId="166" fontId="0" fillId="0" borderId="0" xfId="43" applyNumberFormat="1" applyFont="1"/>
    <xf numFmtId="166" fontId="0" fillId="0" borderId="0" xfId="0" applyNumberFormat="1"/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3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575A5D"/>
      <color rgb="FF0046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chartsheet" Target="chartsheets/sheet7.xml"/><Relationship Id="rId18" Type="http://schemas.openxmlformats.org/officeDocument/2006/relationships/chartsheet" Target="chartsheets/sheet12.xml"/><Relationship Id="rId26" Type="http://schemas.openxmlformats.org/officeDocument/2006/relationships/chartsheet" Target="chartsheets/sheet20.xml"/><Relationship Id="rId3" Type="http://schemas.openxmlformats.org/officeDocument/2006/relationships/worksheet" Target="worksheets/sheet3.xml"/><Relationship Id="rId21" Type="http://schemas.openxmlformats.org/officeDocument/2006/relationships/chartsheet" Target="chartsheets/sheet15.xml"/><Relationship Id="rId34" Type="http://schemas.openxmlformats.org/officeDocument/2006/relationships/theme" Target="theme/theme1.xml"/><Relationship Id="rId7" Type="http://schemas.openxmlformats.org/officeDocument/2006/relationships/worksheet" Target="worksheets/sheet5.xml"/><Relationship Id="rId12" Type="http://schemas.openxmlformats.org/officeDocument/2006/relationships/chartsheet" Target="chartsheets/sheet6.xml"/><Relationship Id="rId17" Type="http://schemas.openxmlformats.org/officeDocument/2006/relationships/chartsheet" Target="chartsheets/sheet11.xml"/><Relationship Id="rId25" Type="http://schemas.openxmlformats.org/officeDocument/2006/relationships/chartsheet" Target="chartsheets/sheet19.xml"/><Relationship Id="rId33" Type="http://schemas.openxmlformats.org/officeDocument/2006/relationships/chartsheet" Target="chartsheets/sheet27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0.xml"/><Relationship Id="rId20" Type="http://schemas.openxmlformats.org/officeDocument/2006/relationships/chartsheet" Target="chartsheets/sheet14.xml"/><Relationship Id="rId29" Type="http://schemas.openxmlformats.org/officeDocument/2006/relationships/chartsheet" Target="chartsheets/sheet23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hartsheet" Target="chartsheets/sheet5.xml"/><Relationship Id="rId24" Type="http://schemas.openxmlformats.org/officeDocument/2006/relationships/chartsheet" Target="chartsheets/sheet18.xml"/><Relationship Id="rId32" Type="http://schemas.openxmlformats.org/officeDocument/2006/relationships/chartsheet" Target="chartsheets/sheet26.xml"/><Relationship Id="rId37" Type="http://schemas.openxmlformats.org/officeDocument/2006/relationships/calcChain" Target="calcChain.xml"/><Relationship Id="rId5" Type="http://schemas.openxmlformats.org/officeDocument/2006/relationships/chartsheet" Target="chartsheets/sheet1.xml"/><Relationship Id="rId15" Type="http://schemas.openxmlformats.org/officeDocument/2006/relationships/chartsheet" Target="chartsheets/sheet9.xml"/><Relationship Id="rId23" Type="http://schemas.openxmlformats.org/officeDocument/2006/relationships/chartsheet" Target="chartsheets/sheet17.xml"/><Relationship Id="rId28" Type="http://schemas.openxmlformats.org/officeDocument/2006/relationships/chartsheet" Target="chartsheets/sheet22.xml"/><Relationship Id="rId36" Type="http://schemas.openxmlformats.org/officeDocument/2006/relationships/sharedStrings" Target="sharedStrings.xml"/><Relationship Id="rId10" Type="http://schemas.openxmlformats.org/officeDocument/2006/relationships/chartsheet" Target="chartsheets/sheet4.xml"/><Relationship Id="rId19" Type="http://schemas.openxmlformats.org/officeDocument/2006/relationships/chartsheet" Target="chartsheets/sheet13.xml"/><Relationship Id="rId31" Type="http://schemas.openxmlformats.org/officeDocument/2006/relationships/chartsheet" Target="chartsheets/sheet25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3.xml"/><Relationship Id="rId14" Type="http://schemas.openxmlformats.org/officeDocument/2006/relationships/chartsheet" Target="chartsheets/sheet8.xml"/><Relationship Id="rId22" Type="http://schemas.openxmlformats.org/officeDocument/2006/relationships/chartsheet" Target="chartsheets/sheet16.xml"/><Relationship Id="rId27" Type="http://schemas.openxmlformats.org/officeDocument/2006/relationships/chartsheet" Target="chartsheets/sheet21.xml"/><Relationship Id="rId30" Type="http://schemas.openxmlformats.org/officeDocument/2006/relationships/chartsheet" Target="chartsheets/sheet24.xml"/><Relationship Id="rId35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4.xml"/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/>
              <a:t>Union Pacific Capex by Project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'Detailed OCP Calculations'!$A$9</c:f>
              <c:strCache>
                <c:ptCount val="1"/>
                <c:pt idx="0">
                  <c:v>Track</c:v>
                </c:pt>
              </c:strCache>
            </c:strRef>
          </c:tx>
          <c:spPr>
            <a:ln w="28575" cap="rnd">
              <a:solidFill>
                <a:srgbClr val="575A5D"/>
              </a:solidFill>
              <a:round/>
            </a:ln>
            <a:effectLst/>
          </c:spPr>
          <c:marker>
            <c:symbol val="none"/>
          </c:marker>
          <c:cat>
            <c:numRef>
              <c:f>'Detailed OCP Calculations'!$B$1:$R$1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'Detailed OCP Calculations'!$B$9:$R$9</c:f>
              <c:numCache>
                <c:formatCode>_(* #,##0_);_(* \(#,##0\);_(* "-"_);_(@_)</c:formatCode>
                <c:ptCount val="17"/>
                <c:pt idx="0">
                  <c:v>1125</c:v>
                </c:pt>
                <c:pt idx="1">
                  <c:v>1200</c:v>
                </c:pt>
                <c:pt idx="2">
                  <c:v>1224</c:v>
                </c:pt>
                <c:pt idx="3">
                  <c:v>1328</c:v>
                </c:pt>
                <c:pt idx="4">
                  <c:v>1472</c:v>
                </c:pt>
                <c:pt idx="5">
                  <c:v>1487</c:v>
                </c:pt>
                <c:pt idx="6">
                  <c:v>1593</c:v>
                </c:pt>
                <c:pt idx="7">
                  <c:v>1674</c:v>
                </c:pt>
                <c:pt idx="8">
                  <c:v>1609</c:v>
                </c:pt>
                <c:pt idx="9">
                  <c:v>1625</c:v>
                </c:pt>
                <c:pt idx="10">
                  <c:v>1702</c:v>
                </c:pt>
                <c:pt idx="11">
                  <c:v>1708</c:v>
                </c:pt>
                <c:pt idx="12">
                  <c:v>1733</c:v>
                </c:pt>
                <c:pt idx="13">
                  <c:v>1746</c:v>
                </c:pt>
                <c:pt idx="14">
                  <c:v>1860</c:v>
                </c:pt>
                <c:pt idx="15">
                  <c:v>1837</c:v>
                </c:pt>
                <c:pt idx="16">
                  <c:v>1800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E0-4BBA-AA92-7296AADA115C}"/>
            </c:ext>
          </c:extLst>
        </c:ser>
        <c:ser>
          <c:idx val="1"/>
          <c:order val="1"/>
          <c:tx>
            <c:strRef>
              <c:f>'Detailed OCP Calculations'!$A$12</c:f>
              <c:strCache>
                <c:ptCount val="1"/>
                <c:pt idx="0">
                  <c:v>Capacity &amp; Facilities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'Detailed OCP Calculations'!$B$1:$R$1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'Detailed OCP Calculations'!$B$12:$R$12</c:f>
              <c:numCache>
                <c:formatCode>_(* #,##0_);_(* \(#,##0\);_(* "-"_);_(@_)</c:formatCode>
                <c:ptCount val="17"/>
                <c:pt idx="0">
                  <c:v>368</c:v>
                </c:pt>
                <c:pt idx="1">
                  <c:v>422</c:v>
                </c:pt>
                <c:pt idx="2">
                  <c:v>330</c:v>
                </c:pt>
                <c:pt idx="3">
                  <c:v>423</c:v>
                </c:pt>
                <c:pt idx="4">
                  <c:v>509</c:v>
                </c:pt>
                <c:pt idx="5">
                  <c:v>510</c:v>
                </c:pt>
                <c:pt idx="6">
                  <c:v>534</c:v>
                </c:pt>
                <c:pt idx="7">
                  <c:v>742</c:v>
                </c:pt>
                <c:pt idx="8">
                  <c:v>355</c:v>
                </c:pt>
                <c:pt idx="9">
                  <c:v>349</c:v>
                </c:pt>
                <c:pt idx="10">
                  <c:v>422</c:v>
                </c:pt>
                <c:pt idx="11">
                  <c:v>658</c:v>
                </c:pt>
                <c:pt idx="12">
                  <c:v>601</c:v>
                </c:pt>
                <c:pt idx="13">
                  <c:v>732</c:v>
                </c:pt>
                <c:pt idx="14">
                  <c:v>684</c:v>
                </c:pt>
                <c:pt idx="15">
                  <c:v>305</c:v>
                </c:pt>
                <c:pt idx="16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E0-4BBA-AA92-7296AADA115C}"/>
            </c:ext>
          </c:extLst>
        </c:ser>
        <c:ser>
          <c:idx val="2"/>
          <c:order val="2"/>
          <c:tx>
            <c:strRef>
              <c:f>'Detailed OCP Calculations'!$A$16</c:f>
              <c:strCache>
                <c:ptCount val="1"/>
                <c:pt idx="0">
                  <c:v>Locomotives &amp; Cars</c:v>
                </c:pt>
              </c:strCache>
            </c:strRef>
          </c:tx>
          <c:spPr>
            <a:ln w="28575" cap="rnd">
              <a:solidFill>
                <a:srgbClr val="0046AD"/>
              </a:solidFill>
              <a:round/>
            </a:ln>
            <a:effectLst/>
          </c:spPr>
          <c:marker>
            <c:symbol val="none"/>
          </c:marker>
          <c:cat>
            <c:numRef>
              <c:f>'Detailed OCP Calculations'!$B$1:$R$1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'Detailed OCP Calculations'!$B$16:$R$16</c:f>
              <c:numCache>
                <c:formatCode>_(* #,##0_);_(* \(#,##0\);_(* "-"_);_(@_)</c:formatCode>
                <c:ptCount val="17"/>
                <c:pt idx="0">
                  <c:v>203</c:v>
                </c:pt>
                <c:pt idx="1">
                  <c:v>198</c:v>
                </c:pt>
                <c:pt idx="2">
                  <c:v>386</c:v>
                </c:pt>
                <c:pt idx="3">
                  <c:v>125</c:v>
                </c:pt>
                <c:pt idx="4">
                  <c:v>188</c:v>
                </c:pt>
                <c:pt idx="5">
                  <c:v>245</c:v>
                </c:pt>
                <c:pt idx="6">
                  <c:v>369</c:v>
                </c:pt>
                <c:pt idx="7">
                  <c:v>338</c:v>
                </c:pt>
                <c:pt idx="8">
                  <c:v>390</c:v>
                </c:pt>
                <c:pt idx="9">
                  <c:v>508</c:v>
                </c:pt>
                <c:pt idx="10">
                  <c:v>1052</c:v>
                </c:pt>
                <c:pt idx="11">
                  <c:v>1372</c:v>
                </c:pt>
                <c:pt idx="12">
                  <c:v>1162</c:v>
                </c:pt>
                <c:pt idx="13">
                  <c:v>1868</c:v>
                </c:pt>
                <c:pt idx="14">
                  <c:v>2106</c:v>
                </c:pt>
                <c:pt idx="15">
                  <c:v>1363</c:v>
                </c:pt>
                <c:pt idx="16">
                  <c:v>1146.5799373040752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E0-4BBA-AA92-7296AADA1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1247664"/>
        <c:axId val="941243400"/>
      </c:lineChart>
      <c:catAx>
        <c:axId val="941247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941243400"/>
        <c:crosses val="autoZero"/>
        <c:auto val="1"/>
        <c:lblAlgn val="ctr"/>
        <c:lblOffset val="100"/>
        <c:noMultiLvlLbl val="0"/>
      </c:catAx>
      <c:valAx>
        <c:axId val="941243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941247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1400"/>
              <a:t>Comparison of Union Pacific's Actual Owners' Cash Profit Margins vs OCP Assuming New Tax 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Taxes!$A$16</c:f>
              <c:strCache>
                <c:ptCount val="1"/>
                <c:pt idx="0">
                  <c:v>Actual OCP Margin</c:v>
                </c:pt>
              </c:strCache>
            </c:strRef>
          </c:tx>
          <c:spPr>
            <a:ln w="28575" cap="rnd">
              <a:solidFill>
                <a:srgbClr val="575A5D"/>
              </a:solidFill>
              <a:round/>
            </a:ln>
            <a:effectLst/>
          </c:spPr>
          <c:marker>
            <c:symbol val="none"/>
          </c:marker>
          <c:cat>
            <c:numRef>
              <c:f>Taxes!$B$15:$Q$15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Taxes!$B$16:$Q$16</c:f>
              <c:numCache>
                <c:formatCode>0%</c:formatCode>
                <c:ptCount val="16"/>
                <c:pt idx="0">
                  <c:v>6.8328716528162511E-2</c:v>
                </c:pt>
                <c:pt idx="1">
                  <c:v>8.9524150909579714E-2</c:v>
                </c:pt>
                <c:pt idx="2">
                  <c:v>0.10553198857241797</c:v>
                </c:pt>
                <c:pt idx="3">
                  <c:v>7.6054031927957427E-2</c:v>
                </c:pt>
                <c:pt idx="4">
                  <c:v>8.2707320665782888E-2</c:v>
                </c:pt>
                <c:pt idx="5">
                  <c:v>8.9420978302734627E-2</c:v>
                </c:pt>
                <c:pt idx="6">
                  <c:v>9.6910888656881411E-2</c:v>
                </c:pt>
                <c:pt idx="7">
                  <c:v>0.12220367278797997</c:v>
                </c:pt>
                <c:pt idx="8">
                  <c:v>0.10443328855264088</c:v>
                </c:pt>
                <c:pt idx="9">
                  <c:v>0.13569112879457706</c:v>
                </c:pt>
                <c:pt idx="10">
                  <c:v>0.19399703430996573</c:v>
                </c:pt>
                <c:pt idx="11">
                  <c:v>0.18904711841727995</c:v>
                </c:pt>
                <c:pt idx="12">
                  <c:v>0.2052542913081091</c:v>
                </c:pt>
                <c:pt idx="13">
                  <c:v>0.20752042688010672</c:v>
                </c:pt>
                <c:pt idx="14">
                  <c:v>0.22257369458579745</c:v>
                </c:pt>
                <c:pt idx="15">
                  <c:v>0.2506393861892583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C5-404C-B855-8DF2E7EC71D4}"/>
            </c:ext>
          </c:extLst>
        </c:ser>
        <c:ser>
          <c:idx val="1"/>
          <c:order val="1"/>
          <c:tx>
            <c:strRef>
              <c:f>Taxes!$A$17</c:f>
              <c:strCache>
                <c:ptCount val="1"/>
                <c:pt idx="0">
                  <c:v>New Tax Rate OCP Margin</c:v>
                </c:pt>
              </c:strCache>
            </c:strRef>
          </c:tx>
          <c:spPr>
            <a:ln w="28575" cap="rnd">
              <a:solidFill>
                <a:srgbClr val="0046AD"/>
              </a:solidFill>
              <a:round/>
            </a:ln>
            <a:effectLst/>
          </c:spPr>
          <c:marker>
            <c:symbol val="none"/>
          </c:marker>
          <c:cat>
            <c:numRef>
              <c:f>Taxes!$B$15:$Q$15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Taxes!$B$17:$Q$17</c:f>
              <c:numCache>
                <c:formatCode>0%</c:formatCode>
                <c:ptCount val="16"/>
                <c:pt idx="0">
                  <c:v>3.2797783933518003E-2</c:v>
                </c:pt>
                <c:pt idx="1">
                  <c:v>5.5345461062819248E-2</c:v>
                </c:pt>
                <c:pt idx="2">
                  <c:v>7.1664790927192454E-2</c:v>
                </c:pt>
                <c:pt idx="3">
                  <c:v>3.8100695865738846E-2</c:v>
                </c:pt>
                <c:pt idx="4">
                  <c:v>5.6267491530416852E-2</c:v>
                </c:pt>
                <c:pt idx="5">
                  <c:v>8.6121453331621509E-2</c:v>
                </c:pt>
                <c:pt idx="6">
                  <c:v>0.10555794386783762</c:v>
                </c:pt>
                <c:pt idx="7">
                  <c:v>0.11478018920422926</c:v>
                </c:pt>
                <c:pt idx="8">
                  <c:v>8.5851658064059949E-2</c:v>
                </c:pt>
                <c:pt idx="9">
                  <c:v>0.13150604185086945</c:v>
                </c:pt>
                <c:pt idx="10">
                  <c:v>0.16627294574832541</c:v>
                </c:pt>
                <c:pt idx="11">
                  <c:v>0.19771576029819363</c:v>
                </c:pt>
                <c:pt idx="12">
                  <c:v>0.21168328552565677</c:v>
                </c:pt>
                <c:pt idx="13">
                  <c:v>0.23716858429214607</c:v>
                </c:pt>
                <c:pt idx="14">
                  <c:v>0.2455141429422821</c:v>
                </c:pt>
                <c:pt idx="15">
                  <c:v>0.24332781706032797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C5-404C-B855-8DF2E7EC7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6228176"/>
        <c:axId val="756234736"/>
      </c:lineChart>
      <c:catAx>
        <c:axId val="756228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756234736"/>
        <c:crosses val="autoZero"/>
        <c:auto val="1"/>
        <c:lblAlgn val="ctr"/>
        <c:lblOffset val="100"/>
        <c:noMultiLvlLbl val="0"/>
      </c:catAx>
      <c:valAx>
        <c:axId val="75623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756228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/>
              <a:t>Union Pacific Actual Cash Taxes Paid vs. Taxes Payable at a Modified 20% 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Taxes!$A$8</c:f>
              <c:strCache>
                <c:ptCount val="1"/>
                <c:pt idx="0">
                  <c:v>New Taxes</c:v>
                </c:pt>
              </c:strCache>
            </c:strRef>
          </c:tx>
          <c:spPr>
            <a:solidFill>
              <a:srgbClr val="0046AD"/>
            </a:solidFill>
            <a:ln>
              <a:noFill/>
            </a:ln>
            <a:effectLst/>
          </c:spPr>
          <c:invertIfNegative val="0"/>
          <c:cat>
            <c:numRef>
              <c:f>Taxes!$B$3:$Q$3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Taxes!$B$8:$Q$8</c:f>
              <c:numCache>
                <c:formatCode>_(* #,##0_);_(* \(#,##0\);_(* "-"_);_(@_)</c:formatCode>
                <c:ptCount val="16"/>
                <c:pt idx="0">
                  <c:v>435.8</c:v>
                </c:pt>
                <c:pt idx="1">
                  <c:v>515.4</c:v>
                </c:pt>
                <c:pt idx="2">
                  <c:v>442.20000000000005</c:v>
                </c:pt>
                <c:pt idx="3">
                  <c:v>276.60000000000002</c:v>
                </c:pt>
                <c:pt idx="4">
                  <c:v>388</c:v>
                </c:pt>
                <c:pt idx="5">
                  <c:v>600.4</c:v>
                </c:pt>
                <c:pt idx="6">
                  <c:v>698.2</c:v>
                </c:pt>
                <c:pt idx="7">
                  <c:v>832.40000000000009</c:v>
                </c:pt>
                <c:pt idx="8">
                  <c:v>714.80000000000007</c:v>
                </c:pt>
                <c:pt idx="9">
                  <c:v>1007</c:v>
                </c:pt>
                <c:pt idx="10">
                  <c:v>1167.2</c:v>
                </c:pt>
                <c:pt idx="11">
                  <c:v>1370.6000000000001</c:v>
                </c:pt>
                <c:pt idx="12">
                  <c:v>1514.8000000000002</c:v>
                </c:pt>
                <c:pt idx="13">
                  <c:v>1780.8000000000002</c:v>
                </c:pt>
                <c:pt idx="14">
                  <c:v>1655.6000000000001</c:v>
                </c:pt>
                <c:pt idx="15">
                  <c:v>1492.8000000000002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19-4699-BE47-2A21A933338A}"/>
            </c:ext>
          </c:extLst>
        </c:ser>
        <c:ser>
          <c:idx val="1"/>
          <c:order val="1"/>
          <c:tx>
            <c:strRef>
              <c:f>Taxes!$A$9</c:f>
              <c:strCache>
                <c:ptCount val="1"/>
                <c:pt idx="0">
                  <c:v>Actual Cash Taxes</c:v>
                </c:pt>
              </c:strCache>
            </c:strRef>
          </c:tx>
          <c:spPr>
            <a:solidFill>
              <a:srgbClr val="575A5D"/>
            </a:solidFill>
            <a:ln>
              <a:noFill/>
            </a:ln>
            <a:effectLst/>
          </c:spPr>
          <c:invertIfNegative val="0"/>
          <c:cat>
            <c:numRef>
              <c:f>Taxes!$B$3:$Q$3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Taxes!$B$9:$Q$9</c:f>
              <c:numCache>
                <c:formatCode>_(* #,##0_);_(* \(#,##0\);_(* "-"_);_(@_)</c:formatCode>
                <c:ptCount val="16"/>
                <c:pt idx="0">
                  <c:v>51</c:v>
                </c:pt>
                <c:pt idx="1">
                  <c:v>134</c:v>
                </c:pt>
                <c:pt idx="2">
                  <c:v>51</c:v>
                </c:pt>
                <c:pt idx="3">
                  <c:v>-187</c:v>
                </c:pt>
                <c:pt idx="4">
                  <c:v>29</c:v>
                </c:pt>
                <c:pt idx="5">
                  <c:v>549</c:v>
                </c:pt>
                <c:pt idx="6">
                  <c:v>839</c:v>
                </c:pt>
                <c:pt idx="7">
                  <c:v>699</c:v>
                </c:pt>
                <c:pt idx="8">
                  <c:v>452</c:v>
                </c:pt>
                <c:pt idx="9">
                  <c:v>936</c:v>
                </c:pt>
                <c:pt idx="10">
                  <c:v>625</c:v>
                </c:pt>
                <c:pt idx="11">
                  <c:v>1552</c:v>
                </c:pt>
                <c:pt idx="12">
                  <c:v>1656</c:v>
                </c:pt>
                <c:pt idx="13">
                  <c:v>2492</c:v>
                </c:pt>
                <c:pt idx="14">
                  <c:v>2156</c:v>
                </c:pt>
                <c:pt idx="15">
                  <c:v>1347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19-4699-BE47-2A21A9333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56564096"/>
        <c:axId val="756564424"/>
      </c:barChart>
      <c:catAx>
        <c:axId val="756564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756564424"/>
        <c:crosses val="autoZero"/>
        <c:auto val="1"/>
        <c:lblAlgn val="ctr"/>
        <c:lblOffset val="100"/>
        <c:noMultiLvlLbl val="0"/>
      </c:catAx>
      <c:valAx>
        <c:axId val="756564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756564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'Capex Opex data'!$A$26</c:f>
              <c:strCache>
                <c:ptCount val="1"/>
                <c:pt idx="0">
                  <c:v>Union Pacific Operating Ratio (Pct)</c:v>
                </c:pt>
              </c:strCache>
            </c:strRef>
          </c:tx>
          <c:spPr>
            <a:ln w="28575" cap="rnd">
              <a:solidFill>
                <a:srgbClr val="0046AD"/>
              </a:solidFill>
              <a:round/>
            </a:ln>
            <a:effectLst/>
          </c:spPr>
          <c:marker>
            <c:symbol val="none"/>
          </c:marker>
          <c:cat>
            <c:numRef>
              <c:f>'Capex Opex data'!$B$14:$Q$14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'Capex Opex data'!$B$26:$Q$26</c:f>
              <c:numCache>
                <c:formatCode>_(* #,##0.0_);_(* \(#,##0.0\);_(* "-"_);_(@_)</c:formatCode>
                <c:ptCount val="16"/>
                <c:pt idx="0">
                  <c:v>81.400000000000006</c:v>
                </c:pt>
                <c:pt idx="1">
                  <c:v>79.8</c:v>
                </c:pt>
                <c:pt idx="2">
                  <c:v>81.5</c:v>
                </c:pt>
                <c:pt idx="3">
                  <c:v>81.599999999999994</c:v>
                </c:pt>
                <c:pt idx="4">
                  <c:v>79.3</c:v>
                </c:pt>
                <c:pt idx="5">
                  <c:v>77.400000000000006</c:v>
                </c:pt>
                <c:pt idx="6">
                  <c:v>76.099999999999994</c:v>
                </c:pt>
                <c:pt idx="7">
                  <c:v>70.599999999999994</c:v>
                </c:pt>
                <c:pt idx="8">
                  <c:v>76.099999999999994</c:v>
                </c:pt>
                <c:pt idx="9">
                  <c:v>70.599999999999994</c:v>
                </c:pt>
                <c:pt idx="10">
                  <c:v>70.7</c:v>
                </c:pt>
                <c:pt idx="11">
                  <c:v>67.8</c:v>
                </c:pt>
                <c:pt idx="12">
                  <c:v>66.099999999999994</c:v>
                </c:pt>
                <c:pt idx="13">
                  <c:v>63.5</c:v>
                </c:pt>
                <c:pt idx="14">
                  <c:v>63.1</c:v>
                </c:pt>
                <c:pt idx="15">
                  <c:v>63.5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96-44C0-A862-2008B2E40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6587056"/>
        <c:axId val="756576888"/>
      </c:lineChart>
      <c:catAx>
        <c:axId val="756587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756576888"/>
        <c:crosses val="autoZero"/>
        <c:auto val="1"/>
        <c:lblAlgn val="ctr"/>
        <c:lblOffset val="100"/>
        <c:noMultiLvlLbl val="0"/>
      </c:catAx>
      <c:valAx>
        <c:axId val="75657688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756587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/>
              <a:t>Union Pacific Fuel Surcharge versus Diesel Prices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'Capex Opex data'!$B$62</c:f>
              <c:strCache>
                <c:ptCount val="1"/>
                <c:pt idx="0">
                  <c:v>Fuel Surcharge as a Percent of Fuel and Utilities Expense (LHS)</c:v>
                </c:pt>
              </c:strCache>
            </c:strRef>
          </c:tx>
          <c:spPr>
            <a:ln w="28575" cap="rnd">
              <a:solidFill>
                <a:srgbClr val="0046AD"/>
              </a:solidFill>
              <a:round/>
            </a:ln>
            <a:effectLst/>
          </c:spPr>
          <c:marker>
            <c:symbol val="none"/>
          </c:marker>
          <c:cat>
            <c:numRef>
              <c:f>'Capex Opex data'!$C$58:$Q$58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'Capex Opex data'!$C$62:$Q$62</c:f>
              <c:numCache>
                <c:formatCode>0%</c:formatCode>
                <c:ptCount val="15"/>
                <c:pt idx="0">
                  <c:v>6.5727699530516428E-3</c:v>
                </c:pt>
                <c:pt idx="1">
                  <c:v>7.4459567654123301E-2</c:v>
                </c:pt>
                <c:pt idx="2">
                  <c:v>0.16079295154185022</c:v>
                </c:pt>
                <c:pt idx="3">
                  <c:v>0.3758782201405152</c:v>
                </c:pt>
                <c:pt idx="4">
                  <c:v>0.53751660026560422</c:v>
                </c:pt>
                <c:pt idx="5">
                  <c:v>0.46713021491782553</c:v>
                </c:pt>
                <c:pt idx="6">
                  <c:v>0.58322872206879239</c:v>
                </c:pt>
                <c:pt idx="7">
                  <c:v>0.34316505955757232</c:v>
                </c:pt>
                <c:pt idx="8">
                  <c:v>0.49758648431214803</c:v>
                </c:pt>
                <c:pt idx="9">
                  <c:v>0.61435353253281211</c:v>
                </c:pt>
                <c:pt idx="10">
                  <c:v>0.72062084257206205</c:v>
                </c:pt>
                <c:pt idx="11">
                  <c:v>0.73571024335031121</c:v>
                </c:pt>
                <c:pt idx="12">
                  <c:v>0.79118395026843746</c:v>
                </c:pt>
                <c:pt idx="13">
                  <c:v>0.64580228514654747</c:v>
                </c:pt>
                <c:pt idx="14">
                  <c:v>0.37609133646742782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4E-471B-B208-7FB2534E1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647432"/>
        <c:axId val="719004080"/>
      </c:lineChart>
      <c:lineChart>
        <c:grouping val="standard"/>
        <c:varyColors val="0"/>
        <c:ser>
          <c:idx val="1"/>
          <c:order val="1"/>
          <c:tx>
            <c:strRef>
              <c:f>'Capex Opex data'!$A$60</c:f>
              <c:strCache>
                <c:ptCount val="1"/>
                <c:pt idx="0">
                  <c:v>Average Diesel Price per Gallon (RHS)</c:v>
                </c:pt>
              </c:strCache>
            </c:strRef>
          </c:tx>
          <c:spPr>
            <a:ln w="28575" cap="rnd">
              <a:solidFill>
                <a:srgbClr val="575A5D"/>
              </a:solidFill>
              <a:round/>
            </a:ln>
            <a:effectLst/>
          </c:spPr>
          <c:marker>
            <c:symbol val="none"/>
          </c:marker>
          <c:cat>
            <c:numRef>
              <c:f>'Capex Opex data'!$C$58:$Q$58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'Capex Opex data'!$C$60:$Q$60</c:f>
              <c:numCache>
                <c:formatCode>General</c:formatCode>
                <c:ptCount val="15"/>
                <c:pt idx="0">
                  <c:v>1.3187499999999999</c:v>
                </c:pt>
                <c:pt idx="1">
                  <c:v>1.5093269230769228</c:v>
                </c:pt>
                <c:pt idx="2">
                  <c:v>1.809942307692308</c:v>
                </c:pt>
                <c:pt idx="3">
                  <c:v>2.4015192307692308</c:v>
                </c:pt>
                <c:pt idx="4">
                  <c:v>2.7048461538461543</c:v>
                </c:pt>
                <c:pt idx="5">
                  <c:v>2.8852452830188664</c:v>
                </c:pt>
                <c:pt idx="6">
                  <c:v>3.8029615384615378</c:v>
                </c:pt>
                <c:pt idx="7">
                  <c:v>2.4673269230769241</c:v>
                </c:pt>
                <c:pt idx="8">
                  <c:v>2.9915576923076923</c:v>
                </c:pt>
                <c:pt idx="9">
                  <c:v>3.839711538461537</c:v>
                </c:pt>
                <c:pt idx="10">
                  <c:v>3.9677358490566048</c:v>
                </c:pt>
                <c:pt idx="11">
                  <c:v>3.921730769230769</c:v>
                </c:pt>
                <c:pt idx="12">
                  <c:v>3.8246346153846149</c:v>
                </c:pt>
                <c:pt idx="13">
                  <c:v>2.7066346153846146</c:v>
                </c:pt>
                <c:pt idx="14">
                  <c:v>2.3039423076923078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4E-471B-B208-7FB2534E1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0744232"/>
        <c:axId val="730736688"/>
      </c:lineChart>
      <c:catAx>
        <c:axId val="494647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719004080"/>
        <c:crosses val="autoZero"/>
        <c:auto val="1"/>
        <c:lblAlgn val="ctr"/>
        <c:lblOffset val="100"/>
        <c:noMultiLvlLbl val="0"/>
      </c:catAx>
      <c:valAx>
        <c:axId val="719004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494647432"/>
        <c:crosses val="autoZero"/>
        <c:crossBetween val="between"/>
      </c:valAx>
      <c:valAx>
        <c:axId val="730736688"/>
        <c:scaling>
          <c:orientation val="minMax"/>
        </c:scaling>
        <c:delete val="0"/>
        <c:axPos val="r"/>
        <c:numFmt formatCode="#,##0.0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730744232"/>
        <c:crosses val="max"/>
        <c:crossBetween val="between"/>
      </c:valAx>
      <c:catAx>
        <c:axId val="730744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07366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/>
              <a:t>Union Pacific Revenue from Fuel Surcharge as a Percent of Fuel and Utilities Expense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'Capex Opex data'!$B$62</c:f>
              <c:strCache>
                <c:ptCount val="1"/>
                <c:pt idx="0">
                  <c:v>Fuel Surcharge as a Percent of Fuel and Utilities Expense (LHS)</c:v>
                </c:pt>
              </c:strCache>
            </c:strRef>
          </c:tx>
          <c:spPr>
            <a:ln w="28575" cap="rnd">
              <a:solidFill>
                <a:srgbClr val="0046AD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46AD"/>
              </a:solidFill>
              <a:ln w="9525">
                <a:solidFill>
                  <a:srgbClr val="0046AD"/>
                </a:solidFill>
              </a:ln>
              <a:effectLst/>
            </c:spPr>
          </c:marker>
          <c:dLbls>
            <c:dLbl>
              <c:idx val="2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35-4ED2-9600-641784F0B8CC}"/>
                </c:ext>
              </c:extLst>
            </c:dLbl>
            <c:dLbl>
              <c:idx val="3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35-4ED2-9600-641784F0B8CC}"/>
                </c:ext>
              </c:extLst>
            </c:dLbl>
            <c:dLbl>
              <c:idx val="14"/>
              <c:layout>
                <c:manualLayout>
                  <c:x val="-1.8938991884216529E-2"/>
                  <c:y val="2.02166074176802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35-4ED2-9600-641784F0B8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'Capex Opex data'!$C$58:$Q$58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'Capex Opex data'!$C$62:$Q$62</c:f>
              <c:numCache>
                <c:formatCode>0%</c:formatCode>
                <c:ptCount val="15"/>
                <c:pt idx="0">
                  <c:v>6.5727699530516428E-3</c:v>
                </c:pt>
                <c:pt idx="1">
                  <c:v>7.4459567654123301E-2</c:v>
                </c:pt>
                <c:pt idx="2">
                  <c:v>0.16079295154185022</c:v>
                </c:pt>
                <c:pt idx="3">
                  <c:v>0.3758782201405152</c:v>
                </c:pt>
                <c:pt idx="4">
                  <c:v>0.53751660026560422</c:v>
                </c:pt>
                <c:pt idx="5">
                  <c:v>0.46713021491782553</c:v>
                </c:pt>
                <c:pt idx="6">
                  <c:v>0.58322872206879239</c:v>
                </c:pt>
                <c:pt idx="7">
                  <c:v>0.34316505955757232</c:v>
                </c:pt>
                <c:pt idx="8">
                  <c:v>0.49758648431214803</c:v>
                </c:pt>
                <c:pt idx="9">
                  <c:v>0.61435353253281211</c:v>
                </c:pt>
                <c:pt idx="10">
                  <c:v>0.72062084257206205</c:v>
                </c:pt>
                <c:pt idx="11">
                  <c:v>0.73571024335031121</c:v>
                </c:pt>
                <c:pt idx="12">
                  <c:v>0.79118395026843746</c:v>
                </c:pt>
                <c:pt idx="13">
                  <c:v>0.64580228514654747</c:v>
                </c:pt>
                <c:pt idx="14">
                  <c:v>0.37609133646742782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35-4ED2-9600-641784F0B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9006048"/>
        <c:axId val="719008672"/>
      </c:lineChart>
      <c:catAx>
        <c:axId val="719006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719008672"/>
        <c:crosses val="autoZero"/>
        <c:auto val="1"/>
        <c:lblAlgn val="ctr"/>
        <c:lblOffset val="100"/>
        <c:noMultiLvlLbl val="0"/>
      </c:catAx>
      <c:valAx>
        <c:axId val="719008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719006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'Capex Opex data'!$E$74</c:f>
              <c:strCache>
                <c:ptCount val="1"/>
                <c:pt idx="0">
                  <c:v>Union Pacific Carloads / Employee</c:v>
                </c:pt>
              </c:strCache>
            </c:strRef>
          </c:tx>
          <c:spPr>
            <a:ln w="28575" cap="rnd">
              <a:solidFill>
                <a:srgbClr val="0046AD"/>
              </a:solidFill>
              <a:round/>
            </a:ln>
            <a:effectLst/>
          </c:spPr>
          <c:marker>
            <c:symbol val="none"/>
          </c:marker>
          <c:cat>
            <c:numRef>
              <c:f>'Capex Opex data'!$B$75:$B$96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'Capex Opex data'!$E$75:$E$96</c:f>
              <c:numCache>
                <c:formatCode>_(* #,##0.00_);_(* \(#,##0.00\);_(* "-"??_);_(@_)</c:formatCode>
                <c:ptCount val="22"/>
                <c:pt idx="0">
                  <c:v>158.18181818181816</c:v>
                </c:pt>
                <c:pt idx="1">
                  <c:v>160.19323671497585</c:v>
                </c:pt>
                <c:pt idx="2">
                  <c:v>156.53703703703704</c:v>
                </c:pt>
                <c:pt idx="3">
                  <c:v>149.21641791044775</c:v>
                </c:pt>
                <c:pt idx="4">
                  <c:v>162.97142857142856</c:v>
                </c:pt>
                <c:pt idx="5">
                  <c:v>176.25742574257427</c:v>
                </c:pt>
                <c:pt idx="6">
                  <c:v>183.08008213552361</c:v>
                </c:pt>
                <c:pt idx="7">
                  <c:v>193.04439746300213</c:v>
                </c:pt>
                <c:pt idx="8">
                  <c:v>199.11637931034483</c:v>
                </c:pt>
                <c:pt idx="9">
                  <c:v>195.81780538302277</c:v>
                </c:pt>
                <c:pt idx="10">
                  <c:v>192.0321931589537</c:v>
                </c:pt>
                <c:pt idx="11">
                  <c:v>194.31952662721892</c:v>
                </c:pt>
                <c:pt idx="12">
                  <c:v>194.27145708582833</c:v>
                </c:pt>
                <c:pt idx="13">
                  <c:v>192.13692946058089</c:v>
                </c:pt>
                <c:pt idx="14">
                  <c:v>178.29885057471265</c:v>
                </c:pt>
                <c:pt idx="15">
                  <c:v>205.47785547785548</c:v>
                </c:pt>
                <c:pt idx="16">
                  <c:v>202.04899777282853</c:v>
                </c:pt>
                <c:pt idx="17">
                  <c:v>197.12418300653596</c:v>
                </c:pt>
                <c:pt idx="18">
                  <c:v>194.43965517241381</c:v>
                </c:pt>
                <c:pt idx="19">
                  <c:v>203.91949152542372</c:v>
                </c:pt>
                <c:pt idx="20">
                  <c:v>190.77894736842106</c:v>
                </c:pt>
                <c:pt idx="21">
                  <c:v>196.7832167832168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04-4420-9177-6223F97E0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6602144"/>
        <c:axId val="756604440"/>
      </c:lineChart>
      <c:catAx>
        <c:axId val="75660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756604440"/>
        <c:crosses val="autoZero"/>
        <c:auto val="1"/>
        <c:lblAlgn val="ctr"/>
        <c:lblOffset val="100"/>
        <c:noMultiLvlLbl val="0"/>
      </c:catAx>
      <c:valAx>
        <c:axId val="75660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756602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/>
              <a:t>Union Pacific Fuel Expense versus Diesel Price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'Capex Opex data'!$A$59</c:f>
              <c:strCache>
                <c:ptCount val="1"/>
                <c:pt idx="0">
                  <c:v>Fuel Expense (LHS)</c:v>
                </c:pt>
              </c:strCache>
            </c:strRef>
          </c:tx>
          <c:spPr>
            <a:ln w="28575" cap="rnd">
              <a:solidFill>
                <a:srgbClr val="0046AD"/>
              </a:solidFill>
              <a:round/>
            </a:ln>
            <a:effectLst/>
          </c:spPr>
          <c:marker>
            <c:symbol val="none"/>
          </c:marker>
          <c:cat>
            <c:numRef>
              <c:f>'Capex Opex data'!$B$58:$Q$58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'Capex Opex data'!$B$59:$Q$59</c:f>
              <c:numCache>
                <c:formatCode>_(* #,##0_);_(* \(#,##0\);_(* "-"_);_(@_)</c:formatCode>
                <c:ptCount val="16"/>
                <c:pt idx="0">
                  <c:v>1341</c:v>
                </c:pt>
                <c:pt idx="1">
                  <c:v>1065</c:v>
                </c:pt>
                <c:pt idx="2">
                  <c:v>1249</c:v>
                </c:pt>
                <c:pt idx="3">
                  <c:v>1816</c:v>
                </c:pt>
                <c:pt idx="4">
                  <c:v>2562</c:v>
                </c:pt>
                <c:pt idx="5">
                  <c:v>3012</c:v>
                </c:pt>
                <c:pt idx="6">
                  <c:v>3164</c:v>
                </c:pt>
                <c:pt idx="7">
                  <c:v>3983</c:v>
                </c:pt>
                <c:pt idx="8">
                  <c:v>1763</c:v>
                </c:pt>
                <c:pt idx="9">
                  <c:v>2486</c:v>
                </c:pt>
                <c:pt idx="10">
                  <c:v>3581</c:v>
                </c:pt>
                <c:pt idx="11">
                  <c:v>3608</c:v>
                </c:pt>
                <c:pt idx="12">
                  <c:v>3534</c:v>
                </c:pt>
                <c:pt idx="13">
                  <c:v>3539</c:v>
                </c:pt>
                <c:pt idx="14">
                  <c:v>2013</c:v>
                </c:pt>
                <c:pt idx="15">
                  <c:v>1489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5A-432F-9790-CF052C99B36D}"/>
            </c:ext>
          </c:extLst>
        </c:ser>
        <c:ser>
          <c:idx val="2"/>
          <c:order val="2"/>
          <c:tx>
            <c:strRef>
              <c:f>'Capex Opex data'!$A$61</c:f>
              <c:strCache>
                <c:ptCount val="1"/>
                <c:pt idx="0">
                  <c:v>Fuel Surcharge (LHS)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'Capex Opex data'!$B$58:$Q$58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'Capex Opex data'!$B$61:$Q$61</c:f>
              <c:numCache>
                <c:formatCode>_(* #,##0_);_(* \(#,##0\);_(* "-"_);_(@_)</c:formatCode>
                <c:ptCount val="16"/>
                <c:pt idx="1">
                  <c:v>7</c:v>
                </c:pt>
                <c:pt idx="2">
                  <c:v>93</c:v>
                </c:pt>
                <c:pt idx="3">
                  <c:v>292</c:v>
                </c:pt>
                <c:pt idx="4">
                  <c:v>963</c:v>
                </c:pt>
                <c:pt idx="5">
                  <c:v>1619</c:v>
                </c:pt>
                <c:pt idx="6">
                  <c:v>1478</c:v>
                </c:pt>
                <c:pt idx="7">
                  <c:v>2323</c:v>
                </c:pt>
                <c:pt idx="8">
                  <c:v>605</c:v>
                </c:pt>
                <c:pt idx="9">
                  <c:v>1237</c:v>
                </c:pt>
                <c:pt idx="10">
                  <c:v>2200</c:v>
                </c:pt>
                <c:pt idx="11">
                  <c:v>2600</c:v>
                </c:pt>
                <c:pt idx="12">
                  <c:v>2600</c:v>
                </c:pt>
                <c:pt idx="13">
                  <c:v>2800</c:v>
                </c:pt>
                <c:pt idx="14">
                  <c:v>1300</c:v>
                </c:pt>
                <c:pt idx="15">
                  <c:v>560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5A-432F-9790-CF052C99B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0692352"/>
        <c:axId val="770689728"/>
      </c:lineChart>
      <c:lineChart>
        <c:grouping val="standard"/>
        <c:varyColors val="0"/>
        <c:ser>
          <c:idx val="1"/>
          <c:order val="1"/>
          <c:tx>
            <c:strRef>
              <c:f>'Capex Opex data'!$A$60</c:f>
              <c:strCache>
                <c:ptCount val="1"/>
                <c:pt idx="0">
                  <c:v>Average Diesel Price per Gallon (RHS)</c:v>
                </c:pt>
              </c:strCache>
            </c:strRef>
          </c:tx>
          <c:spPr>
            <a:ln w="28575" cap="rnd">
              <a:solidFill>
                <a:srgbClr val="575A5D"/>
              </a:solidFill>
              <a:round/>
            </a:ln>
            <a:effectLst/>
          </c:spPr>
          <c:marker>
            <c:symbol val="none"/>
          </c:marker>
          <c:cat>
            <c:numRef>
              <c:f>'Capex Opex data'!$B$58:$Q$58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'Capex Opex data'!$B$60:$Q$60</c:f>
              <c:numCache>
                <c:formatCode>General</c:formatCode>
                <c:ptCount val="16"/>
                <c:pt idx="0">
                  <c:v>1.4005094339622641</c:v>
                </c:pt>
                <c:pt idx="1">
                  <c:v>1.3187499999999999</c:v>
                </c:pt>
                <c:pt idx="2">
                  <c:v>1.5093269230769228</c:v>
                </c:pt>
                <c:pt idx="3">
                  <c:v>1.809942307692308</c:v>
                </c:pt>
                <c:pt idx="4">
                  <c:v>2.4015192307692308</c:v>
                </c:pt>
                <c:pt idx="5">
                  <c:v>2.7048461538461543</c:v>
                </c:pt>
                <c:pt idx="6">
                  <c:v>2.8852452830188664</c:v>
                </c:pt>
                <c:pt idx="7">
                  <c:v>3.8029615384615378</c:v>
                </c:pt>
                <c:pt idx="8">
                  <c:v>2.4673269230769241</c:v>
                </c:pt>
                <c:pt idx="9">
                  <c:v>2.9915576923076923</c:v>
                </c:pt>
                <c:pt idx="10">
                  <c:v>3.839711538461537</c:v>
                </c:pt>
                <c:pt idx="11">
                  <c:v>3.9677358490566048</c:v>
                </c:pt>
                <c:pt idx="12">
                  <c:v>3.921730769230769</c:v>
                </c:pt>
                <c:pt idx="13">
                  <c:v>3.8246346153846149</c:v>
                </c:pt>
                <c:pt idx="14">
                  <c:v>2.7066346153846146</c:v>
                </c:pt>
                <c:pt idx="15">
                  <c:v>2.3039423076923078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5A-432F-9790-CF052C99B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6567704"/>
        <c:axId val="756570984"/>
      </c:lineChart>
      <c:catAx>
        <c:axId val="770692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770689728"/>
        <c:crosses val="autoZero"/>
        <c:auto val="1"/>
        <c:lblAlgn val="ctr"/>
        <c:lblOffset val="100"/>
        <c:noMultiLvlLbl val="0"/>
      </c:catAx>
      <c:valAx>
        <c:axId val="77068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770692352"/>
        <c:crosses val="autoZero"/>
        <c:crossBetween val="between"/>
      </c:valAx>
      <c:valAx>
        <c:axId val="756570984"/>
        <c:scaling>
          <c:orientation val="minMax"/>
        </c:scaling>
        <c:delete val="0"/>
        <c:axPos val="r"/>
        <c:numFmt formatCode="#,##0.0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756567704"/>
        <c:crosses val="max"/>
        <c:crossBetween val="between"/>
      </c:valAx>
      <c:catAx>
        <c:axId val="756567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65709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/>
              <a:t>Average Number of Union Pacific Employees ('000s)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'Capex Opex data'!$A$53</c:f>
              <c:strCache>
                <c:ptCount val="1"/>
                <c:pt idx="0">
                  <c:v>Average Employees ('000s)</c:v>
                </c:pt>
              </c:strCache>
            </c:strRef>
          </c:tx>
          <c:spPr>
            <a:ln w="28575" cap="rnd">
              <a:solidFill>
                <a:srgbClr val="0046AD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2.1167108576477297E-2"/>
                  <c:y val="-1.2129964450608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rgbClr val="0046AD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66-47EE-A46E-554614D5ED17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rgbClr val="0046AD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66-47EE-A46E-554614D5ED17}"/>
                </c:ext>
              </c:extLst>
            </c:dLbl>
            <c:dLbl>
              <c:idx val="1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rgbClr val="0046AD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66-47EE-A46E-554614D5ED17}"/>
                </c:ext>
              </c:extLst>
            </c:dLbl>
            <c:dLbl>
              <c:idx val="1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rgbClr val="0046AD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66-47EE-A46E-554614D5ED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'Capex Opex data'!$B$43:$Q$43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'Capex Opex data'!$B$53:$Q$53</c:f>
              <c:numCache>
                <c:formatCode>_(* #,##0.0_);_(* \(#,##0.0\);_(* "-"_);_(@_)</c:formatCode>
                <c:ptCount val="16"/>
                <c:pt idx="0">
                  <c:v>48.7</c:v>
                </c:pt>
                <c:pt idx="1">
                  <c:v>47.3</c:v>
                </c:pt>
                <c:pt idx="2">
                  <c:v>46.4</c:v>
                </c:pt>
                <c:pt idx="3">
                  <c:v>48.3</c:v>
                </c:pt>
                <c:pt idx="4">
                  <c:v>49.7</c:v>
                </c:pt>
                <c:pt idx="5">
                  <c:v>50.7</c:v>
                </c:pt>
                <c:pt idx="6">
                  <c:v>50.1</c:v>
                </c:pt>
                <c:pt idx="7">
                  <c:v>48.2</c:v>
                </c:pt>
                <c:pt idx="8">
                  <c:v>43.5</c:v>
                </c:pt>
                <c:pt idx="9">
                  <c:v>42.9</c:v>
                </c:pt>
                <c:pt idx="10">
                  <c:v>44.9</c:v>
                </c:pt>
                <c:pt idx="11">
                  <c:v>45.9</c:v>
                </c:pt>
                <c:pt idx="12">
                  <c:v>46.4</c:v>
                </c:pt>
                <c:pt idx="13">
                  <c:v>47.2</c:v>
                </c:pt>
                <c:pt idx="14">
                  <c:v>47.5</c:v>
                </c:pt>
                <c:pt idx="15">
                  <c:v>42.9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66-47EE-A46E-554614D5ED17}"/>
            </c:ext>
          </c:extLst>
        </c:ser>
        <c:ser>
          <c:idx val="1"/>
          <c:order val="1"/>
          <c:tx>
            <c:strRef>
              <c:f>'Capex Opex data'!$A$54</c:f>
              <c:strCache>
                <c:ptCount val="1"/>
                <c:pt idx="0">
                  <c:v>Period Average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336870015356462E-2"/>
                  <c:y val="2.0216607417680128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66-47EE-A46E-554614D5ED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B05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'Capex Opex data'!$B$43:$Q$43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'Capex Opex data'!$B$54:$Q$54</c:f>
              <c:numCache>
                <c:formatCode>_(* #,##0.0_);_(* \(#,##0.0\);_(* "-"_);_(@_)</c:formatCode>
                <c:ptCount val="16"/>
                <c:pt idx="0">
                  <c:v>46.912499999999994</c:v>
                </c:pt>
                <c:pt idx="1">
                  <c:v>46.912499999999994</c:v>
                </c:pt>
                <c:pt idx="2">
                  <c:v>46.912499999999994</c:v>
                </c:pt>
                <c:pt idx="3">
                  <c:v>46.912499999999994</c:v>
                </c:pt>
                <c:pt idx="4">
                  <c:v>46.912499999999994</c:v>
                </c:pt>
                <c:pt idx="5">
                  <c:v>46.912499999999994</c:v>
                </c:pt>
                <c:pt idx="6">
                  <c:v>46.912499999999994</c:v>
                </c:pt>
                <c:pt idx="7">
                  <c:v>46.912499999999994</c:v>
                </c:pt>
                <c:pt idx="8">
                  <c:v>46.912499999999994</c:v>
                </c:pt>
                <c:pt idx="9">
                  <c:v>46.912499999999994</c:v>
                </c:pt>
                <c:pt idx="10">
                  <c:v>46.912499999999994</c:v>
                </c:pt>
                <c:pt idx="11">
                  <c:v>46.912499999999994</c:v>
                </c:pt>
                <c:pt idx="12">
                  <c:v>46.912499999999994</c:v>
                </c:pt>
                <c:pt idx="13">
                  <c:v>46.912499999999994</c:v>
                </c:pt>
                <c:pt idx="14">
                  <c:v>46.912499999999994</c:v>
                </c:pt>
                <c:pt idx="15">
                  <c:v>46.912499999999994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66-47EE-A46E-554614D5E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4578272"/>
        <c:axId val="714580896"/>
      </c:lineChart>
      <c:catAx>
        <c:axId val="714578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714580896"/>
        <c:crosses val="autoZero"/>
        <c:auto val="1"/>
        <c:lblAlgn val="ctr"/>
        <c:lblOffset val="100"/>
        <c:noMultiLvlLbl val="0"/>
      </c:catAx>
      <c:valAx>
        <c:axId val="71458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714578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catAx>
        <c:axId val="1"/>
        <c:scaling>
          <c:orientation val="minMax"/>
        </c:scaling>
        <c:delete val="0"/>
        <c:axPos val="b"/>
        <c:majorTickMark val="out"/>
        <c:minorTickMark val="none"/>
        <c:tickLblPos val="nextTo"/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1200" b="1"/>
              <a:t>Union Pacific Capital Expenditures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'Capex Opex data'!$A$2</c:f>
              <c:strCache>
                <c:ptCount val="1"/>
                <c:pt idx="0">
                  <c:v>Rail &amp; track material</c:v>
                </c:pt>
              </c:strCache>
            </c:strRef>
          </c:tx>
          <c:spPr>
            <a:solidFill>
              <a:srgbClr val="575A5D"/>
            </a:solidFill>
            <a:ln>
              <a:noFill/>
            </a:ln>
            <a:effectLst/>
          </c:spP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561-45BC-BABF-22751FB4E1F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561-45BC-BABF-22751FB4E1F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561-45BC-BABF-22751FB4E1F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561-45BC-BABF-22751FB4E1F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561-45BC-BABF-22751FB4E1F2}"/>
                </c:ext>
              </c:extLst>
            </c:dLbl>
            <c:dLbl>
              <c:idx val="5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561-45BC-BABF-22751FB4E1F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561-45BC-BABF-22751FB4E1F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561-45BC-BABF-22751FB4E1F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561-45BC-BABF-22751FB4E1F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561-45BC-BABF-22751FB4E1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'Capex Opex data'!$B$1:$K$1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'Capex Opex data'!$B$2:$K$2</c:f>
              <c:numCache>
                <c:formatCode>_(* #,##0_);_(* \(#,##0\);_(* "-"_);_(@_)</c:formatCode>
                <c:ptCount val="10"/>
                <c:pt idx="0">
                  <c:v>628</c:v>
                </c:pt>
                <c:pt idx="1">
                  <c:v>620</c:v>
                </c:pt>
                <c:pt idx="2">
                  <c:v>614</c:v>
                </c:pt>
                <c:pt idx="3">
                  <c:v>626</c:v>
                </c:pt>
                <c:pt idx="4">
                  <c:v>697</c:v>
                </c:pt>
                <c:pt idx="5">
                  <c:v>759</c:v>
                </c:pt>
                <c:pt idx="6">
                  <c:v>743</c:v>
                </c:pt>
                <c:pt idx="7">
                  <c:v>749</c:v>
                </c:pt>
                <c:pt idx="8">
                  <c:v>734</c:v>
                </c:pt>
                <c:pt idx="9">
                  <c:v>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61-45BC-BABF-22751FB4E1F2}"/>
            </c:ext>
          </c:extLst>
        </c:ser>
        <c:ser>
          <c:idx val="1"/>
          <c:order val="1"/>
          <c:tx>
            <c:strRef>
              <c:f>'Capex Opex data'!$A$3</c:f>
              <c:strCache>
                <c:ptCount val="1"/>
                <c:pt idx="0">
                  <c:v>Ties</c:v>
                </c:pt>
              </c:strCache>
            </c:strRef>
          </c:tx>
          <c:spPr>
            <a:solidFill>
              <a:srgbClr val="0046AD"/>
            </a:solidFill>
            <a:ln>
              <a:noFill/>
            </a:ln>
            <a:effectLst/>
          </c:spP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3561-45BC-BABF-22751FB4E1F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3561-45BC-BABF-22751FB4E1F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561-45BC-BABF-22751FB4E1F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561-45BC-BABF-22751FB4E1F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561-45BC-BABF-22751FB4E1F2}"/>
                </c:ext>
              </c:extLst>
            </c:dLbl>
            <c:dLbl>
              <c:idx val="5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561-45BC-BABF-22751FB4E1F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561-45BC-BABF-22751FB4E1F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561-45BC-BABF-22751FB4E1F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561-45BC-BABF-22751FB4E1F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561-45BC-BABF-22751FB4E1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'Capex Opex data'!$B$1:$K$1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'Capex Opex data'!$B$3:$K$3</c:f>
              <c:numCache>
                <c:formatCode>_(* #,##0_);_(* \(#,##0\);_(* "-"_);_(@_)</c:formatCode>
                <c:ptCount val="10"/>
                <c:pt idx="0">
                  <c:v>404</c:v>
                </c:pt>
                <c:pt idx="1">
                  <c:v>425</c:v>
                </c:pt>
                <c:pt idx="2">
                  <c:v>449</c:v>
                </c:pt>
                <c:pt idx="3">
                  <c:v>444</c:v>
                </c:pt>
                <c:pt idx="4">
                  <c:v>403</c:v>
                </c:pt>
                <c:pt idx="5">
                  <c:v>434</c:v>
                </c:pt>
                <c:pt idx="6">
                  <c:v>438</c:v>
                </c:pt>
                <c:pt idx="7">
                  <c:v>415</c:v>
                </c:pt>
                <c:pt idx="8">
                  <c:v>455</c:v>
                </c:pt>
                <c:pt idx="9">
                  <c:v>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61-45BC-BABF-22751FB4E1F2}"/>
            </c:ext>
          </c:extLst>
        </c:ser>
        <c:ser>
          <c:idx val="2"/>
          <c:order val="2"/>
          <c:tx>
            <c:strRef>
              <c:f>'Capex Opex data'!$A$4</c:f>
              <c:strCache>
                <c:ptCount val="1"/>
                <c:pt idx="0">
                  <c:v>Ballast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3561-45BC-BABF-22751FB4E1F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3561-45BC-BABF-22751FB4E1F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3561-45BC-BABF-22751FB4E1F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3561-45BC-BABF-22751FB4E1F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3561-45BC-BABF-22751FB4E1F2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3561-45BC-BABF-22751FB4E1F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3561-45BC-BABF-22751FB4E1F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3561-45BC-BABF-22751FB4E1F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3561-45BC-BABF-22751FB4E1F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3561-45BC-BABF-22751FB4E1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'Capex Opex data'!$B$1:$K$1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'Capex Opex data'!$B$4:$K$4</c:f>
              <c:numCache>
                <c:formatCode>_(* #,##0_);_(* \(#,##0\);_(* "-"_);_(@_)</c:formatCode>
                <c:ptCount val="10"/>
                <c:pt idx="0">
                  <c:v>206</c:v>
                </c:pt>
                <c:pt idx="1">
                  <c:v>243</c:v>
                </c:pt>
                <c:pt idx="2">
                  <c:v>208</c:v>
                </c:pt>
                <c:pt idx="3">
                  <c:v>190</c:v>
                </c:pt>
                <c:pt idx="4">
                  <c:v>220</c:v>
                </c:pt>
                <c:pt idx="5">
                  <c:v>203</c:v>
                </c:pt>
                <c:pt idx="6">
                  <c:v>226</c:v>
                </c:pt>
                <c:pt idx="7">
                  <c:v>204</c:v>
                </c:pt>
                <c:pt idx="8">
                  <c:v>233</c:v>
                </c:pt>
                <c:pt idx="9">
                  <c:v>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61-45BC-BABF-22751FB4E1F2}"/>
            </c:ext>
          </c:extLst>
        </c:ser>
        <c:ser>
          <c:idx val="3"/>
          <c:order val="3"/>
          <c:tx>
            <c:strRef>
              <c:f>'Capex Opex data'!$A$5</c:f>
              <c:strCache>
                <c:ptCount val="1"/>
                <c:pt idx="0">
                  <c:v>Other Track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3561-45BC-BABF-22751FB4E1F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3561-45BC-BABF-22751FB4E1F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3561-45BC-BABF-22751FB4E1F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3561-45BC-BABF-22751FB4E1F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3561-45BC-BABF-22751FB4E1F2}"/>
                </c:ext>
              </c:extLst>
            </c:dLbl>
            <c:dLbl>
              <c:idx val="5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3561-45BC-BABF-22751FB4E1F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3561-45BC-BABF-22751FB4E1F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3561-45BC-BABF-22751FB4E1F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3561-45BC-BABF-22751FB4E1F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3561-45BC-BABF-22751FB4E1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'Capex Opex data'!$B$1:$K$1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'Capex Opex data'!$B$5:$K$5</c:f>
              <c:numCache>
                <c:formatCode>_(* #,##0_);_(* \(#,##0\);_(* "-"_);_(@_)</c:formatCode>
                <c:ptCount val="10"/>
                <c:pt idx="0">
                  <c:v>355</c:v>
                </c:pt>
                <c:pt idx="1">
                  <c:v>386</c:v>
                </c:pt>
                <c:pt idx="2">
                  <c:v>338</c:v>
                </c:pt>
                <c:pt idx="3">
                  <c:v>365</c:v>
                </c:pt>
                <c:pt idx="4">
                  <c:v>382</c:v>
                </c:pt>
                <c:pt idx="5">
                  <c:v>312</c:v>
                </c:pt>
                <c:pt idx="6">
                  <c:v>326</c:v>
                </c:pt>
                <c:pt idx="7">
                  <c:v>378</c:v>
                </c:pt>
                <c:pt idx="8">
                  <c:v>438</c:v>
                </c:pt>
                <c:pt idx="9">
                  <c:v>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61-45BC-BABF-22751FB4E1F2}"/>
            </c:ext>
          </c:extLst>
        </c:ser>
        <c:ser>
          <c:idx val="4"/>
          <c:order val="4"/>
          <c:tx>
            <c:strRef>
              <c:f>'Capex Opex data'!$A$6</c:f>
              <c:strCache>
                <c:ptCount val="1"/>
                <c:pt idx="0">
                  <c:v>Line expansion and capacity projects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3561-45BC-BABF-22751FB4E1F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3561-45BC-BABF-22751FB4E1F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3561-45BC-BABF-22751FB4E1F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3561-45BC-BABF-22751FB4E1F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3561-45BC-BABF-22751FB4E1F2}"/>
                </c:ext>
              </c:extLst>
            </c:dLbl>
            <c:dLbl>
              <c:idx val="5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3561-45BC-BABF-22751FB4E1F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3561-45BC-BABF-22751FB4E1F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3561-45BC-BABF-22751FB4E1F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3561-45BC-BABF-22751FB4E1F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3561-45BC-BABF-22751FB4E1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'Capex Opex data'!$B$1:$K$1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'Capex Opex data'!$B$6:$K$6</c:f>
              <c:numCache>
                <c:formatCode>_(* #,##0_);_(* \(#,##0\);_(* "-"_);_(@_)</c:formatCode>
                <c:ptCount val="10"/>
                <c:pt idx="0">
                  <c:v>419</c:v>
                </c:pt>
                <c:pt idx="1">
                  <c:v>488</c:v>
                </c:pt>
                <c:pt idx="2">
                  <c:v>162</c:v>
                </c:pt>
                <c:pt idx="3">
                  <c:v>122</c:v>
                </c:pt>
                <c:pt idx="4">
                  <c:v>311</c:v>
                </c:pt>
                <c:pt idx="5">
                  <c:v>489</c:v>
                </c:pt>
                <c:pt idx="6">
                  <c:v>455</c:v>
                </c:pt>
                <c:pt idx="7">
                  <c:v>515</c:v>
                </c:pt>
                <c:pt idx="8">
                  <c:v>457</c:v>
                </c:pt>
                <c:pt idx="9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61-45BC-BABF-22751FB4E1F2}"/>
            </c:ext>
          </c:extLst>
        </c:ser>
        <c:ser>
          <c:idx val="5"/>
          <c:order val="5"/>
          <c:tx>
            <c:strRef>
              <c:f>'Capex Opex data'!$A$7</c:f>
              <c:strCache>
                <c:ptCount val="1"/>
                <c:pt idx="0">
                  <c:v>Commercial facilities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3561-45BC-BABF-22751FB4E1F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3561-45BC-BABF-22751FB4E1F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3561-45BC-BABF-22751FB4E1F2}"/>
                </c:ext>
              </c:extLst>
            </c:dLbl>
            <c:dLbl>
              <c:idx val="3"/>
              <c:layout>
                <c:manualLayout>
                  <c:x val="-3.1153324820193801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3561-45BC-BABF-22751FB4E1F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3561-45BC-BABF-22751FB4E1F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3561-45BC-BABF-22751FB4E1F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3561-45BC-BABF-22751FB4E1F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3561-45BC-BABF-22751FB4E1F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3561-45BC-BABF-22751FB4E1F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3561-45BC-BABF-22751FB4E1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'Capex Opex data'!$B$1:$K$1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'Capex Opex data'!$B$7:$K$7</c:f>
              <c:numCache>
                <c:formatCode>_(* #,##0_);_(* \(#,##0\);_(* "-"_);_(@_)</c:formatCode>
                <c:ptCount val="10"/>
                <c:pt idx="0">
                  <c:v>115</c:v>
                </c:pt>
                <c:pt idx="1">
                  <c:v>254</c:v>
                </c:pt>
                <c:pt idx="2">
                  <c:v>193</c:v>
                </c:pt>
                <c:pt idx="3">
                  <c:v>227</c:v>
                </c:pt>
                <c:pt idx="4">
                  <c:v>111</c:v>
                </c:pt>
                <c:pt idx="5">
                  <c:v>169</c:v>
                </c:pt>
                <c:pt idx="6">
                  <c:v>146</c:v>
                </c:pt>
                <c:pt idx="7">
                  <c:v>217</c:v>
                </c:pt>
                <c:pt idx="8">
                  <c:v>227</c:v>
                </c:pt>
                <c:pt idx="9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561-45BC-BABF-22751FB4E1F2}"/>
            </c:ext>
          </c:extLst>
        </c:ser>
        <c:ser>
          <c:idx val="6"/>
          <c:order val="6"/>
          <c:tx>
            <c:strRef>
              <c:f>'Capex Opex data'!$A$8</c:f>
              <c:strCache>
                <c:ptCount val="1"/>
                <c:pt idx="0">
                  <c:v>Locomotives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3561-45BC-BABF-22751FB4E1F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3561-45BC-BABF-22751FB4E1F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3561-45BC-BABF-22751FB4E1F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3561-45BC-BABF-22751FB4E1F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3561-45BC-BABF-22751FB4E1F2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3561-45BC-BABF-22751FB4E1F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3561-45BC-BABF-22751FB4E1F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3561-45BC-BABF-22751FB4E1F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3561-45BC-BABF-22751FB4E1F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3561-45BC-BABF-22751FB4E1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'Capex Opex data'!$B$1:$K$1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'Capex Opex data'!$B$8:$K$8</c:f>
              <c:numCache>
                <c:formatCode>_(* #,##0_);_(* \(#,##0\);_(* "-"_);_(@_)</c:formatCode>
                <c:ptCount val="10"/>
                <c:pt idx="0">
                  <c:v>263</c:v>
                </c:pt>
                <c:pt idx="1">
                  <c:v>164</c:v>
                </c:pt>
                <c:pt idx="2">
                  <c:v>272</c:v>
                </c:pt>
                <c:pt idx="3">
                  <c:v>330</c:v>
                </c:pt>
                <c:pt idx="4">
                  <c:v>675</c:v>
                </c:pt>
                <c:pt idx="5">
                  <c:v>875</c:v>
                </c:pt>
                <c:pt idx="6">
                  <c:v>580</c:v>
                </c:pt>
                <c:pt idx="7">
                  <c:v>1067</c:v>
                </c:pt>
                <c:pt idx="8">
                  <c:v>1436</c:v>
                </c:pt>
                <c:pt idx="9">
                  <c:v>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561-45BC-BABF-22751FB4E1F2}"/>
            </c:ext>
          </c:extLst>
        </c:ser>
        <c:ser>
          <c:idx val="7"/>
          <c:order val="7"/>
          <c:tx>
            <c:strRef>
              <c:f>'Capex Opex data'!$A$9</c:f>
              <c:strCache>
                <c:ptCount val="1"/>
                <c:pt idx="0">
                  <c:v>Positive train control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6-3561-45BC-BABF-22751FB4E1F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3561-45BC-BABF-22751FB4E1F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4-3561-45BC-BABF-22751FB4E1F2}"/>
                </c:ext>
              </c:extLst>
            </c:dLbl>
            <c:dLbl>
              <c:idx val="5"/>
              <c:layout>
                <c:manualLayout>
                  <c:x val="2.2252374871566186E-3"/>
                  <c:y val="1.61377605648723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3561-45BC-BABF-22751FB4E1F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3561-45BC-BABF-22751FB4E1F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3561-45BC-BABF-22751FB4E1F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2-3561-45BC-BABF-22751FB4E1F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3561-45BC-BABF-22751FB4E1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'Capex Opex data'!$B$1:$K$1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'Capex Opex data'!$B$9:$K$9</c:f>
              <c:numCache>
                <c:formatCode>_(* #,##0_);_(* \(#,##0\);_(* "-"_);_(@_)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28</c:v>
                </c:pt>
                <c:pt idx="3">
                  <c:v>84</c:v>
                </c:pt>
                <c:pt idx="4">
                  <c:v>229</c:v>
                </c:pt>
                <c:pt idx="5">
                  <c:v>349</c:v>
                </c:pt>
                <c:pt idx="6">
                  <c:v>419</c:v>
                </c:pt>
                <c:pt idx="7">
                  <c:v>384</c:v>
                </c:pt>
                <c:pt idx="8">
                  <c:v>381</c:v>
                </c:pt>
                <c:pt idx="9">
                  <c:v>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561-45BC-BABF-22751FB4E1F2}"/>
            </c:ext>
          </c:extLst>
        </c:ser>
        <c:ser>
          <c:idx val="8"/>
          <c:order val="8"/>
          <c:tx>
            <c:strRef>
              <c:f>'Capex Opex data'!$A$10</c:f>
              <c:strCache>
                <c:ptCount val="1"/>
                <c:pt idx="0">
                  <c:v>Technology &amp; other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C-3561-45BC-BABF-22751FB4E1F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3561-45BC-BABF-22751FB4E1F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A-3561-45BC-BABF-22751FB4E1F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3561-45BC-BABF-22751FB4E1F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8-3561-45BC-BABF-22751FB4E1F2}"/>
                </c:ext>
              </c:extLst>
            </c:dLbl>
            <c:dLbl>
              <c:idx val="5"/>
              <c:layout>
                <c:manualLayout>
                  <c:x val="-2.2252374871567816E-3"/>
                  <c:y val="-2.420664084730870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79821980-0ACB-4010-95A3-F723DC8C04B3}" type="SERIESNAME">
                      <a:rPr lang="en-US" b="1" i="0"/>
                      <a:pPr>
                        <a:defRPr b="1"/>
                      </a:pPr>
                      <a:t>[SERIES NAME]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57-3561-45BC-BABF-22751FB4E1F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D-3561-45BC-BABF-22751FB4E1F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E-3561-45BC-BABF-22751FB4E1F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F-3561-45BC-BABF-22751FB4E1F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0-3561-45BC-BABF-22751FB4E1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'Capex Opex data'!$B$1:$K$1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'Capex Opex data'!$B$10:$K$10</c:f>
              <c:numCache>
                <c:formatCode>_(* #,##0_);_(* \(#,##0\);_(* "-"_);_(@_)</c:formatCode>
                <c:ptCount val="10"/>
                <c:pt idx="0">
                  <c:v>106</c:v>
                </c:pt>
                <c:pt idx="1">
                  <c:v>174</c:v>
                </c:pt>
                <c:pt idx="2">
                  <c:v>90</c:v>
                </c:pt>
                <c:pt idx="3">
                  <c:v>94</c:v>
                </c:pt>
                <c:pt idx="4">
                  <c:v>148</c:v>
                </c:pt>
                <c:pt idx="5">
                  <c:v>148</c:v>
                </c:pt>
                <c:pt idx="6">
                  <c:v>163</c:v>
                </c:pt>
                <c:pt idx="7">
                  <c:v>417</c:v>
                </c:pt>
                <c:pt idx="8">
                  <c:v>289</c:v>
                </c:pt>
                <c:pt idx="9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561-45BC-BABF-22751FB4E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738696"/>
        <c:axId val="793744600"/>
      </c:areaChart>
      <c:catAx>
        <c:axId val="793738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793744600"/>
        <c:crosses val="autoZero"/>
        <c:auto val="1"/>
        <c:lblAlgn val="ctr"/>
        <c:lblOffset val="100"/>
        <c:noMultiLvlLbl val="0"/>
      </c:catAx>
      <c:valAx>
        <c:axId val="793744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7937386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'Detailed OCP Calculations'!$A$26</c:f>
              <c:strCache>
                <c:ptCount val="1"/>
                <c:pt idx="0">
                  <c:v>OCP Margin (RHS)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'Detailed OCP Calculations'!$B$1:$R$1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'Detailed OCP Calculations'!$B$26:$R$26</c:f>
              <c:numCache>
                <c:formatCode>0%</c:formatCode>
                <c:ptCount val="17"/>
                <c:pt idx="0">
                  <c:v>6.8328716528162511E-2</c:v>
                </c:pt>
                <c:pt idx="1">
                  <c:v>8.9524150909579714E-2</c:v>
                </c:pt>
                <c:pt idx="2">
                  <c:v>0.10553198857241797</c:v>
                </c:pt>
                <c:pt idx="3">
                  <c:v>7.6054031927957427E-2</c:v>
                </c:pt>
                <c:pt idx="4">
                  <c:v>8.2707320665782888E-2</c:v>
                </c:pt>
                <c:pt idx="5">
                  <c:v>8.9420978302734627E-2</c:v>
                </c:pt>
                <c:pt idx="6">
                  <c:v>9.6910888656881411E-2</c:v>
                </c:pt>
                <c:pt idx="7">
                  <c:v>0.12220367278797997</c:v>
                </c:pt>
                <c:pt idx="8">
                  <c:v>0.10443328855264088</c:v>
                </c:pt>
                <c:pt idx="9">
                  <c:v>0.13569112879457706</c:v>
                </c:pt>
                <c:pt idx="10">
                  <c:v>0.19399703430996573</c:v>
                </c:pt>
                <c:pt idx="11">
                  <c:v>0.18904711841727995</c:v>
                </c:pt>
                <c:pt idx="12">
                  <c:v>0.2052542913081091</c:v>
                </c:pt>
                <c:pt idx="13">
                  <c:v>0.20752042688010672</c:v>
                </c:pt>
                <c:pt idx="14">
                  <c:v>0.22257369458579745</c:v>
                </c:pt>
                <c:pt idx="15">
                  <c:v>0.2506393861892583</c:v>
                </c:pt>
                <c:pt idx="16">
                  <c:v>0.23251355900504955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C8-41EC-A619-321852D9D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1281776"/>
        <c:axId val="941282104"/>
      </c:lineChart>
      <c:lineChart>
        <c:grouping val="standard"/>
        <c:varyColors val="0"/>
        <c:ser>
          <c:idx val="1"/>
          <c:order val="1"/>
          <c:tx>
            <c:strRef>
              <c:f>'Detailed OCP Calculations'!$A$34</c:f>
              <c:strCache>
                <c:ptCount val="1"/>
                <c:pt idx="0">
                  <c:v>ECF % OCP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'Detailed OCP Calculations'!$B$1:$R$1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'Detailed OCP Calculations'!$B$34:$R$34</c:f>
              <c:numCache>
                <c:formatCode>0%</c:formatCode>
                <c:ptCount val="17"/>
                <c:pt idx="0">
                  <c:v>0.77162162162162162</c:v>
                </c:pt>
                <c:pt idx="1">
                  <c:v>0.62062062062062062</c:v>
                </c:pt>
                <c:pt idx="2">
                  <c:v>0.58736669401148478</c:v>
                </c:pt>
                <c:pt idx="3">
                  <c:v>0.58988159311087196</c:v>
                </c:pt>
                <c:pt idx="4">
                  <c:v>0.62065894924309883</c:v>
                </c:pt>
                <c:pt idx="5">
                  <c:v>0.54199569274946158</c:v>
                </c:pt>
                <c:pt idx="6">
                  <c:v>0.45317443095648924</c:v>
                </c:pt>
                <c:pt idx="7">
                  <c:v>0.41290317022817397</c:v>
                </c:pt>
                <c:pt idx="8">
                  <c:v>0.48410641476157079</c:v>
                </c:pt>
                <c:pt idx="9">
                  <c:v>0.26693752844316249</c:v>
                </c:pt>
                <c:pt idx="10">
                  <c:v>0.3110947318656484</c:v>
                </c:pt>
                <c:pt idx="11">
                  <c:v>0.39561575441860464</c:v>
                </c:pt>
                <c:pt idx="12">
                  <c:v>0.27768950463726705</c:v>
                </c:pt>
                <c:pt idx="13">
                  <c:v>0.41025538092221775</c:v>
                </c:pt>
                <c:pt idx="14">
                  <c:v>0.43076840272669203</c:v>
                </c:pt>
                <c:pt idx="15">
                  <c:v>0.23619134399791664</c:v>
                </c:pt>
                <c:pt idx="16">
                  <c:v>0.15193644425981812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C8-41EC-A619-321852D9D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1031768"/>
        <c:axId val="861024552"/>
      </c:lineChart>
      <c:catAx>
        <c:axId val="94128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1282104"/>
        <c:crosses val="autoZero"/>
        <c:auto val="1"/>
        <c:lblAlgn val="ctr"/>
        <c:lblOffset val="100"/>
        <c:noMultiLvlLbl val="0"/>
      </c:catAx>
      <c:valAx>
        <c:axId val="941282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1281776"/>
        <c:crosses val="autoZero"/>
        <c:crossBetween val="between"/>
      </c:valAx>
      <c:valAx>
        <c:axId val="861024552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1031768"/>
        <c:crosses val="max"/>
        <c:crossBetween val="between"/>
      </c:valAx>
      <c:catAx>
        <c:axId val="861031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610245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/>
              <a:t>Union Pacific Capex by Project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'Detailed OCP Calculations'!$A$9</c:f>
              <c:strCache>
                <c:ptCount val="1"/>
                <c:pt idx="0">
                  <c:v>Track</c:v>
                </c:pt>
              </c:strCache>
            </c:strRef>
          </c:tx>
          <c:spPr>
            <a:ln w="28575" cap="rnd">
              <a:solidFill>
                <a:srgbClr val="575A5D"/>
              </a:solidFill>
              <a:round/>
            </a:ln>
            <a:effectLst/>
          </c:spPr>
          <c:marker>
            <c:symbol val="none"/>
          </c:marker>
          <c:cat>
            <c:numRef>
              <c:f>'Detailed OCP Calculations'!$B$1:$R$1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'Detailed OCP Calculations'!$B$9:$R$9</c:f>
              <c:numCache>
                <c:formatCode>_(* #,##0_);_(* \(#,##0\);_(* "-"_);_(@_)</c:formatCode>
                <c:ptCount val="17"/>
                <c:pt idx="0">
                  <c:v>1125</c:v>
                </c:pt>
                <c:pt idx="1">
                  <c:v>1200</c:v>
                </c:pt>
                <c:pt idx="2">
                  <c:v>1224</c:v>
                </c:pt>
                <c:pt idx="3">
                  <c:v>1328</c:v>
                </c:pt>
                <c:pt idx="4">
                  <c:v>1472</c:v>
                </c:pt>
                <c:pt idx="5">
                  <c:v>1487</c:v>
                </c:pt>
                <c:pt idx="6">
                  <c:v>1593</c:v>
                </c:pt>
                <c:pt idx="7">
                  <c:v>1674</c:v>
                </c:pt>
                <c:pt idx="8">
                  <c:v>1609</c:v>
                </c:pt>
                <c:pt idx="9">
                  <c:v>1625</c:v>
                </c:pt>
                <c:pt idx="10">
                  <c:v>1702</c:v>
                </c:pt>
                <c:pt idx="11">
                  <c:v>1708</c:v>
                </c:pt>
                <c:pt idx="12">
                  <c:v>1733</c:v>
                </c:pt>
                <c:pt idx="13">
                  <c:v>1746</c:v>
                </c:pt>
                <c:pt idx="14">
                  <c:v>1860</c:v>
                </c:pt>
                <c:pt idx="15">
                  <c:v>1837</c:v>
                </c:pt>
                <c:pt idx="16">
                  <c:v>1800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8C-47EF-BB45-86E924726E92}"/>
            </c:ext>
          </c:extLst>
        </c:ser>
        <c:ser>
          <c:idx val="1"/>
          <c:order val="1"/>
          <c:tx>
            <c:strRef>
              <c:f>'Detailed OCP Calculations'!$A$12</c:f>
              <c:strCache>
                <c:ptCount val="1"/>
                <c:pt idx="0">
                  <c:v>Capacity &amp; Facilities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'Detailed OCP Calculations'!$B$1:$R$1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'Detailed OCP Calculations'!$B$12:$R$12</c:f>
              <c:numCache>
                <c:formatCode>_(* #,##0_);_(* \(#,##0\);_(* "-"_);_(@_)</c:formatCode>
                <c:ptCount val="17"/>
                <c:pt idx="0">
                  <c:v>368</c:v>
                </c:pt>
                <c:pt idx="1">
                  <c:v>422</c:v>
                </c:pt>
                <c:pt idx="2">
                  <c:v>330</c:v>
                </c:pt>
                <c:pt idx="3">
                  <c:v>423</c:v>
                </c:pt>
                <c:pt idx="4">
                  <c:v>509</c:v>
                </c:pt>
                <c:pt idx="5">
                  <c:v>510</c:v>
                </c:pt>
                <c:pt idx="6">
                  <c:v>534</c:v>
                </c:pt>
                <c:pt idx="7">
                  <c:v>742</c:v>
                </c:pt>
                <c:pt idx="8">
                  <c:v>355</c:v>
                </c:pt>
                <c:pt idx="9">
                  <c:v>349</c:v>
                </c:pt>
                <c:pt idx="10">
                  <c:v>422</c:v>
                </c:pt>
                <c:pt idx="11">
                  <c:v>658</c:v>
                </c:pt>
                <c:pt idx="12">
                  <c:v>601</c:v>
                </c:pt>
                <c:pt idx="13">
                  <c:v>732</c:v>
                </c:pt>
                <c:pt idx="14">
                  <c:v>684</c:v>
                </c:pt>
                <c:pt idx="15">
                  <c:v>305</c:v>
                </c:pt>
                <c:pt idx="16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8C-47EF-BB45-86E924726E92}"/>
            </c:ext>
          </c:extLst>
        </c:ser>
        <c:ser>
          <c:idx val="2"/>
          <c:order val="2"/>
          <c:tx>
            <c:strRef>
              <c:f>'Detailed OCP Calculations'!$A$16</c:f>
              <c:strCache>
                <c:ptCount val="1"/>
                <c:pt idx="0">
                  <c:v>Locomotives &amp; Cars</c:v>
                </c:pt>
              </c:strCache>
            </c:strRef>
          </c:tx>
          <c:spPr>
            <a:ln w="28575" cap="rnd">
              <a:solidFill>
                <a:srgbClr val="0046AD"/>
              </a:solidFill>
              <a:round/>
            </a:ln>
            <a:effectLst/>
          </c:spPr>
          <c:marker>
            <c:symbol val="none"/>
          </c:marker>
          <c:cat>
            <c:numRef>
              <c:f>'Detailed OCP Calculations'!$B$1:$R$1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'Detailed OCP Calculations'!$B$16:$R$16</c:f>
              <c:numCache>
                <c:formatCode>_(* #,##0_);_(* \(#,##0\);_(* "-"_);_(@_)</c:formatCode>
                <c:ptCount val="17"/>
                <c:pt idx="0">
                  <c:v>203</c:v>
                </c:pt>
                <c:pt idx="1">
                  <c:v>198</c:v>
                </c:pt>
                <c:pt idx="2">
                  <c:v>386</c:v>
                </c:pt>
                <c:pt idx="3">
                  <c:v>125</c:v>
                </c:pt>
                <c:pt idx="4">
                  <c:v>188</c:v>
                </c:pt>
                <c:pt idx="5">
                  <c:v>245</c:v>
                </c:pt>
                <c:pt idx="6">
                  <c:v>369</c:v>
                </c:pt>
                <c:pt idx="7">
                  <c:v>338</c:v>
                </c:pt>
                <c:pt idx="8">
                  <c:v>390</c:v>
                </c:pt>
                <c:pt idx="9">
                  <c:v>508</c:v>
                </c:pt>
                <c:pt idx="10">
                  <c:v>1052</c:v>
                </c:pt>
                <c:pt idx="11">
                  <c:v>1372</c:v>
                </c:pt>
                <c:pt idx="12">
                  <c:v>1162</c:v>
                </c:pt>
                <c:pt idx="13">
                  <c:v>1868</c:v>
                </c:pt>
                <c:pt idx="14">
                  <c:v>2106</c:v>
                </c:pt>
                <c:pt idx="15">
                  <c:v>1363</c:v>
                </c:pt>
                <c:pt idx="16">
                  <c:v>1146.5799373040752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8C-47EF-BB45-86E924726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1247664"/>
        <c:axId val="941243400"/>
      </c:lineChart>
      <c:catAx>
        <c:axId val="941247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941243400"/>
        <c:crosses val="autoZero"/>
        <c:auto val="1"/>
        <c:lblAlgn val="ctr"/>
        <c:lblOffset val="100"/>
        <c:noMultiLvlLbl val="0"/>
      </c:catAx>
      <c:valAx>
        <c:axId val="941243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941247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/>
              <a:t>Union Pacific Profit Calculations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'Detailed OCP Calculations'!$G$61</c:f>
              <c:strCache>
                <c:ptCount val="1"/>
                <c:pt idx="0">
                  <c:v>OCP (Original)</c:v>
                </c:pt>
              </c:strCache>
            </c:strRef>
          </c:tx>
          <c:spPr>
            <a:ln w="28575" cap="rnd">
              <a:solidFill>
                <a:srgbClr val="575A5D"/>
              </a:solidFill>
              <a:round/>
            </a:ln>
            <a:effectLst/>
          </c:spPr>
          <c:marker>
            <c:symbol val="none"/>
          </c:marker>
          <c:cat>
            <c:numRef>
              <c:f>'Detailed OCP Calculations'!$H$1:$Q$1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'Detailed OCP Calculations'!$H$61:$Q$61</c:f>
              <c:numCache>
                <c:formatCode>#,##0_);[Red]\(#,##0\)</c:formatCode>
                <c:ptCount val="10"/>
                <c:pt idx="0">
                  <c:v>1902.086</c:v>
                </c:pt>
                <c:pt idx="1">
                  <c:v>2676.7514999999999</c:v>
                </c:pt>
                <c:pt idx="2">
                  <c:v>1738.1669999999999</c:v>
                </c:pt>
                <c:pt idx="3">
                  <c:v>2595.7588999999998</c:v>
                </c:pt>
                <c:pt idx="4">
                  <c:v>4208.098</c:v>
                </c:pt>
                <c:pt idx="5">
                  <c:v>4370.3584000000001</c:v>
                </c:pt>
                <c:pt idx="6">
                  <c:v>5019.3148000000001</c:v>
                </c:pt>
                <c:pt idx="7">
                  <c:v>5466.5962</c:v>
                </c:pt>
                <c:pt idx="8">
                  <c:v>5317.3225000000002</c:v>
                </c:pt>
                <c:pt idx="9">
                  <c:v>5445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DF-4BC4-B27D-481511ECF7FD}"/>
            </c:ext>
          </c:extLst>
        </c:ser>
        <c:ser>
          <c:idx val="1"/>
          <c:order val="1"/>
          <c:tx>
            <c:strRef>
              <c:f>'Detailed OCP Calculations'!$G$62</c:f>
              <c:strCache>
                <c:ptCount val="1"/>
                <c:pt idx="0">
                  <c:v>OCP (Refined)</c:v>
                </c:pt>
              </c:strCache>
            </c:strRef>
          </c:tx>
          <c:spPr>
            <a:ln w="28575" cap="rnd">
              <a:solidFill>
                <a:srgbClr val="0046AD"/>
              </a:solidFill>
              <a:round/>
            </a:ln>
            <a:effectLst/>
          </c:spPr>
          <c:marker>
            <c:symbol val="none"/>
          </c:marker>
          <c:cat>
            <c:numRef>
              <c:f>'Detailed OCP Calculations'!$H$1:$Q$1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'Detailed OCP Calculations'!$H$62:$Q$62</c:f>
              <c:numCache>
                <c:formatCode>_(* #,##0_);_(* \(#,##0\);_(* "-"_);_(@_)</c:formatCode>
                <c:ptCount val="10"/>
                <c:pt idx="0">
                  <c:v>1578</c:v>
                </c:pt>
                <c:pt idx="1">
                  <c:v>2196</c:v>
                </c:pt>
                <c:pt idx="2">
                  <c:v>1477</c:v>
                </c:pt>
                <c:pt idx="3">
                  <c:v>2302</c:v>
                </c:pt>
                <c:pt idx="4">
                  <c:v>3794</c:v>
                </c:pt>
                <c:pt idx="5">
                  <c:v>3956</c:v>
                </c:pt>
                <c:pt idx="6">
                  <c:v>4508</c:v>
                </c:pt>
                <c:pt idx="7">
                  <c:v>4978</c:v>
                </c:pt>
                <c:pt idx="8">
                  <c:v>4855</c:v>
                </c:pt>
                <c:pt idx="9">
                  <c:v>4998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DF-4BC4-B27D-481511ECF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9625320"/>
        <c:axId val="819632536"/>
      </c:lineChart>
      <c:catAx>
        <c:axId val="819625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819632536"/>
        <c:crosses val="autoZero"/>
        <c:auto val="1"/>
        <c:lblAlgn val="ctr"/>
        <c:lblOffset val="100"/>
        <c:noMultiLvlLbl val="0"/>
      </c:catAx>
      <c:valAx>
        <c:axId val="819632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819625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Narrow" panose="020B0606020202030204" pitchFamily="34" charset="0"/>
        </a:defRPr>
      </a:pPr>
      <a:endParaRPr lang="en-US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/>
              <a:t>Union Pacific Capital Expenditures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'Detailed OCP Calculations'!$A$41</c:f>
              <c:strCache>
                <c:ptCount val="1"/>
                <c:pt idx="0">
                  <c:v>Maintenance Capex</c:v>
                </c:pt>
              </c:strCache>
            </c:strRef>
          </c:tx>
          <c:spPr>
            <a:solidFill>
              <a:srgbClr val="575A5D"/>
            </a:solidFill>
            <a:ln>
              <a:noFill/>
            </a:ln>
            <a:effectLst/>
          </c:spPr>
          <c:invertIfNegative val="0"/>
          <c:cat>
            <c:numRef>
              <c:f>'Detailed OCP Calculations'!$B$1:$R$1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'Detailed OCP Calculations'!$B$41:$R$41</c:f>
              <c:numCache>
                <c:formatCode>_(* #,##0_);_(* \(#,##0\);_(* "-"_);_(@_)</c:formatCode>
                <c:ptCount val="17"/>
                <c:pt idx="0">
                  <c:v>1125</c:v>
                </c:pt>
                <c:pt idx="1">
                  <c:v>1200</c:v>
                </c:pt>
                <c:pt idx="2">
                  <c:v>1224</c:v>
                </c:pt>
                <c:pt idx="3">
                  <c:v>1328</c:v>
                </c:pt>
                <c:pt idx="4">
                  <c:v>1472</c:v>
                </c:pt>
                <c:pt idx="5">
                  <c:v>1487</c:v>
                </c:pt>
                <c:pt idx="6">
                  <c:v>1699</c:v>
                </c:pt>
                <c:pt idx="7">
                  <c:v>1848</c:v>
                </c:pt>
                <c:pt idx="8">
                  <c:v>1727</c:v>
                </c:pt>
                <c:pt idx="9">
                  <c:v>1803</c:v>
                </c:pt>
                <c:pt idx="10">
                  <c:v>2079</c:v>
                </c:pt>
                <c:pt idx="11">
                  <c:v>2205</c:v>
                </c:pt>
                <c:pt idx="12">
                  <c:v>2315</c:v>
                </c:pt>
                <c:pt idx="13">
                  <c:v>2547</c:v>
                </c:pt>
                <c:pt idx="14">
                  <c:v>2530</c:v>
                </c:pt>
                <c:pt idx="15">
                  <c:v>2346</c:v>
                </c:pt>
                <c:pt idx="16">
                  <c:v>2371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DF-4645-9A5D-A7492F7FE5B0}"/>
            </c:ext>
          </c:extLst>
        </c:ser>
        <c:ser>
          <c:idx val="1"/>
          <c:order val="1"/>
          <c:tx>
            <c:strRef>
              <c:f>'Detailed OCP Calculations'!$A$42</c:f>
              <c:strCache>
                <c:ptCount val="1"/>
                <c:pt idx="0">
                  <c:v>Growth Capex</c:v>
                </c:pt>
              </c:strCache>
            </c:strRef>
          </c:tx>
          <c:spPr>
            <a:solidFill>
              <a:srgbClr val="0046AD"/>
            </a:solidFill>
            <a:ln>
              <a:noFill/>
            </a:ln>
            <a:effectLst/>
          </c:spPr>
          <c:invertIfNegative val="0"/>
          <c:cat>
            <c:numRef>
              <c:f>'Detailed OCP Calculations'!$B$1:$R$1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'Detailed OCP Calculations'!$B$42:$R$42</c:f>
              <c:numCache>
                <c:formatCode>_(* #,##0_);_(* \(#,##0\);_(* "-"_);_(@_)</c:formatCode>
                <c:ptCount val="17"/>
                <c:pt idx="0">
                  <c:v>571</c:v>
                </c:pt>
                <c:pt idx="1">
                  <c:v>620</c:v>
                </c:pt>
                <c:pt idx="2">
                  <c:v>716</c:v>
                </c:pt>
                <c:pt idx="3">
                  <c:v>548</c:v>
                </c:pt>
                <c:pt idx="4">
                  <c:v>697</c:v>
                </c:pt>
                <c:pt idx="5">
                  <c:v>755</c:v>
                </c:pt>
                <c:pt idx="6">
                  <c:v>715.10925204934006</c:v>
                </c:pt>
                <c:pt idx="7">
                  <c:v>906.73536182107</c:v>
                </c:pt>
                <c:pt idx="8">
                  <c:v>715.02517460284002</c:v>
                </c:pt>
                <c:pt idx="9">
                  <c:v>614.49019047616002</c:v>
                </c:pt>
                <c:pt idx="10">
                  <c:v>1180.29341269827</c:v>
                </c:pt>
                <c:pt idx="11">
                  <c:v>1565.0559244799999</c:v>
                </c:pt>
                <c:pt idx="12">
                  <c:v>1251.8242869047999</c:v>
                </c:pt>
                <c:pt idx="13">
                  <c:v>2042.2512862307999</c:v>
                </c:pt>
                <c:pt idx="14">
                  <c:v>2091.3805952380899</c:v>
                </c:pt>
                <c:pt idx="15">
                  <c:v>1180.4843373015874</c:v>
                </c:pt>
                <c:pt idx="16">
                  <c:v>755.57993730407543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DF-4645-9A5D-A7492F7FE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3614104"/>
        <c:axId val="803608528"/>
      </c:barChart>
      <c:catAx>
        <c:axId val="803614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803608528"/>
        <c:crosses val="autoZero"/>
        <c:auto val="1"/>
        <c:lblAlgn val="ctr"/>
        <c:lblOffset val="100"/>
        <c:noMultiLvlLbl val="0"/>
      </c:catAx>
      <c:valAx>
        <c:axId val="803608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803614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/>
              <a:t>Union Pacific Locomotive Fleet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percentStacked"/>
        <c:varyColors val="0"/>
        <c:ser>
          <c:idx val="0"/>
          <c:order val="0"/>
          <c:tx>
            <c:strRef>
              <c:f>'Age of Locos'!$A$2</c:f>
              <c:strCache>
                <c:ptCount val="1"/>
                <c:pt idx="0">
                  <c:v>Owned</c:v>
                </c:pt>
              </c:strCache>
            </c:strRef>
          </c:tx>
          <c:spPr>
            <a:solidFill>
              <a:srgbClr val="0046AD"/>
            </a:solidFill>
            <a:ln>
              <a:noFill/>
            </a:ln>
            <a:effectLst/>
          </c:spPr>
          <c:cat>
            <c:numRef>
              <c:f>'Age of Locos'!$B$1:$K$1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'Age of Locos'!$B$2:$K$2</c:f>
              <c:numCache>
                <c:formatCode>_(* #,##0_);_(* \(#,##0\);_(* "-"_);_(@_)</c:formatCode>
                <c:ptCount val="10"/>
                <c:pt idx="0">
                  <c:v>4330</c:v>
                </c:pt>
                <c:pt idx="1">
                  <c:v>4247</c:v>
                </c:pt>
                <c:pt idx="2">
                  <c:v>5076</c:v>
                </c:pt>
                <c:pt idx="3">
                  <c:v>4935</c:v>
                </c:pt>
                <c:pt idx="4">
                  <c:v>5082</c:v>
                </c:pt>
                <c:pt idx="5">
                  <c:v>5468</c:v>
                </c:pt>
                <c:pt idx="6">
                  <c:v>5431</c:v>
                </c:pt>
                <c:pt idx="7">
                  <c:v>5666</c:v>
                </c:pt>
                <c:pt idx="8">
                  <c:v>5917</c:v>
                </c:pt>
                <c:pt idx="9">
                  <c:v>6247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1E-4EF6-B081-207EDFC60315}"/>
            </c:ext>
          </c:extLst>
        </c:ser>
        <c:ser>
          <c:idx val="1"/>
          <c:order val="1"/>
          <c:tx>
            <c:strRef>
              <c:f>'Age of Locos'!$A$3</c:f>
              <c:strCache>
                <c:ptCount val="1"/>
                <c:pt idx="0">
                  <c:v>Leased</c:v>
                </c:pt>
              </c:strCache>
            </c:strRef>
          </c:tx>
          <c:spPr>
            <a:solidFill>
              <a:srgbClr val="575A5D"/>
            </a:solidFill>
            <a:ln>
              <a:noFill/>
            </a:ln>
            <a:effectLst/>
          </c:spPr>
          <c:cat>
            <c:numRef>
              <c:f>'Age of Locos'!$B$1:$K$1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'Age of Locos'!$B$3:$K$3</c:f>
              <c:numCache>
                <c:formatCode>_(* #,##0_);_(* \(#,##0\);_(* "-"_);_(@_)</c:formatCode>
                <c:ptCount val="10"/>
                <c:pt idx="0">
                  <c:v>3704</c:v>
                </c:pt>
                <c:pt idx="1">
                  <c:v>3531</c:v>
                </c:pt>
                <c:pt idx="2">
                  <c:v>2659</c:v>
                </c:pt>
                <c:pt idx="3">
                  <c:v>2628</c:v>
                </c:pt>
                <c:pt idx="4">
                  <c:v>2550</c:v>
                </c:pt>
                <c:pt idx="5">
                  <c:v>2365</c:v>
                </c:pt>
                <c:pt idx="6">
                  <c:v>2348</c:v>
                </c:pt>
                <c:pt idx="7">
                  <c:v>2327</c:v>
                </c:pt>
                <c:pt idx="8">
                  <c:v>2135</c:v>
                </c:pt>
                <c:pt idx="9">
                  <c:v>1958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1E-4EF6-B081-207EDFC60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5174704"/>
        <c:axId val="795175032"/>
      </c:areaChart>
      <c:catAx>
        <c:axId val="79517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795175032"/>
        <c:crosses val="autoZero"/>
        <c:auto val="1"/>
        <c:lblAlgn val="ctr"/>
        <c:lblOffset val="100"/>
        <c:noMultiLvlLbl val="0"/>
      </c:catAx>
      <c:valAx>
        <c:axId val="795175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7951747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Narrow" panose="020B0606020202030204" pitchFamily="34" charset="0"/>
        </a:defRPr>
      </a:pPr>
      <a:endParaRPr lang="en-US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/>
              <a:t>Union Pacific Long-Term Profitability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'Detailed OCP Calculations'!$A$25</c:f>
              <c:strCache>
                <c:ptCount val="1"/>
                <c:pt idx="0">
                  <c:v>OCP (LHS)</c:v>
                </c:pt>
              </c:strCache>
            </c:strRef>
          </c:tx>
          <c:spPr>
            <a:solidFill>
              <a:srgbClr val="0046AD"/>
            </a:solidFill>
            <a:ln>
              <a:noFill/>
            </a:ln>
            <a:effectLst/>
          </c:spPr>
          <c:invertIfNegative val="0"/>
          <c:cat>
            <c:numRef>
              <c:f>'Detailed OCP Calculations'!$B$1:$R$1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'Detailed OCP Calculations'!$B$25:$R$25</c:f>
              <c:numCache>
                <c:formatCode>_(* #,##0_);_(* \(#,##0\);_(* "-"_);_(@_)</c:formatCode>
                <c:ptCount val="17"/>
                <c:pt idx="0">
                  <c:v>740</c:v>
                </c:pt>
                <c:pt idx="1">
                  <c:v>999</c:v>
                </c:pt>
                <c:pt idx="2">
                  <c:v>1219</c:v>
                </c:pt>
                <c:pt idx="3">
                  <c:v>929</c:v>
                </c:pt>
                <c:pt idx="4">
                  <c:v>1123</c:v>
                </c:pt>
                <c:pt idx="5">
                  <c:v>1393</c:v>
                </c:pt>
                <c:pt idx="6">
                  <c:v>1578</c:v>
                </c:pt>
                <c:pt idx="7">
                  <c:v>2196</c:v>
                </c:pt>
                <c:pt idx="8">
                  <c:v>1477</c:v>
                </c:pt>
                <c:pt idx="9">
                  <c:v>2302</c:v>
                </c:pt>
                <c:pt idx="10">
                  <c:v>3794</c:v>
                </c:pt>
                <c:pt idx="11">
                  <c:v>3956</c:v>
                </c:pt>
                <c:pt idx="12">
                  <c:v>4508</c:v>
                </c:pt>
                <c:pt idx="13">
                  <c:v>4978</c:v>
                </c:pt>
                <c:pt idx="14">
                  <c:v>4855</c:v>
                </c:pt>
                <c:pt idx="15">
                  <c:v>4998</c:v>
                </c:pt>
                <c:pt idx="16">
                  <c:v>4973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EC-4341-9B02-036E046A6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864901480"/>
        <c:axId val="864901808"/>
      </c:barChart>
      <c:lineChart>
        <c:grouping val="standard"/>
        <c:varyColors val="0"/>
        <c:ser>
          <c:idx val="1"/>
          <c:order val="1"/>
          <c:tx>
            <c:strRef>
              <c:f>'Detailed OCP Calculations'!$A$26</c:f>
              <c:strCache>
                <c:ptCount val="1"/>
                <c:pt idx="0">
                  <c:v>OCP Margin (RHS)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'Detailed OCP Calculations'!$B$1:$R$1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'Detailed OCP Calculations'!$B$26:$R$26</c:f>
              <c:numCache>
                <c:formatCode>0%</c:formatCode>
                <c:ptCount val="17"/>
                <c:pt idx="0">
                  <c:v>6.8328716528162511E-2</c:v>
                </c:pt>
                <c:pt idx="1">
                  <c:v>8.9524150909579714E-2</c:v>
                </c:pt>
                <c:pt idx="2">
                  <c:v>0.10553198857241797</c:v>
                </c:pt>
                <c:pt idx="3">
                  <c:v>7.6054031927957427E-2</c:v>
                </c:pt>
                <c:pt idx="4">
                  <c:v>8.2707320665782888E-2</c:v>
                </c:pt>
                <c:pt idx="5">
                  <c:v>8.9420978302734627E-2</c:v>
                </c:pt>
                <c:pt idx="6">
                  <c:v>9.6910888656881411E-2</c:v>
                </c:pt>
                <c:pt idx="7">
                  <c:v>0.12220367278797997</c:v>
                </c:pt>
                <c:pt idx="8">
                  <c:v>0.10443328855264088</c:v>
                </c:pt>
                <c:pt idx="9">
                  <c:v>0.13569112879457706</c:v>
                </c:pt>
                <c:pt idx="10">
                  <c:v>0.19399703430996573</c:v>
                </c:pt>
                <c:pt idx="11">
                  <c:v>0.18904711841727995</c:v>
                </c:pt>
                <c:pt idx="12">
                  <c:v>0.2052542913081091</c:v>
                </c:pt>
                <c:pt idx="13">
                  <c:v>0.20752042688010672</c:v>
                </c:pt>
                <c:pt idx="14">
                  <c:v>0.22257369458579745</c:v>
                </c:pt>
                <c:pt idx="15">
                  <c:v>0.2506393861892583</c:v>
                </c:pt>
                <c:pt idx="16">
                  <c:v>0.23251355900504955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EC-4341-9B02-036E046A6436}"/>
            </c:ext>
          </c:extLst>
        </c:ser>
        <c:ser>
          <c:idx val="2"/>
          <c:order val="2"/>
          <c:tx>
            <c:strRef>
              <c:f>'Detailed OCP Calculations'!$A$27</c:f>
              <c:strCache>
                <c:ptCount val="1"/>
                <c:pt idx="0">
                  <c:v>5-year OCP CAGR (RHS)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'Detailed OCP Calculations'!$B$1:$R$1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'Detailed OCP Calculations'!$B$27:$R$27</c:f>
              <c:numCache>
                <c:formatCode>0%</c:formatCode>
                <c:ptCount val="17"/>
                <c:pt idx="5">
                  <c:v>0.13486415610162306</c:v>
                </c:pt>
                <c:pt idx="6">
                  <c:v>9.5741983779463968E-2</c:v>
                </c:pt>
                <c:pt idx="7">
                  <c:v>0.12493058848630523</c:v>
                </c:pt>
                <c:pt idx="8">
                  <c:v>9.7167554807888967E-2</c:v>
                </c:pt>
                <c:pt idx="9">
                  <c:v>0.15437021505317383</c:v>
                </c:pt>
                <c:pt idx="10">
                  <c:v>0.22188192945781138</c:v>
                </c:pt>
                <c:pt idx="11">
                  <c:v>0.20179351672671619</c:v>
                </c:pt>
                <c:pt idx="12">
                  <c:v>0.15470305364326298</c:v>
                </c:pt>
                <c:pt idx="13">
                  <c:v>0.27507250043399467</c:v>
                </c:pt>
                <c:pt idx="14">
                  <c:v>0.16095873365361113</c:v>
                </c:pt>
                <c:pt idx="15">
                  <c:v>5.6670991568763762E-2</c:v>
                </c:pt>
                <c:pt idx="16">
                  <c:v>4.6821021546807895E-2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EC-4341-9B02-036E046A6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9052464"/>
        <c:axId val="689047872"/>
      </c:lineChart>
      <c:catAx>
        <c:axId val="864901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864901808"/>
        <c:crosses val="autoZero"/>
        <c:auto val="1"/>
        <c:lblAlgn val="ctr"/>
        <c:lblOffset val="100"/>
        <c:noMultiLvlLbl val="0"/>
      </c:catAx>
      <c:valAx>
        <c:axId val="864901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864901480"/>
        <c:crosses val="autoZero"/>
        <c:crossBetween val="between"/>
      </c:valAx>
      <c:valAx>
        <c:axId val="689047872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689052464"/>
        <c:crosses val="max"/>
        <c:crossBetween val="between"/>
      </c:valAx>
      <c:catAx>
        <c:axId val="689052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90478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Narrow" panose="020B0606020202030204" pitchFamily="34" charset="0"/>
        </a:defRPr>
      </a:pPr>
      <a:endParaRPr lang="en-US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/>
              <a:t>Maintence Capital Expenditures (MX) at Union Pacific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'Detailed OCP Calculations'!$A$46</c:f>
              <c:strCache>
                <c:ptCount val="1"/>
                <c:pt idx="0">
                  <c:v>MX % OCP</c:v>
                </c:pt>
              </c:strCache>
            </c:strRef>
          </c:tx>
          <c:spPr>
            <a:ln w="28575" cap="rnd">
              <a:solidFill>
                <a:srgbClr val="575A5D"/>
              </a:solidFill>
              <a:round/>
            </a:ln>
            <a:effectLst/>
          </c:spPr>
          <c:marker>
            <c:symbol val="none"/>
          </c:marker>
          <c:cat>
            <c:numRef>
              <c:f>'Detailed OCP Calculations'!$B$1:$R$1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'Detailed OCP Calculations'!$B$46:$R$46</c:f>
              <c:numCache>
                <c:formatCode>0%</c:formatCode>
                <c:ptCount val="17"/>
                <c:pt idx="0">
                  <c:v>1.5202702702702702</c:v>
                </c:pt>
                <c:pt idx="1">
                  <c:v>1.2012012012012012</c:v>
                </c:pt>
                <c:pt idx="2">
                  <c:v>1.0041017227235438</c:v>
                </c:pt>
                <c:pt idx="3">
                  <c:v>1.4294940796555435</c:v>
                </c:pt>
                <c:pt idx="4">
                  <c:v>1.3107747105966161</c:v>
                </c:pt>
                <c:pt idx="5">
                  <c:v>1.0674802584350322</c:v>
                </c:pt>
                <c:pt idx="6">
                  <c:v>1.0766793409378961</c:v>
                </c:pt>
                <c:pt idx="7">
                  <c:v>0.84153005464480879</c:v>
                </c:pt>
                <c:pt idx="8">
                  <c:v>1.1692620176032498</c:v>
                </c:pt>
                <c:pt idx="9">
                  <c:v>0.7832319721980886</c:v>
                </c:pt>
                <c:pt idx="10">
                  <c:v>0.54797047970479706</c:v>
                </c:pt>
                <c:pt idx="11">
                  <c:v>0.55738119312436807</c:v>
                </c:pt>
                <c:pt idx="12">
                  <c:v>0.51353149955634425</c:v>
                </c:pt>
                <c:pt idx="13">
                  <c:v>0.51165126556850138</c:v>
                </c:pt>
                <c:pt idx="14">
                  <c:v>0.52111225540679706</c:v>
                </c:pt>
                <c:pt idx="15">
                  <c:v>0.46938775510204084</c:v>
                </c:pt>
                <c:pt idx="16">
                  <c:v>0.47677458274683288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FF-44BB-8748-04DC37148917}"/>
            </c:ext>
          </c:extLst>
        </c:ser>
        <c:ser>
          <c:idx val="1"/>
          <c:order val="1"/>
          <c:tx>
            <c:strRef>
              <c:f>'Detailed OCP Calculations'!$A$47</c:f>
              <c:strCache>
                <c:ptCount val="1"/>
                <c:pt idx="0">
                  <c:v>MX % Revenues</c:v>
                </c:pt>
              </c:strCache>
            </c:strRef>
          </c:tx>
          <c:spPr>
            <a:ln w="28575" cap="rnd">
              <a:solidFill>
                <a:srgbClr val="0046AD"/>
              </a:solidFill>
              <a:round/>
            </a:ln>
            <a:effectLst/>
          </c:spPr>
          <c:marker>
            <c:symbol val="none"/>
          </c:marker>
          <c:cat>
            <c:numRef>
              <c:f>'Detailed OCP Calculations'!$B$1:$R$1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'Detailed OCP Calculations'!$B$47:$R$47</c:f>
              <c:numCache>
                <c:formatCode>0%</c:formatCode>
                <c:ptCount val="17"/>
                <c:pt idx="0">
                  <c:v>0.1038781163434903</c:v>
                </c:pt>
                <c:pt idx="1">
                  <c:v>0.10753651760910476</c:v>
                </c:pt>
                <c:pt idx="2">
                  <c:v>0.10596485152800623</c:v>
                </c:pt>
                <c:pt idx="3">
                  <c:v>0.10871878837494883</c:v>
                </c:pt>
                <c:pt idx="4">
                  <c:v>0.1084106643099131</c:v>
                </c:pt>
                <c:pt idx="5">
                  <c:v>9.5455129028116578E-2</c:v>
                </c:pt>
                <c:pt idx="6">
                  <c:v>0.1043419517287969</c:v>
                </c:pt>
                <c:pt idx="7">
                  <c:v>0.10283806343906511</c:v>
                </c:pt>
                <c:pt idx="8">
                  <c:v>0.12210987767800326</c:v>
                </c:pt>
                <c:pt idx="9">
                  <c:v>0.10627763041556144</c:v>
                </c:pt>
                <c:pt idx="10">
                  <c:v>0.1063046479521399</c:v>
                </c:pt>
                <c:pt idx="11">
                  <c:v>0.10537130842014719</c:v>
                </c:pt>
                <c:pt idx="12">
                  <c:v>0.10540454400582798</c:v>
                </c:pt>
                <c:pt idx="13">
                  <c:v>0.10617808904452226</c:v>
                </c:pt>
                <c:pt idx="14">
                  <c:v>0.11598587997982854</c:v>
                </c:pt>
                <c:pt idx="15">
                  <c:v>0.11764705882352941</c:v>
                </c:pt>
                <c:pt idx="16">
                  <c:v>0.11085655507761362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FF-44BB-8748-04DC37148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3081336"/>
        <c:axId val="893074448"/>
      </c:lineChart>
      <c:catAx>
        <c:axId val="893081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893074448"/>
        <c:crosses val="autoZero"/>
        <c:auto val="1"/>
        <c:lblAlgn val="ctr"/>
        <c:lblOffset val="100"/>
        <c:noMultiLvlLbl val="0"/>
      </c:catAx>
      <c:valAx>
        <c:axId val="893074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893081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/>
              <a:t>Maintence Capital Expenditures (MX) at Union Pacific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'Detailed OCP Calculations'!$A$47</c:f>
              <c:strCache>
                <c:ptCount val="1"/>
                <c:pt idx="0">
                  <c:v>MX % Revenues</c:v>
                </c:pt>
              </c:strCache>
            </c:strRef>
          </c:tx>
          <c:spPr>
            <a:ln w="28575" cap="rnd">
              <a:solidFill>
                <a:srgbClr val="0046AD"/>
              </a:solidFill>
              <a:round/>
            </a:ln>
            <a:effectLst/>
          </c:spPr>
          <c:marker>
            <c:symbol val="none"/>
          </c:marker>
          <c:cat>
            <c:numRef>
              <c:f>'Detailed OCP Calculations'!$B$1:$R$1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'Detailed OCP Calculations'!$B$47:$R$47</c:f>
              <c:numCache>
                <c:formatCode>0%</c:formatCode>
                <c:ptCount val="17"/>
                <c:pt idx="0">
                  <c:v>0.1038781163434903</c:v>
                </c:pt>
                <c:pt idx="1">
                  <c:v>0.10753651760910476</c:v>
                </c:pt>
                <c:pt idx="2">
                  <c:v>0.10596485152800623</c:v>
                </c:pt>
                <c:pt idx="3">
                  <c:v>0.10871878837494883</c:v>
                </c:pt>
                <c:pt idx="4">
                  <c:v>0.1084106643099131</c:v>
                </c:pt>
                <c:pt idx="5">
                  <c:v>9.5455129028116578E-2</c:v>
                </c:pt>
                <c:pt idx="6">
                  <c:v>0.1043419517287969</c:v>
                </c:pt>
                <c:pt idx="7">
                  <c:v>0.10283806343906511</c:v>
                </c:pt>
                <c:pt idx="8">
                  <c:v>0.12210987767800326</c:v>
                </c:pt>
                <c:pt idx="9">
                  <c:v>0.10627763041556144</c:v>
                </c:pt>
                <c:pt idx="10">
                  <c:v>0.1063046479521399</c:v>
                </c:pt>
                <c:pt idx="11">
                  <c:v>0.10537130842014719</c:v>
                </c:pt>
                <c:pt idx="12">
                  <c:v>0.10540454400582798</c:v>
                </c:pt>
                <c:pt idx="13">
                  <c:v>0.10617808904452226</c:v>
                </c:pt>
                <c:pt idx="14">
                  <c:v>0.11598587997982854</c:v>
                </c:pt>
                <c:pt idx="15">
                  <c:v>0.11764705882352941</c:v>
                </c:pt>
                <c:pt idx="16">
                  <c:v>0.11085655507761362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76-40EE-8F2E-E717C5747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3081336"/>
        <c:axId val="893074448"/>
      </c:lineChart>
      <c:catAx>
        <c:axId val="893081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893074448"/>
        <c:crosses val="autoZero"/>
        <c:auto val="1"/>
        <c:lblAlgn val="ctr"/>
        <c:lblOffset val="100"/>
        <c:noMultiLvlLbl val="0"/>
      </c:catAx>
      <c:valAx>
        <c:axId val="893074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893081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1400"/>
              <a:t>Maintenance Capital Expenditures at the Western Railroads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'Detailed OCP Calculations'!$H$65</c:f>
              <c:strCache>
                <c:ptCount val="1"/>
                <c:pt idx="0">
                  <c:v>BNSF Capex ex-Equipment</c:v>
                </c:pt>
              </c:strCache>
            </c:strRef>
          </c:tx>
          <c:spPr>
            <a:solidFill>
              <a:srgbClr val="575A5D"/>
            </a:solidFill>
            <a:ln>
              <a:noFill/>
            </a:ln>
            <a:effectLst/>
          </c:spPr>
          <c:invertIfNegative val="0"/>
          <c:cat>
            <c:numRef>
              <c:f>'Detailed OCP Calculations'!$I$64:$R$64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'Detailed OCP Calculations'!$I$65:$R$65</c:f>
              <c:numCache>
                <c:formatCode>_(* #,##0_);_(* \(#,##0\);_(* "-"_);_(@_)</c:formatCode>
                <c:ptCount val="10"/>
                <c:pt idx="0">
                  <c:v>-2248</c:v>
                </c:pt>
                <c:pt idx="1">
                  <c:v>-2167</c:v>
                </c:pt>
                <c:pt idx="2">
                  <c:v>-1991</c:v>
                </c:pt>
                <c:pt idx="3">
                  <c:v>-1966</c:v>
                </c:pt>
                <c:pt idx="4">
                  <c:v>-2726</c:v>
                </c:pt>
                <c:pt idx="5">
                  <c:v>-2596</c:v>
                </c:pt>
                <c:pt idx="6">
                  <c:v>-2975</c:v>
                </c:pt>
                <c:pt idx="7">
                  <c:v>-3734</c:v>
                </c:pt>
                <c:pt idx="8">
                  <c:v>-4425</c:v>
                </c:pt>
                <c:pt idx="9">
                  <c:v>-3205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D-4AEC-A99B-7C8E9D2BA31F}"/>
            </c:ext>
          </c:extLst>
        </c:ser>
        <c:ser>
          <c:idx val="1"/>
          <c:order val="1"/>
          <c:tx>
            <c:strRef>
              <c:f>'Detailed OCP Calculations'!$H$66</c:f>
              <c:strCache>
                <c:ptCount val="1"/>
                <c:pt idx="0">
                  <c:v>UNP Maintenance Capex</c:v>
                </c:pt>
              </c:strCache>
            </c:strRef>
          </c:tx>
          <c:spPr>
            <a:solidFill>
              <a:srgbClr val="0046AD"/>
            </a:solidFill>
            <a:ln>
              <a:noFill/>
            </a:ln>
            <a:effectLst/>
          </c:spPr>
          <c:invertIfNegative val="0"/>
          <c:cat>
            <c:numRef>
              <c:f>'Detailed OCP Calculations'!$I$64:$R$64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'Detailed OCP Calculations'!$I$66:$R$66</c:f>
              <c:numCache>
                <c:formatCode>_(* #,##0_);_(* \(#,##0\);_(* "-"_);_(@_)</c:formatCode>
                <c:ptCount val="10"/>
                <c:pt idx="0">
                  <c:v>-1848</c:v>
                </c:pt>
                <c:pt idx="1">
                  <c:v>-1727</c:v>
                </c:pt>
                <c:pt idx="2">
                  <c:v>-1803</c:v>
                </c:pt>
                <c:pt idx="3">
                  <c:v>-2079</c:v>
                </c:pt>
                <c:pt idx="4">
                  <c:v>-2205</c:v>
                </c:pt>
                <c:pt idx="5">
                  <c:v>-2315</c:v>
                </c:pt>
                <c:pt idx="6">
                  <c:v>-1959</c:v>
                </c:pt>
                <c:pt idx="7">
                  <c:v>-2800</c:v>
                </c:pt>
                <c:pt idx="8">
                  <c:v>-3036.96</c:v>
                </c:pt>
                <c:pt idx="9">
                  <c:v>-2764.0800000000004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4D-4AEC-A99B-7C8E9D2BA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59647096"/>
        <c:axId val="659649720"/>
      </c:barChart>
      <c:catAx>
        <c:axId val="65964709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659649720"/>
        <c:crosses val="autoZero"/>
        <c:auto val="1"/>
        <c:lblAlgn val="ctr"/>
        <c:lblOffset val="100"/>
        <c:noMultiLvlLbl val="0"/>
      </c:catAx>
      <c:valAx>
        <c:axId val="659649720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659647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/>
              <a:t>Profits and Profitability for the Two Western Railroads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'BNSF OCP'!$A$21</c:f>
              <c:strCache>
                <c:ptCount val="1"/>
                <c:pt idx="0">
                  <c:v>UNP OCP (LHS)</c:v>
                </c:pt>
              </c:strCache>
            </c:strRef>
          </c:tx>
          <c:spPr>
            <a:solidFill>
              <a:srgbClr val="0046AD"/>
            </a:solidFill>
            <a:ln>
              <a:noFill/>
            </a:ln>
            <a:effectLst/>
          </c:spPr>
          <c:invertIfNegative val="0"/>
          <c:cat>
            <c:numRef>
              <c:f>'BNSF OCP'!$B$20:$Q$20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'BNSF OCP'!$B$21:$Q$21</c:f>
              <c:numCache>
                <c:formatCode>_(* #,##0_);_(* \(#,##0\);_(* "-"_);_(@_)</c:formatCode>
                <c:ptCount val="16"/>
                <c:pt idx="0">
                  <c:v>740</c:v>
                </c:pt>
                <c:pt idx="1">
                  <c:v>999</c:v>
                </c:pt>
                <c:pt idx="2">
                  <c:v>1219</c:v>
                </c:pt>
                <c:pt idx="3">
                  <c:v>929</c:v>
                </c:pt>
                <c:pt idx="4">
                  <c:v>1123</c:v>
                </c:pt>
                <c:pt idx="5">
                  <c:v>1393</c:v>
                </c:pt>
                <c:pt idx="6">
                  <c:v>1578</c:v>
                </c:pt>
                <c:pt idx="7">
                  <c:v>2196</c:v>
                </c:pt>
                <c:pt idx="8">
                  <c:v>1477</c:v>
                </c:pt>
                <c:pt idx="9">
                  <c:v>2302</c:v>
                </c:pt>
                <c:pt idx="10">
                  <c:v>3794</c:v>
                </c:pt>
                <c:pt idx="11">
                  <c:v>3956</c:v>
                </c:pt>
                <c:pt idx="12">
                  <c:v>4508</c:v>
                </c:pt>
                <c:pt idx="13">
                  <c:v>4978</c:v>
                </c:pt>
                <c:pt idx="14">
                  <c:v>4855</c:v>
                </c:pt>
                <c:pt idx="15">
                  <c:v>4998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D7-4AF0-862B-EEB83CC1586B}"/>
            </c:ext>
          </c:extLst>
        </c:ser>
        <c:ser>
          <c:idx val="2"/>
          <c:order val="2"/>
          <c:tx>
            <c:strRef>
              <c:f>'BNSF OCP'!$A$23</c:f>
              <c:strCache>
                <c:ptCount val="1"/>
                <c:pt idx="0">
                  <c:v>BNSF OCP (LHS)</c:v>
                </c:pt>
              </c:strCache>
            </c:strRef>
          </c:tx>
          <c:spPr>
            <a:solidFill>
              <a:srgbClr val="575A5D"/>
            </a:solidFill>
            <a:ln>
              <a:noFill/>
            </a:ln>
            <a:effectLst/>
          </c:spPr>
          <c:invertIfNegative val="0"/>
          <c:cat>
            <c:numRef>
              <c:f>'BNSF OCP'!$B$20:$Q$20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'BNSF OCP'!$B$23:$Q$23</c:f>
              <c:numCache>
                <c:formatCode>_(* #,##0_);_(* \(#,##0\);_(* "-"_);_(@_)</c:formatCode>
                <c:ptCount val="16"/>
                <c:pt idx="0">
                  <c:v>1273.4226804123709</c:v>
                </c:pt>
                <c:pt idx="1">
                  <c:v>1151.9086809470123</c:v>
                </c:pt>
                <c:pt idx="2">
                  <c:v>1356.4796479647966</c:v>
                </c:pt>
                <c:pt idx="3">
                  <c:v>1331.1757412398922</c:v>
                </c:pt>
                <c:pt idx="4">
                  <c:v>1498.1105894627021</c:v>
                </c:pt>
                <c:pt idx="5">
                  <c:v>1949.4790509843515</c:v>
                </c:pt>
                <c:pt idx="6">
                  <c:v>2145.8730428360413</c:v>
                </c:pt>
                <c:pt idx="7">
                  <c:v>2580.3105251956777</c:v>
                </c:pt>
                <c:pt idx="8">
                  <c:v>1832.7469275962874</c:v>
                </c:pt>
                <c:pt idx="9">
                  <c:v>2665.4900688760372</c:v>
                </c:pt>
                <c:pt idx="10">
                  <c:v>3486.9624609298808</c:v>
                </c:pt>
                <c:pt idx="11">
                  <c:v>3754.1955894721546</c:v>
                </c:pt>
                <c:pt idx="12">
                  <c:v>4424.9468323099627</c:v>
                </c:pt>
                <c:pt idx="13">
                  <c:v>4442.0162379578778</c:v>
                </c:pt>
                <c:pt idx="14">
                  <c:v>5162.3052726842143</c:v>
                </c:pt>
                <c:pt idx="15">
                  <c:v>4752.4888457237039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D7-4AF0-862B-EEB83CC15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88485480"/>
        <c:axId val="688482856"/>
      </c:barChart>
      <c:lineChart>
        <c:grouping val="standard"/>
        <c:varyColors val="0"/>
        <c:ser>
          <c:idx val="1"/>
          <c:order val="1"/>
          <c:tx>
            <c:strRef>
              <c:f>'BNSF OCP'!$A$22</c:f>
              <c:strCache>
                <c:ptCount val="1"/>
                <c:pt idx="0">
                  <c:v>UNP OCP Margin (RHS)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'BNSF OCP'!$B$20:$Q$20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'BNSF OCP'!$B$22:$Q$22</c:f>
              <c:numCache>
                <c:formatCode>0%</c:formatCode>
                <c:ptCount val="16"/>
                <c:pt idx="0">
                  <c:v>6.8328716528162511E-2</c:v>
                </c:pt>
                <c:pt idx="1">
                  <c:v>8.9524150909579714E-2</c:v>
                </c:pt>
                <c:pt idx="2">
                  <c:v>0.10553198857241797</c:v>
                </c:pt>
                <c:pt idx="3">
                  <c:v>7.6054031927957427E-2</c:v>
                </c:pt>
                <c:pt idx="4">
                  <c:v>8.2707320665782888E-2</c:v>
                </c:pt>
                <c:pt idx="5">
                  <c:v>8.9420978302734627E-2</c:v>
                </c:pt>
                <c:pt idx="6">
                  <c:v>9.6910888656881411E-2</c:v>
                </c:pt>
                <c:pt idx="7">
                  <c:v>0.12220367278797997</c:v>
                </c:pt>
                <c:pt idx="8">
                  <c:v>0.10443328855264088</c:v>
                </c:pt>
                <c:pt idx="9">
                  <c:v>0.13569112879457706</c:v>
                </c:pt>
                <c:pt idx="10">
                  <c:v>0.19399703430996573</c:v>
                </c:pt>
                <c:pt idx="11">
                  <c:v>0.18904711841727995</c:v>
                </c:pt>
                <c:pt idx="12">
                  <c:v>0.2052542913081091</c:v>
                </c:pt>
                <c:pt idx="13">
                  <c:v>0.20752042688010672</c:v>
                </c:pt>
                <c:pt idx="14">
                  <c:v>0.22257369458579745</c:v>
                </c:pt>
                <c:pt idx="15">
                  <c:v>0.2506393861892583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D7-4AF0-862B-EEB83CC1586B}"/>
            </c:ext>
          </c:extLst>
        </c:ser>
        <c:ser>
          <c:idx val="3"/>
          <c:order val="3"/>
          <c:tx>
            <c:strRef>
              <c:f>'BNSF OCP'!$A$24</c:f>
              <c:strCache>
                <c:ptCount val="1"/>
                <c:pt idx="0">
                  <c:v>BNSF OCP Margin (RHS)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'BNSF OCP'!$B$20:$Q$20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'BNSF OCP'!$B$24:$Q$24</c:f>
              <c:numCache>
                <c:formatCode>0%</c:formatCode>
                <c:ptCount val="16"/>
                <c:pt idx="0">
                  <c:v>0.13829525199960588</c:v>
                </c:pt>
                <c:pt idx="1">
                  <c:v>0.12828919489330798</c:v>
                </c:pt>
                <c:pt idx="2">
                  <c:v>0.14410704854613796</c:v>
                </c:pt>
                <c:pt idx="3">
                  <c:v>0.12161298567877693</c:v>
                </c:pt>
                <c:pt idx="4">
                  <c:v>0.1153546307432588</c:v>
                </c:pt>
                <c:pt idx="5">
                  <c:v>0.13009536543105449</c:v>
                </c:pt>
                <c:pt idx="6">
                  <c:v>0.13579755998203022</c:v>
                </c:pt>
                <c:pt idx="7">
                  <c:v>0.14320737735573746</c:v>
                </c:pt>
                <c:pt idx="8">
                  <c:v>0.13076105362416435</c:v>
                </c:pt>
                <c:pt idx="9">
                  <c:v>0.15818932159501706</c:v>
                </c:pt>
                <c:pt idx="10">
                  <c:v>0.16736080925989349</c:v>
                </c:pt>
                <c:pt idx="11">
                  <c:v>0.17053673069283887</c:v>
                </c:pt>
                <c:pt idx="12">
                  <c:v>0.19041038049442588</c:v>
                </c:pt>
                <c:pt idx="13">
                  <c:v>0.19114489599199094</c:v>
                </c:pt>
                <c:pt idx="14">
                  <c:v>0.23500274378313898</c:v>
                </c:pt>
                <c:pt idx="15">
                  <c:v>0.2396736520108782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BD7-4AF0-862B-EEB83CC15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617320"/>
        <c:axId val="896619944"/>
      </c:lineChart>
      <c:catAx>
        <c:axId val="688485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688482856"/>
        <c:crosses val="autoZero"/>
        <c:auto val="1"/>
        <c:lblAlgn val="ctr"/>
        <c:lblOffset val="100"/>
        <c:noMultiLvlLbl val="0"/>
      </c:catAx>
      <c:valAx>
        <c:axId val="688482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688485480"/>
        <c:crosses val="autoZero"/>
        <c:crossBetween val="between"/>
      </c:valAx>
      <c:valAx>
        <c:axId val="89661994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896617320"/>
        <c:crosses val="max"/>
        <c:crossBetween val="between"/>
      </c:valAx>
      <c:catAx>
        <c:axId val="896617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96619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/>
              <a:t>Profits and Profitability for the Two Western Railroads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'BNSF OCP'!$H$70</c:f>
              <c:strCache>
                <c:ptCount val="1"/>
                <c:pt idx="0">
                  <c:v>UNP OCP (LHS)</c:v>
                </c:pt>
              </c:strCache>
            </c:strRef>
          </c:tx>
          <c:spPr>
            <a:solidFill>
              <a:srgbClr val="0046AD"/>
            </a:solidFill>
            <a:ln>
              <a:noFill/>
            </a:ln>
            <a:effectLst/>
          </c:spPr>
          <c:invertIfNegative val="0"/>
          <c:cat>
            <c:numRef>
              <c:f>'BNSF OCP'!$I$69:$Q$69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'BNSF OCP'!$I$70:$Q$70</c:f>
              <c:numCache>
                <c:formatCode>_(* #,##0_);_(* \(#,##0\);_(* "-"_);_(@_)</c:formatCode>
                <c:ptCount val="9"/>
                <c:pt idx="0">
                  <c:v>2196</c:v>
                </c:pt>
                <c:pt idx="1">
                  <c:v>1477</c:v>
                </c:pt>
                <c:pt idx="2">
                  <c:v>2302</c:v>
                </c:pt>
                <c:pt idx="3">
                  <c:v>3794</c:v>
                </c:pt>
                <c:pt idx="4">
                  <c:v>3956</c:v>
                </c:pt>
                <c:pt idx="5">
                  <c:v>4508</c:v>
                </c:pt>
                <c:pt idx="6">
                  <c:v>4978</c:v>
                </c:pt>
                <c:pt idx="7">
                  <c:v>4855</c:v>
                </c:pt>
                <c:pt idx="8">
                  <c:v>4998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DC-480E-BE90-4CBBE06FFCD6}"/>
            </c:ext>
          </c:extLst>
        </c:ser>
        <c:ser>
          <c:idx val="2"/>
          <c:order val="2"/>
          <c:tx>
            <c:strRef>
              <c:f>'BNSF OCP'!$H$72</c:f>
              <c:strCache>
                <c:ptCount val="1"/>
                <c:pt idx="0">
                  <c:v>BNRR OCP (LHS)</c:v>
                </c:pt>
              </c:strCache>
            </c:strRef>
          </c:tx>
          <c:spPr>
            <a:solidFill>
              <a:srgbClr val="575A5D"/>
            </a:solidFill>
            <a:ln>
              <a:noFill/>
            </a:ln>
            <a:effectLst/>
          </c:spPr>
          <c:invertIfNegative val="0"/>
          <c:cat>
            <c:numRef>
              <c:f>'BNSF OCP'!$I$69:$Q$69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'BNSF OCP'!$I$72:$Q$72</c:f>
              <c:numCache>
                <c:formatCode>_(* #,##0_);_(* \(#,##0\);_(* "-"_);_(@_)</c:formatCode>
                <c:ptCount val="9"/>
                <c:pt idx="0">
                  <c:v>2847</c:v>
                </c:pt>
                <c:pt idx="1">
                  <c:v>1954</c:v>
                </c:pt>
                <c:pt idx="2">
                  <c:v>2968</c:v>
                </c:pt>
                <c:pt idx="3">
                  <c:v>4370</c:v>
                </c:pt>
                <c:pt idx="4">
                  <c:v>4012</c:v>
                </c:pt>
                <c:pt idx="5">
                  <c:v>4237</c:v>
                </c:pt>
                <c:pt idx="6">
                  <c:v>4872.0614110960087</c:v>
                </c:pt>
                <c:pt idx="7">
                  <c:v>5979.3520282157115</c:v>
                </c:pt>
                <c:pt idx="8">
                  <c:v>5478.7607653691884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DC-480E-BE90-4CBBE06FF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88485480"/>
        <c:axId val="688482856"/>
      </c:barChart>
      <c:lineChart>
        <c:grouping val="standard"/>
        <c:varyColors val="0"/>
        <c:ser>
          <c:idx val="1"/>
          <c:order val="1"/>
          <c:tx>
            <c:strRef>
              <c:f>'BNSF OCP'!$H$71</c:f>
              <c:strCache>
                <c:ptCount val="1"/>
                <c:pt idx="0">
                  <c:v>UNP OCP Margin (RHS)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'BNSF OCP'!$I$69:$Q$69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'BNSF OCP'!$I$71:$Q$71</c:f>
              <c:numCache>
                <c:formatCode>0%</c:formatCode>
                <c:ptCount val="9"/>
                <c:pt idx="0">
                  <c:v>0.12220367278797997</c:v>
                </c:pt>
                <c:pt idx="1">
                  <c:v>0.10443328855264088</c:v>
                </c:pt>
                <c:pt idx="2">
                  <c:v>0.13569112879457706</c:v>
                </c:pt>
                <c:pt idx="3">
                  <c:v>0.19399703430996573</c:v>
                </c:pt>
                <c:pt idx="4">
                  <c:v>0.18904711841727995</c:v>
                </c:pt>
                <c:pt idx="5">
                  <c:v>0.2052542913081091</c:v>
                </c:pt>
                <c:pt idx="6">
                  <c:v>0.20752042688010672</c:v>
                </c:pt>
                <c:pt idx="7">
                  <c:v>0.22257369458579745</c:v>
                </c:pt>
                <c:pt idx="8">
                  <c:v>0.2506393861892583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DC-480E-BE90-4CBBE06FFCD6}"/>
            </c:ext>
          </c:extLst>
        </c:ser>
        <c:ser>
          <c:idx val="3"/>
          <c:order val="3"/>
          <c:tx>
            <c:strRef>
              <c:f>'BNSF OCP'!$H$73</c:f>
              <c:strCache>
                <c:ptCount val="1"/>
                <c:pt idx="0">
                  <c:v>BNRR OCP Margin (RHS)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'BNSF OCP'!$I$69:$Q$69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'BNSF OCP'!$I$73:$Q$73</c:f>
              <c:numCache>
                <c:formatCode>0%</c:formatCode>
                <c:ptCount val="9"/>
                <c:pt idx="0">
                  <c:v>0.16006071850227693</c:v>
                </c:pt>
                <c:pt idx="1">
                  <c:v>0.14110340843443098</c:v>
                </c:pt>
                <c:pt idx="2">
                  <c:v>0.17876287417936518</c:v>
                </c:pt>
                <c:pt idx="3">
                  <c:v>0.22726090800353632</c:v>
                </c:pt>
                <c:pt idx="4">
                  <c:v>0.19591757007520266</c:v>
                </c:pt>
                <c:pt idx="5">
                  <c:v>0.19659428359316999</c:v>
                </c:pt>
                <c:pt idx="6">
                  <c:v>0.21449596773338067</c:v>
                </c:pt>
                <c:pt idx="7">
                  <c:v>0.2793959173971175</c:v>
                </c:pt>
                <c:pt idx="8">
                  <c:v>0.28419757056588796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EDC-480E-BE90-4CBBE06FF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617320"/>
        <c:axId val="896619944"/>
      </c:lineChart>
      <c:catAx>
        <c:axId val="688485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688482856"/>
        <c:crosses val="autoZero"/>
        <c:auto val="1"/>
        <c:lblAlgn val="ctr"/>
        <c:lblOffset val="100"/>
        <c:noMultiLvlLbl val="0"/>
      </c:catAx>
      <c:valAx>
        <c:axId val="688482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688485480"/>
        <c:crosses val="autoZero"/>
        <c:crossBetween val="between"/>
      </c:valAx>
      <c:valAx>
        <c:axId val="89661994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896617320"/>
        <c:crosses val="max"/>
        <c:crossBetween val="between"/>
      </c:valAx>
      <c:catAx>
        <c:axId val="896617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96619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'Detailed OCP Calculations'!$A$13</c:f>
              <c:strCache>
                <c:ptCount val="1"/>
                <c:pt idx="0">
                  <c:v>Locomotives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'Detailed OCP Calculations'!$B$1:$R$1</c15:sqref>
                  </c15:fullRef>
                </c:ext>
              </c:extLst>
              <c:f>'Detailed OCP Calculations'!$H$1:$R$1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'Detailed OCP Calculations'!$B$13:$R$13</c15:sqref>
                  </c15:fullRef>
                </c:ext>
              </c:extLst>
              <c:f>'Detailed OCP Calculations'!$H$13:$R$13</c:f>
              <c:numCache>
                <c:formatCode>_(* #,##0_);_(* \(#,##0\);_(* "-"_);_(@_)</c:formatCode>
                <c:ptCount val="11"/>
                <c:pt idx="0">
                  <c:v>263</c:v>
                </c:pt>
                <c:pt idx="1">
                  <c:v>164</c:v>
                </c:pt>
                <c:pt idx="2">
                  <c:v>272</c:v>
                </c:pt>
                <c:pt idx="3">
                  <c:v>330</c:v>
                </c:pt>
                <c:pt idx="4">
                  <c:v>675</c:v>
                </c:pt>
                <c:pt idx="5">
                  <c:v>875</c:v>
                </c:pt>
                <c:pt idx="6">
                  <c:v>580</c:v>
                </c:pt>
                <c:pt idx="7">
                  <c:v>1067</c:v>
                </c:pt>
                <c:pt idx="8">
                  <c:v>1436</c:v>
                </c:pt>
                <c:pt idx="9">
                  <c:v>854</c:v>
                </c:pt>
                <c:pt idx="10">
                  <c:v>575.5799373040752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5A-44F1-9081-50548BE2AB6D}"/>
            </c:ext>
          </c:extLst>
        </c:ser>
        <c:ser>
          <c:idx val="1"/>
          <c:order val="1"/>
          <c:tx>
            <c:strRef>
              <c:f>'Detailed OCP Calculations'!$A$14</c:f>
              <c:strCache>
                <c:ptCount val="1"/>
                <c:pt idx="0">
                  <c:v>Positive train control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'Detailed OCP Calculations'!$B$1:$R$1</c15:sqref>
                  </c15:fullRef>
                </c:ext>
              </c:extLst>
              <c:f>'Detailed OCP Calculations'!$H$1:$R$1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'Detailed OCP Calculations'!$B$14:$R$14</c15:sqref>
                  </c15:fullRef>
                </c:ext>
              </c:extLst>
              <c:f>'Detailed OCP Calculations'!$H$14:$R$14</c:f>
              <c:numCache>
                <c:formatCode>_(* #,##0_);_(* \(#,##0\);_(* "-"_);_(@_)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28</c:v>
                </c:pt>
                <c:pt idx="3">
                  <c:v>84</c:v>
                </c:pt>
                <c:pt idx="4">
                  <c:v>229</c:v>
                </c:pt>
                <c:pt idx="5">
                  <c:v>349</c:v>
                </c:pt>
                <c:pt idx="6">
                  <c:v>419</c:v>
                </c:pt>
                <c:pt idx="7">
                  <c:v>384</c:v>
                </c:pt>
                <c:pt idx="8">
                  <c:v>381</c:v>
                </c:pt>
                <c:pt idx="9">
                  <c:v>371</c:v>
                </c:pt>
                <c:pt idx="10">
                  <c:v>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5A-44F1-9081-50548BE2AB6D}"/>
            </c:ext>
          </c:extLst>
        </c:ser>
        <c:ser>
          <c:idx val="2"/>
          <c:order val="2"/>
          <c:tx>
            <c:strRef>
              <c:f>'Detailed OCP Calculations'!$A$15</c:f>
              <c:strCache>
                <c:ptCount val="1"/>
                <c:pt idx="0">
                  <c:v>Technology &amp; other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'Detailed OCP Calculations'!$B$1:$R$1</c15:sqref>
                  </c15:fullRef>
                </c:ext>
              </c:extLst>
              <c:f>'Detailed OCP Calculations'!$H$1:$R$1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'Detailed OCP Calculations'!$B$15:$R$15</c15:sqref>
                  </c15:fullRef>
                </c:ext>
              </c:extLst>
              <c:f>'Detailed OCP Calculations'!$H$15:$R$15</c:f>
              <c:numCache>
                <c:formatCode>_(* #,##0_);_(* \(#,##0\);_(* "-"_);_(@_)</c:formatCode>
                <c:ptCount val="11"/>
                <c:pt idx="0">
                  <c:v>106</c:v>
                </c:pt>
                <c:pt idx="1">
                  <c:v>174</c:v>
                </c:pt>
                <c:pt idx="2">
                  <c:v>90</c:v>
                </c:pt>
                <c:pt idx="3">
                  <c:v>94</c:v>
                </c:pt>
                <c:pt idx="4">
                  <c:v>148</c:v>
                </c:pt>
                <c:pt idx="5">
                  <c:v>148</c:v>
                </c:pt>
                <c:pt idx="6">
                  <c:v>163</c:v>
                </c:pt>
                <c:pt idx="7">
                  <c:v>417</c:v>
                </c:pt>
                <c:pt idx="8">
                  <c:v>289</c:v>
                </c:pt>
                <c:pt idx="9">
                  <c:v>138</c:v>
                </c:pt>
                <c:pt idx="10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5A-44F1-9081-50548BE2A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8837376"/>
        <c:axId val="338839016"/>
      </c:lineChart>
      <c:catAx>
        <c:axId val="33883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8839016"/>
        <c:crosses val="autoZero"/>
        <c:auto val="1"/>
        <c:lblAlgn val="ctr"/>
        <c:lblOffset val="100"/>
        <c:noMultiLvlLbl val="0"/>
      </c:catAx>
      <c:valAx>
        <c:axId val="338839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8837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/>
              <a:t>Free Cash Flow to Owners and FCFO Margin for the Two Western Railroads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'BNSF OCP'!$A$27</c:f>
              <c:strCache>
                <c:ptCount val="1"/>
                <c:pt idx="0">
                  <c:v>UNP FCFO (LHS)</c:v>
                </c:pt>
              </c:strCache>
            </c:strRef>
          </c:tx>
          <c:spPr>
            <a:solidFill>
              <a:srgbClr val="0046AD"/>
            </a:solidFill>
            <a:ln>
              <a:noFill/>
            </a:ln>
            <a:effectLst/>
          </c:spPr>
          <c:invertIfNegative val="0"/>
          <c:cat>
            <c:numRef>
              <c:f>'BNSF OCP'!$B$26:$Q$26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'BNSF OCP'!$B$27:$Q$27</c:f>
              <c:numCache>
                <c:formatCode>_(* #,##0_);_(* \(#,##0\);_(* "-"_);_(@_)</c:formatCode>
                <c:ptCount val="16"/>
                <c:pt idx="0">
                  <c:v>169</c:v>
                </c:pt>
                <c:pt idx="1">
                  <c:v>379</c:v>
                </c:pt>
                <c:pt idx="2">
                  <c:v>503</c:v>
                </c:pt>
                <c:pt idx="3">
                  <c:v>381</c:v>
                </c:pt>
                <c:pt idx="4">
                  <c:v>426</c:v>
                </c:pt>
                <c:pt idx="5">
                  <c:v>638</c:v>
                </c:pt>
                <c:pt idx="6">
                  <c:v>862.89074795065994</c:v>
                </c:pt>
                <c:pt idx="7">
                  <c:v>1289.26463817893</c:v>
                </c:pt>
                <c:pt idx="8">
                  <c:v>761.97482539715998</c:v>
                </c:pt>
                <c:pt idx="9">
                  <c:v>1687.50980952384</c:v>
                </c:pt>
                <c:pt idx="10">
                  <c:v>2613.70658730173</c:v>
                </c:pt>
                <c:pt idx="11">
                  <c:v>2390.9440755200003</c:v>
                </c:pt>
                <c:pt idx="12">
                  <c:v>3256.1757130952001</c:v>
                </c:pt>
                <c:pt idx="13">
                  <c:v>2935.7487137692001</c:v>
                </c:pt>
                <c:pt idx="14">
                  <c:v>2763.6194047619101</c:v>
                </c:pt>
                <c:pt idx="15">
                  <c:v>3817.5156626984126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52-4390-A953-1AD7F81CFFB0}"/>
            </c:ext>
          </c:extLst>
        </c:ser>
        <c:ser>
          <c:idx val="2"/>
          <c:order val="2"/>
          <c:tx>
            <c:strRef>
              <c:f>'BNSF OCP'!$A$29</c:f>
              <c:strCache>
                <c:ptCount val="1"/>
                <c:pt idx="0">
                  <c:v>BNSF FCFO (LHS)</c:v>
                </c:pt>
              </c:strCache>
            </c:strRef>
          </c:tx>
          <c:spPr>
            <a:solidFill>
              <a:srgbClr val="575A5D"/>
            </a:solidFill>
            <a:ln>
              <a:noFill/>
            </a:ln>
            <a:effectLst/>
          </c:spPr>
          <c:invertIfNegative val="0"/>
          <c:cat>
            <c:numRef>
              <c:f>'BNSF OCP'!$B$26:$Q$26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'BNSF OCP'!$B$29:$Q$29</c:f>
              <c:numCache>
                <c:formatCode>_(* #,##0_);_(* \(#,##0\);_(* "-"_);_(@_)</c:formatCode>
                <c:ptCount val="16"/>
                <c:pt idx="0">
                  <c:v>738</c:v>
                </c:pt>
                <c:pt idx="1">
                  <c:v>747.99999999999989</c:v>
                </c:pt>
                <c:pt idx="2">
                  <c:v>559.00000000000011</c:v>
                </c:pt>
                <c:pt idx="3">
                  <c:v>850</c:v>
                </c:pt>
                <c:pt idx="4">
                  <c:v>859</c:v>
                </c:pt>
                <c:pt idx="5">
                  <c:v>1094</c:v>
                </c:pt>
                <c:pt idx="6">
                  <c:v>1240</c:v>
                </c:pt>
                <c:pt idx="7">
                  <c:v>1145.0000000000002</c:v>
                </c:pt>
                <c:pt idx="8">
                  <c:v>1020</c:v>
                </c:pt>
                <c:pt idx="9">
                  <c:v>1493.0000000000002</c:v>
                </c:pt>
                <c:pt idx="10">
                  <c:v>1944.0000000000002</c:v>
                </c:pt>
                <c:pt idx="11">
                  <c:v>2084</c:v>
                </c:pt>
                <c:pt idx="12">
                  <c:v>2663.0000000000005</c:v>
                </c:pt>
                <c:pt idx="13">
                  <c:v>1338</c:v>
                </c:pt>
                <c:pt idx="14">
                  <c:v>1488</c:v>
                </c:pt>
                <c:pt idx="15">
                  <c:v>3106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52-4390-A953-1AD7F81CF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88485480"/>
        <c:axId val="688482856"/>
      </c:barChart>
      <c:lineChart>
        <c:grouping val="standard"/>
        <c:varyColors val="0"/>
        <c:ser>
          <c:idx val="1"/>
          <c:order val="1"/>
          <c:tx>
            <c:strRef>
              <c:f>'BNSF OCP'!$A$28</c:f>
              <c:strCache>
                <c:ptCount val="1"/>
                <c:pt idx="0">
                  <c:v>UNP FCFO Margin (RHS)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'BNSF OCP'!$B$26:$Q$26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'BNSF OCP'!$B$28:$Q$28</c:f>
              <c:numCache>
                <c:formatCode>0%</c:formatCode>
                <c:ptCount val="16"/>
                <c:pt idx="0">
                  <c:v>1.5604801477377655E-2</c:v>
                </c:pt>
                <c:pt idx="1">
                  <c:v>3.3963616811542252E-2</c:v>
                </c:pt>
                <c:pt idx="2">
                  <c:v>4.3546013332179029E-2</c:v>
                </c:pt>
                <c:pt idx="3">
                  <c:v>3.1191158411788784E-2</c:v>
                </c:pt>
                <c:pt idx="4">
                  <c:v>3.1374281926646048E-2</c:v>
                </c:pt>
                <c:pt idx="5">
                  <c:v>4.0955193221209399E-2</c:v>
                </c:pt>
                <c:pt idx="6">
                  <c:v>5.2993351836311486E-2</c:v>
                </c:pt>
                <c:pt idx="7">
                  <c:v>7.1745388880296607E-2</c:v>
                </c:pt>
                <c:pt idx="8">
                  <c:v>5.3876463649661317E-2</c:v>
                </c:pt>
                <c:pt idx="9">
                  <c:v>9.9470074242489825E-2</c:v>
                </c:pt>
                <c:pt idx="10">
                  <c:v>0.13364557893857595</c:v>
                </c:pt>
                <c:pt idx="11">
                  <c:v>0.11425710004396446</c:v>
                </c:pt>
                <c:pt idx="12">
                  <c:v>0.14825732883008697</c:v>
                </c:pt>
                <c:pt idx="13">
                  <c:v>0.12238405510126731</c:v>
                </c:pt>
                <c:pt idx="14">
                  <c:v>0.12669597968009491</c:v>
                </c:pt>
                <c:pt idx="15">
                  <c:v>0.19144053270640451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52-4390-A953-1AD7F81CFFB0}"/>
            </c:ext>
          </c:extLst>
        </c:ser>
        <c:ser>
          <c:idx val="3"/>
          <c:order val="3"/>
          <c:tx>
            <c:strRef>
              <c:f>'BNSF OCP'!$A$30</c:f>
              <c:strCache>
                <c:ptCount val="1"/>
                <c:pt idx="0">
                  <c:v>BNSF FCFO Margin (RHS)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'BNSF OCP'!$B$26:$Q$26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'BNSF OCP'!$B$30:$Q$30</c:f>
              <c:numCache>
                <c:formatCode>0%</c:formatCode>
                <c:ptCount val="16"/>
                <c:pt idx="0">
                  <c:v>8.0147697654213729E-2</c:v>
                </c:pt>
                <c:pt idx="1">
                  <c:v>8.3305490589152459E-2</c:v>
                </c:pt>
                <c:pt idx="2">
                  <c:v>5.9385955593328391E-2</c:v>
                </c:pt>
                <c:pt idx="3">
                  <c:v>7.7653937511419691E-2</c:v>
                </c:pt>
                <c:pt idx="4">
                  <c:v>6.6143066143066143E-2</c:v>
                </c:pt>
                <c:pt idx="5">
                  <c:v>7.3006339673006335E-2</c:v>
                </c:pt>
                <c:pt idx="6">
                  <c:v>7.8471079610175923E-2</c:v>
                </c:pt>
                <c:pt idx="7">
                  <c:v>6.3547563547563565E-2</c:v>
                </c:pt>
                <c:pt idx="8">
                  <c:v>7.2773972602739725E-2</c:v>
                </c:pt>
                <c:pt idx="9">
                  <c:v>8.8605341246290811E-2</c:v>
                </c:pt>
                <c:pt idx="10">
                  <c:v>9.3304535637149036E-2</c:v>
                </c:pt>
                <c:pt idx="11">
                  <c:v>9.4667030071772504E-2</c:v>
                </c:pt>
                <c:pt idx="12">
                  <c:v>0.11459184990748313</c:v>
                </c:pt>
                <c:pt idx="13">
                  <c:v>5.7575627178450016E-2</c:v>
                </c:pt>
                <c:pt idx="14">
                  <c:v>6.773797059225202E-2</c:v>
                </c:pt>
                <c:pt idx="15">
                  <c:v>0.15663926572192244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A52-4390-A953-1AD7F81CF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617320"/>
        <c:axId val="896619944"/>
      </c:lineChart>
      <c:catAx>
        <c:axId val="688485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688482856"/>
        <c:crosses val="autoZero"/>
        <c:auto val="1"/>
        <c:lblAlgn val="ctr"/>
        <c:lblOffset val="100"/>
        <c:noMultiLvlLbl val="0"/>
      </c:catAx>
      <c:valAx>
        <c:axId val="688482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688485480"/>
        <c:crosses val="autoZero"/>
        <c:crossBetween val="between"/>
      </c:valAx>
      <c:valAx>
        <c:axId val="89661994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896617320"/>
        <c:crosses val="max"/>
        <c:crossBetween val="between"/>
      </c:valAx>
      <c:catAx>
        <c:axId val="896617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96619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/>
              <a:t>Free Cash Flow to Owners and FCFO Margin for the Two Western Railroads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'BNSF OCP'!$H$77</c:f>
              <c:strCache>
                <c:ptCount val="1"/>
                <c:pt idx="0">
                  <c:v>UNP FCFO (LHS)</c:v>
                </c:pt>
              </c:strCache>
            </c:strRef>
          </c:tx>
          <c:spPr>
            <a:solidFill>
              <a:srgbClr val="0046AD"/>
            </a:solidFill>
            <a:ln>
              <a:noFill/>
            </a:ln>
            <a:effectLst/>
          </c:spPr>
          <c:invertIfNegative val="0"/>
          <c:cat>
            <c:numRef>
              <c:f>'BNSF OCP'!$I$76:$Q$76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'BNSF OCP'!$I$77:$Q$77</c:f>
              <c:numCache>
                <c:formatCode>_(* #,##0_);_(* \(#,##0\);_(* "-"_);_(@_)</c:formatCode>
                <c:ptCount val="9"/>
                <c:pt idx="0">
                  <c:v>1289.26463817893</c:v>
                </c:pt>
                <c:pt idx="1">
                  <c:v>761.97482539715998</c:v>
                </c:pt>
                <c:pt idx="2">
                  <c:v>1687.50980952384</c:v>
                </c:pt>
                <c:pt idx="3">
                  <c:v>2613.70658730173</c:v>
                </c:pt>
                <c:pt idx="4">
                  <c:v>2390.9440755200003</c:v>
                </c:pt>
                <c:pt idx="5">
                  <c:v>3256.1757130952001</c:v>
                </c:pt>
                <c:pt idx="6">
                  <c:v>2935.7487137692001</c:v>
                </c:pt>
                <c:pt idx="7">
                  <c:v>2763.6194047619101</c:v>
                </c:pt>
                <c:pt idx="8">
                  <c:v>3817.5156626984126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B2-4B71-BE79-2ECEE78D31BF}"/>
            </c:ext>
          </c:extLst>
        </c:ser>
        <c:ser>
          <c:idx val="2"/>
          <c:order val="2"/>
          <c:tx>
            <c:strRef>
              <c:f>'BNSF OCP'!$H$79</c:f>
              <c:strCache>
                <c:ptCount val="1"/>
                <c:pt idx="0">
                  <c:v>BNRR FCFO (LHS)</c:v>
                </c:pt>
              </c:strCache>
            </c:strRef>
          </c:tx>
          <c:spPr>
            <a:solidFill>
              <a:srgbClr val="575A5D"/>
            </a:solidFill>
            <a:ln>
              <a:noFill/>
            </a:ln>
            <a:effectLst/>
          </c:spPr>
          <c:invertIfNegative val="0"/>
          <c:cat>
            <c:numRef>
              <c:f>'BNSF OCP'!$I$76:$Q$76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'BNSF OCP'!$I$79:$Q$79</c:f>
              <c:numCache>
                <c:formatCode>_(* #,##0_);_(* \(#,##0\);_(* "-"_);_(@_)</c:formatCode>
                <c:ptCount val="9"/>
                <c:pt idx="0">
                  <c:v>1412</c:v>
                </c:pt>
                <c:pt idx="1">
                  <c:v>1098</c:v>
                </c:pt>
                <c:pt idx="2">
                  <c:v>1770</c:v>
                </c:pt>
                <c:pt idx="3">
                  <c:v>2688</c:v>
                </c:pt>
                <c:pt idx="4">
                  <c:v>2222</c:v>
                </c:pt>
                <c:pt idx="5">
                  <c:v>2287</c:v>
                </c:pt>
                <c:pt idx="6">
                  <c:v>1761.9999999999995</c:v>
                </c:pt>
                <c:pt idx="7">
                  <c:v>2324</c:v>
                </c:pt>
                <c:pt idx="8">
                  <c:v>3799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B2-4B71-BE79-2ECEE78D3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88485480"/>
        <c:axId val="688482856"/>
      </c:barChart>
      <c:lineChart>
        <c:grouping val="standard"/>
        <c:varyColors val="0"/>
        <c:ser>
          <c:idx val="1"/>
          <c:order val="1"/>
          <c:tx>
            <c:strRef>
              <c:f>'BNSF OCP'!$H$78</c:f>
              <c:strCache>
                <c:ptCount val="1"/>
                <c:pt idx="0">
                  <c:v>UNP FCFO Margin (RHS)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'BNSF OCP'!$I$76:$Q$76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'BNSF OCP'!$I$78:$Q$78</c:f>
              <c:numCache>
                <c:formatCode>0%</c:formatCode>
                <c:ptCount val="9"/>
                <c:pt idx="0">
                  <c:v>7.1745388880296607E-2</c:v>
                </c:pt>
                <c:pt idx="1">
                  <c:v>5.3876463649661317E-2</c:v>
                </c:pt>
                <c:pt idx="2">
                  <c:v>9.9470074242489825E-2</c:v>
                </c:pt>
                <c:pt idx="3">
                  <c:v>0.13364557893857595</c:v>
                </c:pt>
                <c:pt idx="4">
                  <c:v>0.11425710004396446</c:v>
                </c:pt>
                <c:pt idx="5">
                  <c:v>0.14825732883008697</c:v>
                </c:pt>
                <c:pt idx="6">
                  <c:v>0.12238405510126731</c:v>
                </c:pt>
                <c:pt idx="7">
                  <c:v>0.12669597968009491</c:v>
                </c:pt>
                <c:pt idx="8">
                  <c:v>0.19144053270640451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B2-4B71-BE79-2ECEE78D31BF}"/>
            </c:ext>
          </c:extLst>
        </c:ser>
        <c:ser>
          <c:idx val="3"/>
          <c:order val="3"/>
          <c:tx>
            <c:strRef>
              <c:f>'BNSF OCP'!$H$80</c:f>
              <c:strCache>
                <c:ptCount val="1"/>
                <c:pt idx="0">
                  <c:v>BNRR FCFO Margin (RHS)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'BNSF OCP'!$I$76:$Q$76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'BNSF OCP'!$I$80:$Q$80</c:f>
              <c:numCache>
                <c:formatCode>0%</c:formatCode>
                <c:ptCount val="9"/>
                <c:pt idx="0">
                  <c:v>7.9383819643559908E-2</c:v>
                </c:pt>
                <c:pt idx="1">
                  <c:v>7.9289428076256496E-2</c:v>
                </c:pt>
                <c:pt idx="2">
                  <c:v>0.10660723965548395</c:v>
                </c:pt>
                <c:pt idx="3">
                  <c:v>0.13978886057517292</c:v>
                </c:pt>
                <c:pt idx="4">
                  <c:v>0.10850669010645571</c:v>
                </c:pt>
                <c:pt idx="5">
                  <c:v>0.10611544172234595</c:v>
                </c:pt>
                <c:pt idx="6">
                  <c:v>7.7573302808840339E-2</c:v>
                </c:pt>
                <c:pt idx="7">
                  <c:v>0.10859305639923368</c:v>
                </c:pt>
                <c:pt idx="8">
                  <c:v>0.19706401078950098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B2-4B71-BE79-2ECEE78D3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617320"/>
        <c:axId val="896619944"/>
      </c:lineChart>
      <c:catAx>
        <c:axId val="688485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688482856"/>
        <c:crosses val="autoZero"/>
        <c:auto val="1"/>
        <c:lblAlgn val="ctr"/>
        <c:lblOffset val="100"/>
        <c:noMultiLvlLbl val="0"/>
      </c:catAx>
      <c:valAx>
        <c:axId val="688482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688485480"/>
        <c:crosses val="autoZero"/>
        <c:crossBetween val="between"/>
      </c:valAx>
      <c:valAx>
        <c:axId val="89661994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896617320"/>
        <c:crosses val="max"/>
        <c:crossBetween val="between"/>
      </c:valAx>
      <c:catAx>
        <c:axId val="896617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96619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/>
              <a:t>Capital Expenditures at the two Western Railroads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'BNSF OCP'!$A$35</c:f>
              <c:strCache>
                <c:ptCount val="1"/>
                <c:pt idx="0">
                  <c:v>BNSF Total Capex</c:v>
                </c:pt>
              </c:strCache>
            </c:strRef>
          </c:tx>
          <c:spPr>
            <a:solidFill>
              <a:srgbClr val="575A5D"/>
            </a:solidFill>
            <a:ln>
              <a:noFill/>
            </a:ln>
            <a:effectLst/>
          </c:spPr>
          <c:invertIfNegative val="0"/>
          <c:cat>
            <c:numRef>
              <c:f>'BNSF OCP'!$B$26:$Q$26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'BNSF OCP'!$B$35:$Q$35</c:f>
              <c:numCache>
                <c:formatCode>_(* #,##0_);_(* \(#,##0\);_(* "-"_);_(@_)</c:formatCode>
                <c:ptCount val="16"/>
                <c:pt idx="0">
                  <c:v>-1459</c:v>
                </c:pt>
                <c:pt idx="1">
                  <c:v>-1358</c:v>
                </c:pt>
                <c:pt idx="2">
                  <c:v>-1726</c:v>
                </c:pt>
                <c:pt idx="3">
                  <c:v>-1527</c:v>
                </c:pt>
                <c:pt idx="4">
                  <c:v>-1750</c:v>
                </c:pt>
                <c:pt idx="5">
                  <c:v>-2014</c:v>
                </c:pt>
                <c:pt idx="6">
                  <c:v>-2993</c:v>
                </c:pt>
                <c:pt idx="7">
                  <c:v>-3116</c:v>
                </c:pt>
                <c:pt idx="8">
                  <c:v>-2724</c:v>
                </c:pt>
                <c:pt idx="9">
                  <c:v>-2478</c:v>
                </c:pt>
                <c:pt idx="10">
                  <c:v>-3489</c:v>
                </c:pt>
                <c:pt idx="11">
                  <c:v>-3548</c:v>
                </c:pt>
                <c:pt idx="12">
                  <c:v>-3918</c:v>
                </c:pt>
                <c:pt idx="13">
                  <c:v>-5243</c:v>
                </c:pt>
                <c:pt idx="14">
                  <c:v>-5651</c:v>
                </c:pt>
                <c:pt idx="15">
                  <c:v>-3819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A9-4CA3-8C2C-84B8EA66C971}"/>
            </c:ext>
          </c:extLst>
        </c:ser>
        <c:ser>
          <c:idx val="1"/>
          <c:order val="1"/>
          <c:tx>
            <c:strRef>
              <c:f>'BNSF OCP'!$A$36</c:f>
              <c:strCache>
                <c:ptCount val="1"/>
                <c:pt idx="0">
                  <c:v>UNP Total Capex</c:v>
                </c:pt>
              </c:strCache>
            </c:strRef>
          </c:tx>
          <c:spPr>
            <a:solidFill>
              <a:srgbClr val="0046AD"/>
            </a:solidFill>
            <a:ln>
              <a:noFill/>
            </a:ln>
            <a:effectLst/>
          </c:spPr>
          <c:invertIfNegative val="0"/>
          <c:cat>
            <c:numRef>
              <c:f>'BNSF OCP'!$B$26:$Q$26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'BNSF OCP'!$B$36:$Q$36</c:f>
              <c:numCache>
                <c:formatCode>_(* #,##0_);_(* \(#,##0\);_(* "-"_);_(@_)</c:formatCode>
                <c:ptCount val="16"/>
                <c:pt idx="0">
                  <c:v>-1696</c:v>
                </c:pt>
                <c:pt idx="1">
                  <c:v>-1820</c:v>
                </c:pt>
                <c:pt idx="2">
                  <c:v>-1940</c:v>
                </c:pt>
                <c:pt idx="3">
                  <c:v>-1876</c:v>
                </c:pt>
                <c:pt idx="4">
                  <c:v>-2169</c:v>
                </c:pt>
                <c:pt idx="5">
                  <c:v>-2242</c:v>
                </c:pt>
                <c:pt idx="6">
                  <c:v>-2496</c:v>
                </c:pt>
                <c:pt idx="7">
                  <c:v>-2754</c:v>
                </c:pt>
                <c:pt idx="8">
                  <c:v>-2354</c:v>
                </c:pt>
                <c:pt idx="9">
                  <c:v>-2482</c:v>
                </c:pt>
                <c:pt idx="10">
                  <c:v>-3176</c:v>
                </c:pt>
                <c:pt idx="11">
                  <c:v>-3738</c:v>
                </c:pt>
                <c:pt idx="12">
                  <c:v>-3496</c:v>
                </c:pt>
                <c:pt idx="13">
                  <c:v>-4346</c:v>
                </c:pt>
                <c:pt idx="14">
                  <c:v>-4650</c:v>
                </c:pt>
                <c:pt idx="15">
                  <c:v>-3505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A9-4CA3-8C2C-84B8EA66C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75550560"/>
        <c:axId val="875548592"/>
      </c:barChart>
      <c:catAx>
        <c:axId val="875550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875548592"/>
        <c:crosses val="autoZero"/>
        <c:auto val="1"/>
        <c:lblAlgn val="ctr"/>
        <c:lblOffset val="100"/>
        <c:noMultiLvlLbl val="0"/>
      </c:catAx>
      <c:valAx>
        <c:axId val="875548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875550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'BNSF OCP'!$G$42</c:f>
              <c:strCache>
                <c:ptCount val="1"/>
                <c:pt idx="0">
                  <c:v>Capex ex-Equipment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'BNSF OCP'!$H$41:$Q$41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'BNSF OCP'!$H$42:$Q$42</c:f>
              <c:numCache>
                <c:formatCode>_(* #,##0_);_(* \(#,##0\);_(* "-"_);_(@_)</c:formatCode>
                <c:ptCount val="10"/>
                <c:pt idx="0">
                  <c:v>-2248</c:v>
                </c:pt>
                <c:pt idx="1">
                  <c:v>-2167</c:v>
                </c:pt>
                <c:pt idx="2">
                  <c:v>-1991</c:v>
                </c:pt>
                <c:pt idx="3">
                  <c:v>-1966</c:v>
                </c:pt>
                <c:pt idx="4">
                  <c:v>-2726</c:v>
                </c:pt>
                <c:pt idx="5">
                  <c:v>-2596</c:v>
                </c:pt>
                <c:pt idx="6">
                  <c:v>-2975</c:v>
                </c:pt>
                <c:pt idx="7">
                  <c:v>-3734</c:v>
                </c:pt>
                <c:pt idx="8">
                  <c:v>-4425</c:v>
                </c:pt>
                <c:pt idx="9">
                  <c:v>-3205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2E-4FD9-A741-2C46DA4EE0DF}"/>
            </c:ext>
          </c:extLst>
        </c:ser>
        <c:ser>
          <c:idx val="1"/>
          <c:order val="1"/>
          <c:tx>
            <c:strRef>
              <c:f>'BNSF OCP'!$G$43</c:f>
              <c:strCache>
                <c:ptCount val="1"/>
                <c:pt idx="0">
                  <c:v>Equipment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'BNSF OCP'!$H$41:$Q$41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'BNSF OCP'!$H$43:$Q$43</c:f>
              <c:numCache>
                <c:formatCode>_(* #,##0_);_(* \(#,##0\);_(* "-"_);_(@_)</c:formatCode>
                <c:ptCount val="10"/>
                <c:pt idx="0">
                  <c:v>-745</c:v>
                </c:pt>
                <c:pt idx="1">
                  <c:v>-949</c:v>
                </c:pt>
                <c:pt idx="2">
                  <c:v>-733</c:v>
                </c:pt>
                <c:pt idx="3">
                  <c:v>-512</c:v>
                </c:pt>
                <c:pt idx="4">
                  <c:v>-763</c:v>
                </c:pt>
                <c:pt idx="5">
                  <c:v>-952</c:v>
                </c:pt>
                <c:pt idx="6">
                  <c:v>-943</c:v>
                </c:pt>
                <c:pt idx="7">
                  <c:v>-1509</c:v>
                </c:pt>
                <c:pt idx="8">
                  <c:v>-1226</c:v>
                </c:pt>
                <c:pt idx="9">
                  <c:v>-614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2E-4FD9-A741-2C46DA4EE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2367632"/>
        <c:axId val="742367960"/>
      </c:barChart>
      <c:catAx>
        <c:axId val="742367632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2367960"/>
        <c:crosses val="autoZero"/>
        <c:auto val="1"/>
        <c:lblAlgn val="ctr"/>
        <c:lblOffset val="100"/>
        <c:noMultiLvlLbl val="0"/>
      </c:catAx>
      <c:valAx>
        <c:axId val="742367960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2367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/>
              <a:t>Capital Expenditures as a Percentage of Revenues at the Two Western Railroads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'BNSF OCP'!$A$32</c:f>
              <c:strCache>
                <c:ptCount val="1"/>
                <c:pt idx="0">
                  <c:v>Burlington Northern Santa Fe</c:v>
                </c:pt>
              </c:strCache>
            </c:strRef>
          </c:tx>
          <c:spPr>
            <a:ln w="28575" cap="rnd">
              <a:solidFill>
                <a:srgbClr val="575A5D"/>
              </a:solidFill>
              <a:round/>
            </a:ln>
            <a:effectLst/>
          </c:spPr>
          <c:marker>
            <c:symbol val="none"/>
          </c:marker>
          <c:cat>
            <c:numRef>
              <c:f>'BNSF OCP'!$B$20:$Q$20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'BNSF OCP'!$B$32:$Q$32</c:f>
              <c:numCache>
                <c:formatCode>0%</c:formatCode>
                <c:ptCount val="16"/>
                <c:pt idx="0">
                  <c:v>0.15844917463075586</c:v>
                </c:pt>
                <c:pt idx="1">
                  <c:v>0.15124178639046665</c:v>
                </c:pt>
                <c:pt idx="2">
                  <c:v>0.18336343354934664</c:v>
                </c:pt>
                <c:pt idx="3">
                  <c:v>0.13950301479992691</c:v>
                </c:pt>
                <c:pt idx="4">
                  <c:v>0.13475013475013475</c:v>
                </c:pt>
                <c:pt idx="5">
                  <c:v>0.13440106773440108</c:v>
                </c:pt>
                <c:pt idx="6">
                  <c:v>0.18940640425262625</c:v>
                </c:pt>
                <c:pt idx="7">
                  <c:v>0.17293817293817293</c:v>
                </c:pt>
                <c:pt idx="8">
                  <c:v>0.19434931506849315</c:v>
                </c:pt>
                <c:pt idx="9">
                  <c:v>0.14706231454005936</c:v>
                </c:pt>
                <c:pt idx="10">
                  <c:v>0.16745860331173507</c:v>
                </c:pt>
                <c:pt idx="11">
                  <c:v>0.16117016444081039</c:v>
                </c:pt>
                <c:pt idx="12">
                  <c:v>0.16859589483196352</c:v>
                </c:pt>
                <c:pt idx="13">
                  <c:v>0.22561211756099661</c:v>
                </c:pt>
                <c:pt idx="14">
                  <c:v>0.25724951062958074</c:v>
                </c:pt>
                <c:pt idx="15">
                  <c:v>0.19259670180039337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1E-48A2-BD64-28446B2BB92A}"/>
            </c:ext>
          </c:extLst>
        </c:ser>
        <c:ser>
          <c:idx val="1"/>
          <c:order val="1"/>
          <c:tx>
            <c:strRef>
              <c:f>'BNSF OCP'!$A$33</c:f>
              <c:strCache>
                <c:ptCount val="1"/>
                <c:pt idx="0">
                  <c:v>Union Pacific</c:v>
                </c:pt>
              </c:strCache>
            </c:strRef>
          </c:tx>
          <c:spPr>
            <a:ln w="28575" cap="rnd">
              <a:solidFill>
                <a:srgbClr val="0046AD"/>
              </a:solidFill>
              <a:round/>
            </a:ln>
            <a:effectLst/>
          </c:spPr>
          <c:marker>
            <c:symbol val="none"/>
          </c:marker>
          <c:cat>
            <c:numRef>
              <c:f>'BNSF OCP'!$B$20:$Q$20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'BNSF OCP'!$B$33:$Q$33</c:f>
              <c:numCache>
                <c:formatCode>0%</c:formatCode>
                <c:ptCount val="16"/>
                <c:pt idx="0">
                  <c:v>0.15660203139427517</c:v>
                </c:pt>
                <c:pt idx="1">
                  <c:v>0.16309705170714223</c:v>
                </c:pt>
                <c:pt idx="2">
                  <c:v>0.16795082676824519</c:v>
                </c:pt>
                <c:pt idx="3">
                  <c:v>0.15358166189111747</c:v>
                </c:pt>
                <c:pt idx="4">
                  <c:v>0.15974370304904995</c:v>
                </c:pt>
                <c:pt idx="5">
                  <c:v>0.14392091410964181</c:v>
                </c:pt>
                <c:pt idx="6">
                  <c:v>0.15328870601240557</c:v>
                </c:pt>
                <c:pt idx="7">
                  <c:v>0.15325542570951586</c:v>
                </c:pt>
                <c:pt idx="8">
                  <c:v>0.16644276320441206</c:v>
                </c:pt>
                <c:pt idx="9">
                  <c:v>0.14630120837017388</c:v>
                </c:pt>
                <c:pt idx="10">
                  <c:v>0.1623970956690699</c:v>
                </c:pt>
                <c:pt idx="11">
                  <c:v>0.17862945617891618</c:v>
                </c:pt>
                <c:pt idx="12">
                  <c:v>0.15917679734098256</c:v>
                </c:pt>
                <c:pt idx="13">
                  <c:v>0.18117392029348006</c:v>
                </c:pt>
                <c:pt idx="14">
                  <c:v>0.21317562921193783</c:v>
                </c:pt>
                <c:pt idx="15">
                  <c:v>0.17576851712552027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1E-48A2-BD64-28446B2BB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1672960"/>
        <c:axId val="811669024"/>
      </c:lineChart>
      <c:catAx>
        <c:axId val="811672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811669024"/>
        <c:crosses val="autoZero"/>
        <c:auto val="1"/>
        <c:lblAlgn val="ctr"/>
        <c:lblOffset val="100"/>
        <c:noMultiLvlLbl val="0"/>
      </c:catAx>
      <c:valAx>
        <c:axId val="811669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811672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1400"/>
              <a:t>Operating Profit Margin versus Owners' Cash Profit Margin for Union Pacific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'Capex Opex data'!$A$28</c:f>
              <c:strCache>
                <c:ptCount val="1"/>
                <c:pt idx="0">
                  <c:v>Op Profit Margin</c:v>
                </c:pt>
              </c:strCache>
            </c:strRef>
          </c:tx>
          <c:spPr>
            <a:ln w="28575" cap="rnd">
              <a:solidFill>
                <a:srgbClr val="575A5D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A8-464C-B340-35474EF7EB81}"/>
                </c:ext>
              </c:extLst>
            </c:dLbl>
            <c:dLbl>
              <c:idx val="1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A8-464C-B340-35474EF7EB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'Capex Opex data'!$B$14:$Q$14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'Capex Opex data'!$B$28:$Q$28</c:f>
              <c:numCache>
                <c:formatCode>_(* #,##0.0_);_(* \(#,##0.0\);_(* "-"_);_(@_)</c:formatCode>
                <c:ptCount val="16"/>
                <c:pt idx="0">
                  <c:v>18.599999999999994</c:v>
                </c:pt>
                <c:pt idx="1">
                  <c:v>20.200000000000003</c:v>
                </c:pt>
                <c:pt idx="2">
                  <c:v>18.5</c:v>
                </c:pt>
                <c:pt idx="3">
                  <c:v>18.400000000000006</c:v>
                </c:pt>
                <c:pt idx="4">
                  <c:v>20.700000000000003</c:v>
                </c:pt>
                <c:pt idx="5">
                  <c:v>22.599999999999994</c:v>
                </c:pt>
                <c:pt idx="6">
                  <c:v>23.900000000000006</c:v>
                </c:pt>
                <c:pt idx="7">
                  <c:v>29.400000000000006</c:v>
                </c:pt>
                <c:pt idx="8">
                  <c:v>23.900000000000006</c:v>
                </c:pt>
                <c:pt idx="9">
                  <c:v>29.400000000000006</c:v>
                </c:pt>
                <c:pt idx="10">
                  <c:v>29.299999999999997</c:v>
                </c:pt>
                <c:pt idx="11">
                  <c:v>32.200000000000003</c:v>
                </c:pt>
                <c:pt idx="12">
                  <c:v>33.900000000000006</c:v>
                </c:pt>
                <c:pt idx="13">
                  <c:v>36.5</c:v>
                </c:pt>
                <c:pt idx="14">
                  <c:v>36.9</c:v>
                </c:pt>
                <c:pt idx="15">
                  <c:v>36.5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A8-464C-B340-35474EF7EB81}"/>
            </c:ext>
          </c:extLst>
        </c:ser>
        <c:ser>
          <c:idx val="1"/>
          <c:order val="1"/>
          <c:tx>
            <c:strRef>
              <c:f>'Capex Opex data'!$A$29</c:f>
              <c:strCache>
                <c:ptCount val="1"/>
                <c:pt idx="0">
                  <c:v>OCP Margin</c:v>
                </c:pt>
              </c:strCache>
            </c:strRef>
          </c:tx>
          <c:spPr>
            <a:ln w="28575" cap="rnd">
              <a:solidFill>
                <a:srgbClr val="0046AD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A8-464C-B340-35474EF7EB81}"/>
                </c:ext>
              </c:extLst>
            </c:dLbl>
            <c:dLbl>
              <c:idx val="1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A8-464C-B340-35474EF7EB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'Capex Opex data'!$B$14:$Q$14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'Capex Opex data'!$B$29:$Q$29</c:f>
              <c:numCache>
                <c:formatCode>_(* #,##0.0_);_(* \(#,##0.0\);_(* "-"_);_(@_)</c:formatCode>
                <c:ptCount val="16"/>
                <c:pt idx="0">
                  <c:v>6.8328716528162508</c:v>
                </c:pt>
                <c:pt idx="1">
                  <c:v>8.9524150909579721</c:v>
                </c:pt>
                <c:pt idx="2">
                  <c:v>10.553198857241796</c:v>
                </c:pt>
                <c:pt idx="3">
                  <c:v>7.6054031927957428</c:v>
                </c:pt>
                <c:pt idx="4">
                  <c:v>8.2707320665782884</c:v>
                </c:pt>
                <c:pt idx="5">
                  <c:v>8.9420978302734628</c:v>
                </c:pt>
                <c:pt idx="6">
                  <c:v>9.6910888656881404</c:v>
                </c:pt>
                <c:pt idx="7">
                  <c:v>12.220367278797998</c:v>
                </c:pt>
                <c:pt idx="8">
                  <c:v>10.443328855264088</c:v>
                </c:pt>
                <c:pt idx="9">
                  <c:v>13.569112879457707</c:v>
                </c:pt>
                <c:pt idx="10">
                  <c:v>19.399703430996574</c:v>
                </c:pt>
                <c:pt idx="11">
                  <c:v>18.904711841727995</c:v>
                </c:pt>
                <c:pt idx="12">
                  <c:v>20.52542913081091</c:v>
                </c:pt>
                <c:pt idx="13">
                  <c:v>20.752042688010672</c:v>
                </c:pt>
                <c:pt idx="14">
                  <c:v>22.257369458579745</c:v>
                </c:pt>
                <c:pt idx="15">
                  <c:v>25.063938618925828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A8-464C-B340-35474EF7E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4873928"/>
        <c:axId val="864872288"/>
      </c:lineChart>
      <c:catAx>
        <c:axId val="864873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864872288"/>
        <c:crosses val="autoZero"/>
        <c:auto val="1"/>
        <c:lblAlgn val="ctr"/>
        <c:lblOffset val="100"/>
        <c:noMultiLvlLbl val="0"/>
      </c:catAx>
      <c:valAx>
        <c:axId val="864872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_);_(* \(#,##0.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864873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/>
              <a:t>Union Pacific Revenue Ton-Miles by Freight Type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1"/>
          <c:order val="0"/>
          <c:tx>
            <c:strRef>
              <c:f>'Revenue Ton-Miles'!$A$2</c:f>
              <c:strCache>
                <c:ptCount val="1"/>
                <c:pt idx="0">
                  <c:v>Agricultural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'Revenue Ton-Miles'!$B$1:$K$1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'Revenue Ton-Miles'!$B$2:$K$2</c:f>
              <c:numCache>
                <c:formatCode>_(* #,##0_);_(* \(#,##0\);_(* "-"??_);_(@_)</c:formatCode>
                <c:ptCount val="10"/>
                <c:pt idx="0">
                  <c:v>80532</c:v>
                </c:pt>
                <c:pt idx="1">
                  <c:v>88588</c:v>
                </c:pt>
                <c:pt idx="2">
                  <c:v>81207</c:v>
                </c:pt>
                <c:pt idx="3">
                  <c:v>88237</c:v>
                </c:pt>
                <c:pt idx="4">
                  <c:v>88094</c:v>
                </c:pt>
                <c:pt idx="5">
                  <c:v>81407</c:v>
                </c:pt>
                <c:pt idx="6">
                  <c:v>80904</c:v>
                </c:pt>
                <c:pt idx="7">
                  <c:v>94273</c:v>
                </c:pt>
                <c:pt idx="8">
                  <c:v>89053</c:v>
                </c:pt>
                <c:pt idx="9">
                  <c:v>92244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29-4012-8295-E6F37FBF22D8}"/>
            </c:ext>
          </c:extLst>
        </c:ser>
        <c:ser>
          <c:idx val="2"/>
          <c:order val="1"/>
          <c:tx>
            <c:strRef>
              <c:f>'Revenue Ton-Miles'!$A$3</c:f>
              <c:strCache>
                <c:ptCount val="1"/>
                <c:pt idx="0">
                  <c:v>Automotive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'Revenue Ton-Miles'!$B$1:$K$1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'Revenue Ton-Miles'!$B$3:$K$3</c:f>
              <c:numCache>
                <c:formatCode>_(* #,##0_);_(* \(#,##0\);_(* "-"??_);_(@_)</c:formatCode>
                <c:ptCount val="10"/>
                <c:pt idx="0">
                  <c:v>17482</c:v>
                </c:pt>
                <c:pt idx="1">
                  <c:v>13982</c:v>
                </c:pt>
                <c:pt idx="2">
                  <c:v>9740</c:v>
                </c:pt>
                <c:pt idx="3">
                  <c:v>12542</c:v>
                </c:pt>
                <c:pt idx="4">
                  <c:v>13004</c:v>
                </c:pt>
                <c:pt idx="5">
                  <c:v>14942</c:v>
                </c:pt>
                <c:pt idx="6">
                  <c:v>16169</c:v>
                </c:pt>
                <c:pt idx="7">
                  <c:v>16797</c:v>
                </c:pt>
                <c:pt idx="8">
                  <c:v>18193</c:v>
                </c:pt>
                <c:pt idx="9">
                  <c:v>18192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29-4012-8295-E6F37FBF22D8}"/>
            </c:ext>
          </c:extLst>
        </c:ser>
        <c:ser>
          <c:idx val="3"/>
          <c:order val="2"/>
          <c:tx>
            <c:strRef>
              <c:f>'Revenue Ton-Miles'!$A$4</c:f>
              <c:strCache>
                <c:ptCount val="1"/>
                <c:pt idx="0">
                  <c:v>Chemicals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'Revenue Ton-Miles'!$B$1:$K$1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'Revenue Ton-Miles'!$B$4:$K$4</c:f>
              <c:numCache>
                <c:formatCode>_(* #,##0_);_(* \(#,##0\);_(* "-"??_);_(@_)</c:formatCode>
                <c:ptCount val="10"/>
                <c:pt idx="0">
                  <c:v>56521</c:v>
                </c:pt>
                <c:pt idx="1">
                  <c:v>54807</c:v>
                </c:pt>
                <c:pt idx="2">
                  <c:v>48055</c:v>
                </c:pt>
                <c:pt idx="3">
                  <c:v>54233</c:v>
                </c:pt>
                <c:pt idx="4">
                  <c:v>59542</c:v>
                </c:pt>
                <c:pt idx="5">
                  <c:v>68095</c:v>
                </c:pt>
                <c:pt idx="6">
                  <c:v>73963</c:v>
                </c:pt>
                <c:pt idx="7">
                  <c:v>75519</c:v>
                </c:pt>
                <c:pt idx="8">
                  <c:v>71707</c:v>
                </c:pt>
                <c:pt idx="9">
                  <c:v>66964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29-4012-8295-E6F37FBF22D8}"/>
            </c:ext>
          </c:extLst>
        </c:ser>
        <c:ser>
          <c:idx val="4"/>
          <c:order val="3"/>
          <c:tx>
            <c:strRef>
              <c:f>'Revenue Ton-Miles'!$A$5</c:f>
              <c:strCache>
                <c:ptCount val="1"/>
                <c:pt idx="0">
                  <c:v>Coal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'Revenue Ton-Miles'!$B$1:$K$1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'Revenue Ton-Miles'!$B$5:$K$5</c:f>
              <c:numCache>
                <c:formatCode>_(* #,##0_);_(* \(#,##0\);_(* "-"??_);_(@_)</c:formatCode>
                <c:ptCount val="10"/>
                <c:pt idx="0">
                  <c:v>251408</c:v>
                </c:pt>
                <c:pt idx="1">
                  <c:v>258362</c:v>
                </c:pt>
                <c:pt idx="2">
                  <c:v>218227</c:v>
                </c:pt>
                <c:pt idx="3">
                  <c:v>225583</c:v>
                </c:pt>
                <c:pt idx="4">
                  <c:v>238567</c:v>
                </c:pt>
                <c:pt idx="5">
                  <c:v>207466</c:v>
                </c:pt>
                <c:pt idx="6">
                  <c:v>186902</c:v>
                </c:pt>
                <c:pt idx="7">
                  <c:v>191359</c:v>
                </c:pt>
                <c:pt idx="8">
                  <c:v>151110</c:v>
                </c:pt>
                <c:pt idx="9">
                  <c:v>117101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29-4012-8295-E6F37FBF22D8}"/>
            </c:ext>
          </c:extLst>
        </c:ser>
        <c:ser>
          <c:idx val="5"/>
          <c:order val="4"/>
          <c:tx>
            <c:strRef>
              <c:f>'Revenue Ton-Miles'!$A$6</c:f>
              <c:strCache>
                <c:ptCount val="1"/>
                <c:pt idx="0">
                  <c:v>Industrial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'Revenue Ton-Miles'!$B$1:$K$1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'Revenue Ton-Miles'!$B$6:$K$6</c:f>
              <c:numCache>
                <c:formatCode>_(* #,##0_);_(* \(#,##0\);_(* "-"??_);_(@_)</c:formatCode>
                <c:ptCount val="10"/>
                <c:pt idx="0">
                  <c:v>75109</c:v>
                </c:pt>
                <c:pt idx="1">
                  <c:v>70714</c:v>
                </c:pt>
                <c:pt idx="2">
                  <c:v>51873</c:v>
                </c:pt>
                <c:pt idx="3">
                  <c:v>60347</c:v>
                </c:pt>
                <c:pt idx="4">
                  <c:v>66823</c:v>
                </c:pt>
                <c:pt idx="5">
                  <c:v>70924</c:v>
                </c:pt>
                <c:pt idx="6">
                  <c:v>77760</c:v>
                </c:pt>
                <c:pt idx="7">
                  <c:v>88054</c:v>
                </c:pt>
                <c:pt idx="8">
                  <c:v>75902</c:v>
                </c:pt>
                <c:pt idx="9">
                  <c:v>68579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29-4012-8295-E6F37FBF22D8}"/>
            </c:ext>
          </c:extLst>
        </c:ser>
        <c:ser>
          <c:idx val="6"/>
          <c:order val="5"/>
          <c:tx>
            <c:strRef>
              <c:f>'Revenue Ton-Miles'!$A$7</c:f>
              <c:strCache>
                <c:ptCount val="1"/>
                <c:pt idx="0">
                  <c:v>Intermodal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'Revenue Ton-Miles'!$B$1:$K$1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'Revenue Ton-Miles'!$B$7:$K$7</c:f>
              <c:numCache>
                <c:formatCode>_(* #,##0_);_(* \(#,##0\);_(* "-"??_);_(@_)</c:formatCode>
                <c:ptCount val="10"/>
                <c:pt idx="0">
                  <c:v>80793</c:v>
                </c:pt>
                <c:pt idx="1">
                  <c:v>76178</c:v>
                </c:pt>
                <c:pt idx="2">
                  <c:v>70086</c:v>
                </c:pt>
                <c:pt idx="3">
                  <c:v>79458</c:v>
                </c:pt>
                <c:pt idx="4">
                  <c:v>78367</c:v>
                </c:pt>
                <c:pt idx="5">
                  <c:v>78277</c:v>
                </c:pt>
                <c:pt idx="6">
                  <c:v>78574</c:v>
                </c:pt>
                <c:pt idx="7">
                  <c:v>83627</c:v>
                </c:pt>
                <c:pt idx="8">
                  <c:v>79070</c:v>
                </c:pt>
                <c:pt idx="9">
                  <c:v>77059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329-4012-8295-E6F37FBF2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6492648"/>
        <c:axId val="756492976"/>
      </c:areaChart>
      <c:catAx>
        <c:axId val="756492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756492976"/>
        <c:crosses val="autoZero"/>
        <c:auto val="1"/>
        <c:lblAlgn val="ctr"/>
        <c:lblOffset val="100"/>
        <c:noMultiLvlLbl val="0"/>
      </c:catAx>
      <c:valAx>
        <c:axId val="756492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7564926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'Revenue Ton-Miles'!$B$18</c:f>
              <c:strCache>
                <c:ptCount val="1"/>
                <c:pt idx="0">
                  <c:v>Union Pacific Revenue Ton-Mile 10-year CAGR (2007-2017E)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1"/>
          <c:cat>
            <c:strRef>
              <c:f>'Revenue Ton-Miles'!$A$19:$A$24</c:f>
              <c:strCache>
                <c:ptCount val="6"/>
                <c:pt idx="0">
                  <c:v>Agricultural</c:v>
                </c:pt>
                <c:pt idx="1">
                  <c:v>Automotive</c:v>
                </c:pt>
                <c:pt idx="2">
                  <c:v>Chemicals</c:v>
                </c:pt>
                <c:pt idx="3">
                  <c:v>Coal</c:v>
                </c:pt>
                <c:pt idx="4">
                  <c:v>Industrial</c:v>
                </c:pt>
                <c:pt idx="5">
                  <c:v>Intermodal</c:v>
                </c:pt>
              </c:strCache>
            </c:strRef>
          </c:cat>
          <c:val>
            <c:numRef>
              <c:f>'Revenue Ton-Miles'!$B$19:$B$24</c:f>
              <c:numCache>
                <c:formatCode>0.0%</c:formatCode>
                <c:ptCount val="6"/>
                <c:pt idx="0">
                  <c:v>1.1164028518285463E-2</c:v>
                </c:pt>
                <c:pt idx="1">
                  <c:v>4.4515732996444068E-3</c:v>
                </c:pt>
                <c:pt idx="2">
                  <c:v>1.5129500848385824E-2</c:v>
                </c:pt>
                <c:pt idx="3">
                  <c:v>-6.41687087340016E-2</c:v>
                </c:pt>
                <c:pt idx="4">
                  <c:v>9.9589313930865675E-3</c:v>
                </c:pt>
                <c:pt idx="5">
                  <c:v>-4.2468640866765162E-3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0000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0-AA4C-414B-AA6C-8457D7BF7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8915824"/>
        <c:axId val="778919760"/>
      </c:barChart>
      <c:catAx>
        <c:axId val="778915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778919760"/>
        <c:crosses val="autoZero"/>
        <c:auto val="1"/>
        <c:lblAlgn val="ctr"/>
        <c:lblOffset val="100"/>
        <c:noMultiLvlLbl val="0"/>
      </c:catAx>
      <c:valAx>
        <c:axId val="77891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778915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1400"/>
              <a:t>Year-over-Year Change in Union Pacific Revenue Ton-Miles by Freight Type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'Revenue Ton-Miles'!$B$10</c:f>
              <c:strCache>
                <c:ptCount val="1"/>
                <c:pt idx="0">
                  <c:v>Agricultural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'Revenue Ton-Miles'!$C$9:$L$9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2017E</c:v>
                </c:pt>
              </c:strCache>
            </c:strRef>
          </c:cat>
          <c:val>
            <c:numRef>
              <c:f>'Revenue Ton-Miles'!$C$10:$L$10</c:f>
              <c:numCache>
                <c:formatCode>0%</c:formatCode>
                <c:ptCount val="10"/>
                <c:pt idx="0">
                  <c:v>0.10003476878756268</c:v>
                </c:pt>
                <c:pt idx="1">
                  <c:v>-8.3318282385876241E-2</c:v>
                </c:pt>
                <c:pt idx="2">
                  <c:v>8.6568891844299056E-2</c:v>
                </c:pt>
                <c:pt idx="3">
                  <c:v>-1.6206353343835023E-3</c:v>
                </c:pt>
                <c:pt idx="4">
                  <c:v>-7.5907553295343599E-2</c:v>
                </c:pt>
                <c:pt idx="5">
                  <c:v>-6.1788298303585565E-3</c:v>
                </c:pt>
                <c:pt idx="6">
                  <c:v>0.16524522891327997</c:v>
                </c:pt>
                <c:pt idx="7">
                  <c:v>-5.5371103072990091E-2</c:v>
                </c:pt>
                <c:pt idx="8">
                  <c:v>3.5832594073192281E-2</c:v>
                </c:pt>
                <c:pt idx="9">
                  <c:v>-2.4456875243918264E-2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E5-4F5F-AAD2-E18DE9837801}"/>
            </c:ext>
          </c:extLst>
        </c:ser>
        <c:ser>
          <c:idx val="1"/>
          <c:order val="1"/>
          <c:tx>
            <c:strRef>
              <c:f>'Revenue Ton-Miles'!$B$11</c:f>
              <c:strCache>
                <c:ptCount val="1"/>
                <c:pt idx="0">
                  <c:v>Automotive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'Revenue Ton-Miles'!$C$9:$L$9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2017E</c:v>
                </c:pt>
              </c:strCache>
            </c:strRef>
          </c:cat>
          <c:val>
            <c:numRef>
              <c:f>'Revenue Ton-Miles'!$C$11:$L$11</c:f>
              <c:numCache>
                <c:formatCode>0%</c:formatCode>
                <c:ptCount val="10"/>
                <c:pt idx="0">
                  <c:v>-0.20020592609541243</c:v>
                </c:pt>
                <c:pt idx="1">
                  <c:v>-0.3033900729509369</c:v>
                </c:pt>
                <c:pt idx="2">
                  <c:v>0.28767967145790552</c:v>
                </c:pt>
                <c:pt idx="3">
                  <c:v>3.6836230266305225E-2</c:v>
                </c:pt>
                <c:pt idx="4">
                  <c:v>0.14903106736388794</c:v>
                </c:pt>
                <c:pt idx="5">
                  <c:v>8.2117521081515266E-2</c:v>
                </c:pt>
                <c:pt idx="6">
                  <c:v>3.8839755086894634E-2</c:v>
                </c:pt>
                <c:pt idx="7">
                  <c:v>8.3110079180806151E-2</c:v>
                </c:pt>
                <c:pt idx="8">
                  <c:v>-5.4966195789596384E-5</c:v>
                </c:pt>
                <c:pt idx="9">
                  <c:v>4.61741424802109E-3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E5-4F5F-AAD2-E18DE9837801}"/>
            </c:ext>
          </c:extLst>
        </c:ser>
        <c:ser>
          <c:idx val="2"/>
          <c:order val="2"/>
          <c:tx>
            <c:strRef>
              <c:f>'Revenue Ton-Miles'!$B$12</c:f>
              <c:strCache>
                <c:ptCount val="1"/>
                <c:pt idx="0">
                  <c:v>Chemicals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'Revenue Ton-Miles'!$C$9:$L$9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2017E</c:v>
                </c:pt>
              </c:strCache>
            </c:strRef>
          </c:cat>
          <c:val>
            <c:numRef>
              <c:f>'Revenue Ton-Miles'!$C$12:$L$12</c:f>
              <c:numCache>
                <c:formatCode>0%</c:formatCode>
                <c:ptCount val="10"/>
                <c:pt idx="0">
                  <c:v>-3.0325011942463842E-2</c:v>
                </c:pt>
                <c:pt idx="1">
                  <c:v>-0.12319594212418117</c:v>
                </c:pt>
                <c:pt idx="2">
                  <c:v>0.12856102382686507</c:v>
                </c:pt>
                <c:pt idx="3">
                  <c:v>9.7892427120019221E-2</c:v>
                </c:pt>
                <c:pt idx="4">
                  <c:v>0.1436465016291022</c:v>
                </c:pt>
                <c:pt idx="5">
                  <c:v>8.6173727880167306E-2</c:v>
                </c:pt>
                <c:pt idx="6">
                  <c:v>2.1037545799927004E-2</c:v>
                </c:pt>
                <c:pt idx="7">
                  <c:v>-5.0477363312543821E-2</c:v>
                </c:pt>
                <c:pt idx="8">
                  <c:v>-6.6144170025241644E-2</c:v>
                </c:pt>
                <c:pt idx="9">
                  <c:v>-1.9194393007187838E-2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E5-4F5F-AAD2-E18DE9837801}"/>
            </c:ext>
          </c:extLst>
        </c:ser>
        <c:ser>
          <c:idx val="3"/>
          <c:order val="3"/>
          <c:tx>
            <c:strRef>
              <c:f>'Revenue Ton-Miles'!$B$13</c:f>
              <c:strCache>
                <c:ptCount val="1"/>
                <c:pt idx="0">
                  <c:v>Coal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strRef>
              <c:f>'Revenue Ton-Miles'!$C$9:$L$9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2017E</c:v>
                </c:pt>
              </c:strCache>
            </c:strRef>
          </c:cat>
          <c:val>
            <c:numRef>
              <c:f>'Revenue Ton-Miles'!$C$13:$L$13</c:f>
              <c:numCache>
                <c:formatCode>0%</c:formatCode>
                <c:ptCount val="10"/>
                <c:pt idx="0">
                  <c:v>2.7660217654171815E-2</c:v>
                </c:pt>
                <c:pt idx="1">
                  <c:v>-0.15534405214389113</c:v>
                </c:pt>
                <c:pt idx="2">
                  <c:v>3.3708019630934727E-2</c:v>
                </c:pt>
                <c:pt idx="3">
                  <c:v>5.7557528714486494E-2</c:v>
                </c:pt>
                <c:pt idx="4">
                  <c:v>-0.13036589301957102</c:v>
                </c:pt>
                <c:pt idx="5">
                  <c:v>-9.9119855783598276E-2</c:v>
                </c:pt>
                <c:pt idx="6">
                  <c:v>2.384672181143066E-2</c:v>
                </c:pt>
                <c:pt idx="7">
                  <c:v>-0.21033241185415896</c:v>
                </c:pt>
                <c:pt idx="8">
                  <c:v>-0.22506121368539478</c:v>
                </c:pt>
                <c:pt idx="9">
                  <c:v>0.10609929320273381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E5-4F5F-AAD2-E18DE9837801}"/>
            </c:ext>
          </c:extLst>
        </c:ser>
        <c:ser>
          <c:idx val="4"/>
          <c:order val="4"/>
          <c:tx>
            <c:strRef>
              <c:f>'Revenue Ton-Miles'!$B$14</c:f>
              <c:strCache>
                <c:ptCount val="1"/>
                <c:pt idx="0">
                  <c:v>Industrial</c:v>
                </c:pt>
              </c:strCache>
            </c:strRef>
          </c:tx>
          <c:spPr>
            <a:ln w="28575" cap="rnd">
              <a:solidFill>
                <a:srgbClr val="0046AD"/>
              </a:solidFill>
              <a:round/>
            </a:ln>
            <a:effectLst/>
          </c:spPr>
          <c:marker>
            <c:symbol val="none"/>
          </c:marker>
          <c:cat>
            <c:strRef>
              <c:f>'Revenue Ton-Miles'!$C$9:$L$9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2017E</c:v>
                </c:pt>
              </c:strCache>
            </c:strRef>
          </c:cat>
          <c:val>
            <c:numRef>
              <c:f>'Revenue Ton-Miles'!$C$14:$L$14</c:f>
              <c:numCache>
                <c:formatCode>0%</c:formatCode>
                <c:ptCount val="10"/>
                <c:pt idx="0">
                  <c:v>-5.8514958260661221E-2</c:v>
                </c:pt>
                <c:pt idx="1">
                  <c:v>-0.26643946036145605</c:v>
                </c:pt>
                <c:pt idx="2">
                  <c:v>0.1633605151041968</c:v>
                </c:pt>
                <c:pt idx="3">
                  <c:v>0.10731270817107719</c:v>
                </c:pt>
                <c:pt idx="4">
                  <c:v>6.1371084806129517E-2</c:v>
                </c:pt>
                <c:pt idx="5">
                  <c:v>9.6384862669900206E-2</c:v>
                </c:pt>
                <c:pt idx="6">
                  <c:v>0.13238168724279831</c:v>
                </c:pt>
                <c:pt idx="7">
                  <c:v>-0.13800622345378977</c:v>
                </c:pt>
                <c:pt idx="8">
                  <c:v>-9.6479671154910296E-2</c:v>
                </c:pt>
                <c:pt idx="9">
                  <c:v>0.20931091636409582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4E5-4F5F-AAD2-E18DE9837801}"/>
            </c:ext>
          </c:extLst>
        </c:ser>
        <c:ser>
          <c:idx val="5"/>
          <c:order val="5"/>
          <c:tx>
            <c:strRef>
              <c:f>'Revenue Ton-Miles'!$B$15</c:f>
              <c:strCache>
                <c:ptCount val="1"/>
                <c:pt idx="0">
                  <c:v>Intermodal</c:v>
                </c:pt>
              </c:strCache>
            </c:strRef>
          </c:tx>
          <c:spPr>
            <a:ln w="28575" cap="rnd">
              <a:solidFill>
                <a:srgbClr val="575A5D"/>
              </a:solidFill>
              <a:round/>
            </a:ln>
            <a:effectLst/>
          </c:spPr>
          <c:marker>
            <c:symbol val="none"/>
          </c:marker>
          <c:cat>
            <c:strRef>
              <c:f>'Revenue Ton-Miles'!$C$9:$L$9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2017E</c:v>
                </c:pt>
              </c:strCache>
            </c:strRef>
          </c:cat>
          <c:val>
            <c:numRef>
              <c:f>'Revenue Ton-Miles'!$C$15:$L$15</c:f>
              <c:numCache>
                <c:formatCode>0%</c:formatCode>
                <c:ptCount val="10"/>
                <c:pt idx="0">
                  <c:v>-5.7121285259861598E-2</c:v>
                </c:pt>
                <c:pt idx="1">
                  <c:v>-7.9970595184961524E-2</c:v>
                </c:pt>
                <c:pt idx="2">
                  <c:v>0.13372142795993502</c:v>
                </c:pt>
                <c:pt idx="3">
                  <c:v>-1.3730524302147051E-2</c:v>
                </c:pt>
                <c:pt idx="4">
                  <c:v>-1.1484425842510637E-3</c:v>
                </c:pt>
                <c:pt idx="5">
                  <c:v>3.7942179695185096E-3</c:v>
                </c:pt>
                <c:pt idx="6">
                  <c:v>6.4308804439127343E-2</c:v>
                </c:pt>
                <c:pt idx="7">
                  <c:v>-5.4491970296674519E-2</c:v>
                </c:pt>
                <c:pt idx="8">
                  <c:v>-2.5433160490704432E-2</c:v>
                </c:pt>
                <c:pt idx="9">
                  <c:v>4.7712358928440057E-3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4E5-4F5F-AAD2-E18DE9837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6503472"/>
        <c:axId val="756506424"/>
      </c:lineChart>
      <c:catAx>
        <c:axId val="75650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756506424"/>
        <c:crosses val="autoZero"/>
        <c:auto val="1"/>
        <c:lblAlgn val="ctr"/>
        <c:lblOffset val="100"/>
        <c:noMultiLvlLbl val="0"/>
      </c:catAx>
      <c:valAx>
        <c:axId val="756506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75650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_xlchart.v1.0</cx:f>
      </cx:strDim>
      <cx:numDim type="val">
        <cx:f dir="row">_xlchart.v1.1</cx:f>
      </cx:numDim>
    </cx:data>
  </cx:chartData>
  <cx:chart>
    <cx:title pos="t" align="ctr" overlay="0">
      <cx:tx>
        <cx:txData>
          <cx:v>Union Pacific's Operating Profit Walk (2001-2016)</cx:v>
        </cx:txData>
      </cx:tx>
      <cx:txPr>
        <a:bodyPr vertOverflow="overflow" horzOverflow="overflow" wrap="square" lIns="0" tIns="0" rIns="0" bIns="0"/>
        <a:lstStyle/>
        <a:p>
          <a:pPr algn="ctr" rtl="0">
            <a:defRPr sz="1400" b="0">
              <a:solidFill>
                <a:sysClr val="windowText" lastClr="000000"/>
              </a:solidFill>
              <a:latin typeface="Arial Narrow" panose="020B0606020202030204" pitchFamily="34" charset="0"/>
              <a:ea typeface="Arial Narrow" panose="020B0606020202030204" pitchFamily="34" charset="0"/>
              <a:cs typeface="Arial Narrow" panose="020B0606020202030204" pitchFamily="34" charset="0"/>
            </a:defRPr>
          </a:pPr>
          <a:r>
            <a:rPr lang="en-US">
              <a:solidFill>
                <a:sysClr val="windowText" lastClr="000000"/>
              </a:solidFill>
              <a:latin typeface="Arial Narrow" panose="020B0606020202030204" pitchFamily="34" charset="0"/>
            </a:rPr>
            <a:t>Union Pacific's Operating Profit Walk (2001-2016)</a:t>
          </a:r>
        </a:p>
      </cx:txPr>
    </cx:title>
    <cx:plotArea>
      <cx:plotAreaRegion>
        <cx:series layoutId="waterfall" uniqueId="{F1608C4F-13DC-4F41-969E-E9AD6DD39A4A}">
          <cx:dataPt idx="0">
            <cx:spPr>
              <a:solidFill>
                <a:srgbClr val="575A5D"/>
              </a:solidFill>
            </cx:spPr>
          </cx:dataPt>
          <cx:dataPt idx="1">
            <cx:spPr>
              <a:solidFill>
                <a:srgbClr val="00B050"/>
              </a:solidFill>
            </cx:spPr>
          </cx:dataPt>
          <cx:dataPt idx="2">
            <cx:spPr>
              <a:solidFill>
                <a:srgbClr val="00B050"/>
              </a:solidFill>
            </cx:spPr>
          </cx:dataPt>
          <cx:dataPt idx="3">
            <cx:spPr>
              <a:solidFill>
                <a:srgbClr val="00B050"/>
              </a:solidFill>
            </cx:spPr>
          </cx:dataPt>
          <cx:dataPt idx="4">
            <cx:spPr>
              <a:solidFill>
                <a:srgbClr val="00B050"/>
              </a:solidFill>
            </cx:spPr>
          </cx:dataPt>
          <cx:dataPt idx="5">
            <cx:spPr>
              <a:solidFill>
                <a:srgbClr val="00B050"/>
              </a:solidFill>
            </cx:spPr>
          </cx:dataPt>
          <cx:dataPt idx="6">
            <cx:spPr>
              <a:solidFill>
                <a:srgbClr val="FF0000"/>
              </a:solidFill>
            </cx:spPr>
          </cx:dataPt>
          <cx:dataPt idx="7">
            <cx:spPr>
              <a:solidFill>
                <a:srgbClr val="0046AD"/>
              </a:solidFill>
            </cx:spPr>
          </cx:dataPt>
          <cx:dataLabels pos="outEnd">
            <cx:txPr>
              <a:bodyPr vertOverflow="overflow" horzOverflow="overflow" wrap="square" lIns="0" tIns="0" rIns="0" bIns="0"/>
              <a:lstStyle/>
              <a:p>
                <a:pPr algn="ctr" rtl="0">
                  <a:defRPr sz="1000" b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Arial Narrow" panose="020B0606020202030204" pitchFamily="34" charset="0"/>
                    <a:cs typeface="Arial Narrow" panose="020B0606020202030204" pitchFamily="34" charset="0"/>
                  </a:defRPr>
                </a:pPr>
                <a:endParaRPr lang="en-US" sz="1000">
                  <a:solidFill>
                    <a:sysClr val="windowText" lastClr="000000"/>
                  </a:solidFill>
                  <a:latin typeface="Arial Narrow" panose="020B0606020202030204" pitchFamily="34" charset="0"/>
                </a:endParaRPr>
              </a:p>
            </cx:txPr>
            <cx:visibility seriesName="0" categoryName="0" value="1"/>
          </cx:dataLabels>
          <cx:dataId val="0"/>
          <cx:layoutPr>
            <cx:subtotals>
              <cx:idx val="7"/>
            </cx:subtotals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sz="1000" b="0">
                <a:solidFill>
                  <a:sysClr val="windowText" lastClr="000000"/>
                </a:solidFill>
                <a:latin typeface="Arial Narrow" panose="020B0606020202030204" pitchFamily="34" charset="0"/>
                <a:ea typeface="Arial Narrow" panose="020B0606020202030204" pitchFamily="34" charset="0"/>
                <a:cs typeface="Arial Narrow" panose="020B0606020202030204" pitchFamily="34" charset="0"/>
              </a:defRPr>
            </a:pPr>
            <a:endParaRPr lang="en-US" sz="1000">
              <a:solidFill>
                <a:sysClr val="windowText" lastClr="000000"/>
              </a:solidFill>
              <a:latin typeface="Arial Narrow" panose="020B0606020202030204" pitchFamily="34" charset="0"/>
            </a:endParaRPr>
          </a:p>
        </cx:txPr>
      </cx:axis>
      <cx:axis id="1">
        <cx:valScaling/>
        <cx:tickLabels/>
        <cx:txPr>
          <a:bodyPr vertOverflow="overflow" horzOverflow="overflow" wrap="square" lIns="0" tIns="0" rIns="0" bIns="0"/>
          <a:lstStyle/>
          <a:p>
            <a:pPr algn="ctr" rtl="0">
              <a:defRPr sz="1000" b="0">
                <a:solidFill>
                  <a:sysClr val="windowText" lastClr="000000"/>
                </a:solidFill>
                <a:latin typeface="Arial Narrow" panose="020B0606020202030204" pitchFamily="34" charset="0"/>
                <a:ea typeface="Arial Narrow" panose="020B0606020202030204" pitchFamily="34" charset="0"/>
                <a:cs typeface="Arial Narrow" panose="020B0606020202030204" pitchFamily="34" charset="0"/>
              </a:defRPr>
            </a:pPr>
            <a:endParaRPr lang="en-US" sz="1000">
              <a:solidFill>
                <a:sysClr val="windowText" lastClr="000000"/>
              </a:solidFill>
              <a:latin typeface="Arial Narrow" panose="020B0606020202030204" pitchFamily="34" charset="0"/>
            </a:endParaRPr>
          </a:p>
        </cx:txPr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5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6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7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8.bin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9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0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1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2.bin"/></Relationships>
</file>

<file path=xl/chart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3.bin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4.bin"/></Relationships>
</file>

<file path=xl/chart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5.bin"/></Relationships>
</file>

<file path=xl/chart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6.bin"/></Relationships>
</file>

<file path=xl/chart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7.bin"/></Relationships>
</file>

<file path=xl/chart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8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F3D9618-5014-47B8-8A6D-98D24B9F394A}">
  <sheetPr/>
  <sheetViews>
    <sheetView zoomScale="123" workbookViewId="0" zoomToFit="1"/>
  </sheetViews>
  <pageMargins left="0.7" right="0.7" top="0.75" bottom="0.75" header="0.3" footer="0.3"/>
  <pageSetup paperSize="5" orientation="landscape" horizontalDpi="0" verticalDpi="0" r:id="rId1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60FAEED-EEE2-45E2-A631-FF7689C1B87C}">
  <sheetPr/>
  <sheetViews>
    <sheetView zoomScale="126" workbookViewId="0" zoomToFit="1"/>
  </sheetViews>
  <pageMargins left="0.7" right="0.7" top="0.75" bottom="0.75" header="0.3" footer="0.3"/>
  <pageSetup paperSize="5" orientation="landscape" horizontalDpi="0" verticalDpi="0" r:id="rId1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3F86DC9-D60E-44CD-93AE-912DE88979AC}">
  <sheetPr/>
  <sheetViews>
    <sheetView zoomScale="126" workbookViewId="0" zoomToFit="1"/>
  </sheetViews>
  <pageMargins left="0.7" right="0.7" top="0.75" bottom="0.75" header="0.3" footer="0.3"/>
  <pageSetup paperSize="5" orientation="landscape" horizontalDpi="0" verticalDpi="0" r:id="rId1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02F1B5B-E044-4AB9-9D2F-A15FD401F93D}">
  <sheetPr/>
  <sheetViews>
    <sheetView zoomScale="126" workbookViewId="0" zoomToFit="1"/>
  </sheetViews>
  <pageMargins left="0.7" right="0.7" top="0.75" bottom="0.75" header="0.3" footer="0.3"/>
  <pageSetup paperSize="5" orientation="landscape" horizontalDpi="0" verticalDpi="0" r:id="rId1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4A0F8FB-9433-4F7D-B478-C7F4CCC3C365}">
  <sheetPr/>
  <sheetViews>
    <sheetView zoomScale="126" workbookViewId="0" zoomToFit="1"/>
  </sheetViews>
  <pageMargins left="0.7" right="0.7" top="0.75" bottom="0.75" header="0.3" footer="0.3"/>
  <pageSetup paperSize="5" orientation="landscape" horizontalDpi="0" verticalDpi="0" r:id="rId1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DB0EC54-4C4C-42D3-950F-6F81DC574CFF}">
  <sheetPr/>
  <sheetViews>
    <sheetView zoomScale="126" workbookViewId="0" zoomToFit="1"/>
  </sheetViews>
  <pageMargins left="0.7" right="0.7" top="0.75" bottom="0.75" header="0.3" footer="0.3"/>
  <pageSetup paperSize="5" orientation="landscape" horizontalDpi="0" verticalDpi="0" r:id="rId1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1BEA7C5-7435-4495-9AAD-B856EED7B654}">
  <sheetPr/>
  <sheetViews>
    <sheetView zoomScale="123" workbookViewId="0" zoomToFit="1"/>
  </sheetViews>
  <pageMargins left="0.7" right="0.7" top="0.75" bottom="0.75" header="0.3" footer="0.3"/>
  <pageSetup paperSize="5" orientation="landscape" horizontalDpi="0" verticalDpi="0" r:id="rId1"/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DA717BB-820E-4569-AC28-819106C05DF2}">
  <sheetPr/>
  <sheetViews>
    <sheetView zoomScale="123" workbookViewId="0" zoomToFit="1"/>
  </sheetViews>
  <pageMargins left="0.7" right="0.7" top="0.75" bottom="0.75" header="0.3" footer="0.3"/>
  <pageSetup paperSize="5" orientation="landscape" horizontalDpi="0" verticalDpi="0" r:id="rId1"/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A180685-58D7-44B2-9ABC-ED163B060DB1}">
  <sheetPr/>
  <sheetViews>
    <sheetView zoomScale="123" workbookViewId="0" zoomToFit="1"/>
  </sheetViews>
  <pageMargins left="0.7" right="0.7" top="0.75" bottom="0.75" header="0.3" footer="0.3"/>
  <pageSetup paperSize="5" orientation="landscape" horizontalDpi="0" verticalDpi="0" r:id="rId1"/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4D44F2A-44B9-42B8-96B9-5F36E1E8B4DE}">
  <sheetPr/>
  <sheetViews>
    <sheetView zoomScale="123" workbookViewId="0" zoomToFit="1"/>
  </sheetViews>
  <pageMargins left="0.7" right="0.7" top="0.75" bottom="0.75" header="0.3" footer="0.3"/>
  <pageSetup paperSize="5" orientation="landscape" horizontalDpi="0" verticalDpi="0" r:id="rId1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5AAD805-7929-47F2-90FE-8C2E15EBF667}">
  <sheetPr/>
  <sheetViews>
    <sheetView zoomScale="126" workbookViewId="0" zoomToFit="1"/>
  </sheetViews>
  <pageMargins left="0.7" right="0.7" top="0.75" bottom="0.75" header="0.3" footer="0.3"/>
  <pageSetup paperSize="5" orientation="landscape" horizontalDpi="0" verticalDpi="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FFEFDB4-2937-43B7-B5F2-AB1BD8D04D1F}">
  <sheetPr/>
  <sheetViews>
    <sheetView zoomScale="123" workbookViewId="0" zoomToFit="1"/>
  </sheetViews>
  <pageMargins left="0.7" right="0.7" top="0.75" bottom="0.75" header="0.3" footer="0.3"/>
  <pageSetup paperSize="5" orientation="landscape" horizontalDpi="0" verticalDpi="0" r:id="rId1"/>
  <drawing r:id="rId2"/>
</chartsheet>
</file>

<file path=xl/chartsheets/sheet2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A49F67E-CF80-47F0-B72A-30A8C836AD64}">
  <sheetPr/>
  <sheetViews>
    <sheetView zoomScale="123" workbookViewId="0" zoomToFit="1"/>
  </sheetViews>
  <pageMargins left="0.7" right="0.7" top="0.75" bottom="0.75" header="0.3" footer="0.3"/>
  <pageSetup paperSize="5" orientation="landscape" horizontalDpi="0" verticalDpi="0" r:id="rId1"/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72C34A3-46A5-46AB-B686-D317AAC6B725}">
  <sheetPr/>
  <sheetViews>
    <sheetView zoomScale="123" workbookViewId="0" zoomToFit="1"/>
  </sheetViews>
  <pageMargins left="0.7" right="0.7" top="0.75" bottom="0.75" header="0.3" footer="0.3"/>
  <pageSetup paperSize="5" orientation="landscape" horizontalDpi="0" verticalDpi="0" r:id="rId1"/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A49C681-8842-4590-A12F-149D4AB925A2}">
  <sheetPr/>
  <sheetViews>
    <sheetView zoomScale="123" workbookViewId="0" zoomToFit="1"/>
  </sheetViews>
  <pageMargins left="0.7" right="0.7" top="0.75" bottom="0.75" header="0.3" footer="0.3"/>
  <pageSetup paperSize="5" orientation="landscape" horizontalDpi="0" verticalDpi="0" r:id="rId1"/>
  <drawing r:id="rId2"/>
</chartsheet>
</file>

<file path=xl/chartsheets/sheet2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BE1E12B-CF83-463F-BC24-077B538C5A83}">
  <sheetPr/>
  <sheetViews>
    <sheetView zoomScale="126" workbookViewId="0" zoomToFit="1"/>
  </sheetViews>
  <pageMargins left="0.7" right="0.7" top="0.75" bottom="0.75" header="0.3" footer="0.3"/>
  <pageSetup paperSize="5" orientation="landscape" horizontalDpi="0" verticalDpi="0" r:id="rId1"/>
  <drawing r:id="rId2"/>
</chartsheet>
</file>

<file path=xl/chartsheets/sheet2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387A34C-B5A1-465F-B557-038B51074426}">
  <sheetPr/>
  <sheetViews>
    <sheetView zoomScale="126" workbookViewId="0" zoomToFit="1"/>
  </sheetViews>
  <pageMargins left="0.7" right="0.7" top="0.75" bottom="0.75" header="0.3" footer="0.3"/>
  <pageSetup paperSize="5" orientation="landscape" horizontalDpi="0" verticalDpi="0" r:id="rId1"/>
  <drawing r:id="rId2"/>
</chartsheet>
</file>

<file path=xl/chartsheets/sheet2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3C850A3-1E91-43E1-AF2A-D0BE543D1237}">
  <sheetPr/>
  <sheetViews>
    <sheetView zoomScale="126" workbookViewId="0" zoomToFit="1"/>
  </sheetViews>
  <pageMargins left="0.7" right="0.7" top="0.75" bottom="0.75" header="0.3" footer="0.3"/>
  <pageSetup paperSize="5" orientation="landscape" horizontalDpi="0" verticalDpi="0" r:id="rId1"/>
  <drawing r:id="rId2"/>
</chartsheet>
</file>

<file path=xl/chartsheets/sheet2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73ADAE3-31E9-45A1-86D7-B5565B6CC475}">
  <sheetPr/>
  <sheetViews>
    <sheetView zoomScale="126" workbookViewId="0" zoomToFit="1"/>
  </sheetViews>
  <pageMargins left="0.7" right="0.7" top="0.75" bottom="0.75" header="0.3" footer="0.3"/>
  <pageSetup paperSize="5" orientation="landscape" horizontalDpi="0" verticalDpi="0" r:id="rId1"/>
  <drawing r:id="rId2"/>
</chartsheet>
</file>

<file path=xl/chartsheets/sheet2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CA9300C-0C48-4B73-9805-2050126AD079}">
  <sheetPr/>
  <sheetViews>
    <sheetView zoomScale="123" workbookViewId="0" zoomToFit="1"/>
  </sheetViews>
  <pageMargins left="0.7" right="0.7" top="0.75" bottom="0.75" header="0.3" footer="0.3"/>
  <pageSetup paperSize="5" orientation="landscape" horizontalDpi="0" verticalDpi="0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1D8D1CE-9AC8-4480-B38A-970267C5C5D8}">
  <sheetPr/>
  <sheetViews>
    <sheetView zoomScale="123" workbookViewId="0" zoomToFit="1"/>
  </sheetViews>
  <pageMargins left="0.7" right="0.7" top="0.75" bottom="0.75" header="0.3" footer="0.3"/>
  <pageSetup paperSize="5" orientation="landscape" horizontalDpi="0" verticalDpi="0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E069404-8FD6-43D0-BAA5-F03FC17CC7A4}">
  <sheetPr/>
  <sheetViews>
    <sheetView zoomScale="126" workbookViewId="0" zoomToFit="1"/>
  </sheetViews>
  <pageMargins left="0.7" right="0.7" top="0.75" bottom="0.75" header="0.3" footer="0.3"/>
  <pageSetup paperSize="5" orientation="landscape" horizontalDpi="0" verticalDpi="0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1E63AFE-E8F4-4821-87E9-91CD22C83837}">
  <sheetPr/>
  <sheetViews>
    <sheetView zoomScale="126" workbookViewId="0" zoomToFit="1"/>
  </sheetViews>
  <pageMargins left="0.7" right="0.7" top="0.75" bottom="0.75" header="0.3" footer="0.3"/>
  <pageSetup paperSize="5" orientation="landscape" horizontalDpi="0" verticalDpi="0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D111322-18F1-4033-9486-E0DB0F1B516B}">
  <sheetPr/>
  <sheetViews>
    <sheetView zoomScale="126" workbookViewId="0" zoomToFit="1"/>
  </sheetViews>
  <pageMargins left="0.7" right="0.7" top="0.75" bottom="0.75" header="0.3" footer="0.3"/>
  <pageSetup paperSize="5" orientation="landscape" horizontalDpi="0" verticalDpi="0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E666982-B41B-43A7-AF39-426708A8775E}">
  <sheetPr/>
  <sheetViews>
    <sheetView zoomScale="126" workbookViewId="0" zoomToFit="1"/>
  </sheetViews>
  <pageMargins left="0.7" right="0.7" top="0.75" bottom="0.75" header="0.3" footer="0.3"/>
  <pageSetup paperSize="5" orientation="landscape" horizontalDpi="0" verticalDpi="0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C1057DC-0E6A-4FE3-B7F9-962A5346E6D3}">
  <sheetPr/>
  <sheetViews>
    <sheetView zoomScale="123" workbookViewId="0" zoomToFit="1"/>
  </sheetViews>
  <pageMargins left="0.7" right="0.7" top="0.75" bottom="0.75" header="0.3" footer="0.3"/>
  <pageSetup paperSize="5" orientation="landscape" horizontalDpi="0" verticalDpi="0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450DB45-2D01-48A2-9C33-F09B4E6069AB}">
  <sheetPr/>
  <sheetViews>
    <sheetView zoomScale="126" workbookViewId="0" zoomToFit="1"/>
  </sheetViews>
  <pageMargins left="0.7" right="0.7" top="0.75" bottom="0.75" header="0.3" footer="0.3"/>
  <pageSetup paperSize="5" orientation="landscape" horizontalDpi="0" verticalDpi="0" r:id="rId1"/>
  <drawing r:id="rId2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microsoft.com/office/2014/relationships/chartEx" Target="../charts/chartEx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371475</xdr:colOff>
      <xdr:row>66</xdr:row>
      <xdr:rowOff>80962</xdr:rowOff>
    </xdr:from>
    <xdr:to>
      <xdr:col>19</xdr:col>
      <xdr:colOff>523875</xdr:colOff>
      <xdr:row>80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4961D3-8685-4050-A304-3B857618D1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247650</xdr:colOff>
      <xdr:row>58</xdr:row>
      <xdr:rowOff>166687</xdr:rowOff>
    </xdr:from>
    <xdr:to>
      <xdr:col>27</xdr:col>
      <xdr:colOff>552450</xdr:colOff>
      <xdr:row>73</xdr:row>
      <xdr:rowOff>52387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AC5D19B-1C44-4437-B07A-649609A063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571506</xdr:colOff>
      <xdr:row>91</xdr:row>
      <xdr:rowOff>0</xdr:rowOff>
    </xdr:from>
    <xdr:to>
      <xdr:col>19</xdr:col>
      <xdr:colOff>114306</xdr:colOff>
      <xdr:row>105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B85C976-BE9A-496B-860F-C82B4279BE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20</xdr:col>
      <xdr:colOff>0</xdr:colOff>
      <xdr:row>12</xdr:row>
      <xdr:rowOff>0</xdr:rowOff>
    </xdr:from>
    <xdr:to>
      <xdr:col>32</xdr:col>
      <xdr:colOff>445681</xdr:colOff>
      <xdr:row>33</xdr:row>
      <xdr:rowOff>78077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AA9ADD6-BA3E-4B16-8A6F-DBEF03BC80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935075" y="2286000"/>
          <a:ext cx="7760881" cy="407857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11399762" cy="628196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61F4C7-F8E6-45DB-ACA6-169B46F0F28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11399762" cy="628196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81FFCA1-FA72-45E2-824D-938EEB9382B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11399762" cy="628196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087E197-B326-4F51-B4B8-59DB2044E56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11414512" cy="62957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D2E1941-4F35-4407-BDB9-158D9F90E2F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1399762" cy="628196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27A2FA-1E08-4A77-A609-A8760406E19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1399762" cy="628196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D4203DD-E654-4306-BE0E-273F945CBF1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1399762" cy="628196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BE610AB-F41A-4BA1-9BFC-76AAB2FDE8C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11399762" cy="628196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EC6894A-63B6-4C13-BE34-AE8A3990F4E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11399762" cy="6281964"/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696BBA41-7237-456E-A13F-1CB07FBB3DB0}"/>
                </a:ext>
              </a:extLst>
            </xdr:cNvPr>
            <xdr:cNvGraphicFramePr>
              <a:graphicFrameLocks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graphicFrame macro="">
          <xdr:nvGraphicFramePr>
            <xdr:cNvPr id="0" name=""/>
            <xdr:cNvGraphicFramePr/>
          </xdr:nvGraphicFramePr>
          <xdr:xfrm>
            <a:off x="0" y="0"/>
            <a:ext cx="0" cy="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</mc:Fallback>
    </mc:AlternateContent>
    <xdr:clientData/>
  </xdr:absolute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1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72B23498-D9DB-47D0-8F1C-99E88171C74D}"/>
            </a:ext>
          </a:extLst>
        </cdr:cNvPr>
        <cdr:cNvSpPr>
          <a:spLocks xmlns:a="http://schemas.openxmlformats.org/drawingml/2006/main" noTextEdit="1"/>
        </cdr:cNvSpPr>
      </cdr:nvSpPr>
      <cdr:spPr>
        <a:xfrm xmlns:a="http://schemas.openxmlformats.org/drawingml/2006/main">
          <a:off x="0" y="0"/>
          <a:ext cx="11399762" cy="6281964"/>
        </a:xfrm>
        <a:prstGeom xmlns:a="http://schemas.openxmlformats.org/drawingml/2006/main" prst="rect">
          <a:avLst/>
        </a:prstGeom>
        <a:solidFill xmlns:a="http://schemas.openxmlformats.org/drawingml/2006/main">
          <a:prstClr val="white"/>
        </a:solidFill>
        <a:ln xmlns:a="http://schemas.openxmlformats.org/drawingml/2006/main" w="1">
          <a:solidFill>
            <a:prstClr val="green"/>
          </a:solidFill>
        </a:ln>
      </cdr:spPr>
      <cdr:txBody>
        <a:bodyPr xmlns:a="http://schemas.openxmlformats.org/drawingml/2006/main" vertOverflow="clip" horzOverflow="clip"/>
        <a:lstStyle xmlns:a="http://schemas.openxmlformats.org/drawingml/2006/main"/>
        <a:p xmlns:a="http://schemas.openxmlformats.org/drawingml/2006/main">
          <a:r>
            <a:rPr lang="en-US" sz="1100"/>
            <a:t>This chart isn't available in your version of Excel.
Editing this shape or saving this workbook into a different file format will permanently break the chart.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172271</xdr:colOff>
      <xdr:row>1</xdr:row>
      <xdr:rowOff>9525</xdr:rowOff>
    </xdr:from>
    <xdr:to>
      <xdr:col>26</xdr:col>
      <xdr:colOff>8300</xdr:colOff>
      <xdr:row>22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10BBC3-5B1F-46E1-B9BC-8806FA951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82971" y="200025"/>
          <a:ext cx="7760829" cy="407670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11399762" cy="628196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37C5AB-71B6-495E-9AC2-075B94BDA5E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1414512" cy="62957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5A7B51-8254-45FB-B5BE-889F4AE67FA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11414512" cy="62957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996BB27-066F-4537-A03D-8004C9DD580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11414512" cy="62957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696F590-C3AC-4341-B048-B947034BAA9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11414512" cy="62957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0F97F06-E425-4BC8-B313-707A7278C1E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11403542" cy="628385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208C7C9-AC70-474C-8F1B-6D55B248BFC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0" y="0"/>
    <xdr:ext cx="11430000" cy="630858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DADCE74-CA8D-4E19-BBCA-DF86E0ED15A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11414512" cy="62957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CC2EAA4-5DB7-4D5F-B422-5DAD3408FF3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xdr:wsDr xmlns:xdr="http://schemas.openxmlformats.org/drawingml/2006/spreadsheetDrawing" xmlns:a="http://schemas.openxmlformats.org/drawingml/2006/main">
  <xdr:absoluteAnchor>
    <xdr:pos x="0" y="0"/>
    <xdr:ext cx="11414512" cy="62957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A6AFA87-1FE2-48B1-B86B-7B3210283AB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11399762" cy="628196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9DEF21-AC53-4398-8704-88989FAF407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461962</xdr:colOff>
      <xdr:row>34</xdr:row>
      <xdr:rowOff>133350</xdr:rowOff>
    </xdr:from>
    <xdr:to>
      <xdr:col>24</xdr:col>
      <xdr:colOff>500062</xdr:colOff>
      <xdr:row>49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52D679F-7140-4D9B-A192-D08E329655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absoluteAnchor>
    <xdr:pos x="0" y="0"/>
    <xdr:ext cx="11393365" cy="627673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122933F-C40B-40CF-A4B0-D724B295BF5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11393365" cy="627673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8297E0A-B26C-45AE-8EE6-57A54D6BE42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xdr:wsDr xmlns:xdr="http://schemas.openxmlformats.org/drawingml/2006/spreadsheetDrawing" xmlns:a="http://schemas.openxmlformats.org/drawingml/2006/main">
  <xdr:absoluteAnchor>
    <xdr:pos x="0" y="0"/>
    <xdr:ext cx="11393365" cy="627673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15772C0-CC90-47D8-B7E1-48F53C4F3A8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11414512" cy="62957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6C18CB3-FA6A-4D76-A0F4-DA19E949086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0.85588</cdr:x>
      <cdr:y>0.01914</cdr:y>
    </cdr:from>
    <cdr:to>
      <cdr:x>0.98833</cdr:x>
      <cdr:y>0.09176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45D6FBFB-77B8-4AF8-A99E-64FB37DD880A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769397" y="120495"/>
          <a:ext cx="1511936" cy="457200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11414512" cy="62957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66FA62-4B45-4578-8BFC-EC9B7D3D6BB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0.85414</cdr:x>
      <cdr:y>0.02583</cdr:y>
    </cdr:from>
    <cdr:to>
      <cdr:x>0.9866</cdr:x>
      <cdr:y>0.09845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45671A17-6CF7-43F3-BBCB-C6EE95B5EC6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749574" y="162622"/>
          <a:ext cx="1511936" cy="457200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11414512" cy="62957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29AFD0-5950-4C22-B5A8-CD696B09B8E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278605</xdr:colOff>
      <xdr:row>9</xdr:row>
      <xdr:rowOff>61912</xdr:rowOff>
    </xdr:from>
    <xdr:to>
      <xdr:col>23</xdr:col>
      <xdr:colOff>316705</xdr:colOff>
      <xdr:row>24</xdr:row>
      <xdr:rowOff>90487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D2B0FFB-637C-489E-A9D8-27A10177AA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11414512" cy="62957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D099A9D-1681-42E4-A8F8-116104FAD5A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11399762" cy="628196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0DFC780-2AC1-4DAE-AB13-2A7F73CC2E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23532-4034-4EA9-911A-18CDDA7192A7}">
  <dimension ref="A1:S66"/>
  <sheetViews>
    <sheetView workbookViewId="0">
      <pane xSplit="1" ySplit="1" topLeftCell="B21" activePane="bottomRight" state="frozen"/>
      <selection activeCell="N88" sqref="N88:Q88"/>
      <selection pane="topRight" activeCell="N88" sqref="N88:Q88"/>
      <selection pane="bottomLeft" activeCell="N88" sqref="N88:Q88"/>
      <selection pane="bottomRight" activeCell="B44" sqref="B44:R44"/>
    </sheetView>
  </sheetViews>
  <sheetFormatPr defaultRowHeight="15" x14ac:dyDescent="0.25"/>
  <cols>
    <col min="1" max="1" width="35.28515625" bestFit="1" customWidth="1"/>
    <col min="19" max="19" width="9.42578125" bestFit="1" customWidth="1"/>
  </cols>
  <sheetData>
    <row r="1" spans="1:18" x14ac:dyDescent="0.25">
      <c r="B1">
        <v>2001</v>
      </c>
      <c r="C1">
        <v>2002</v>
      </c>
      <c r="D1">
        <v>2003</v>
      </c>
      <c r="E1">
        <v>2004</v>
      </c>
      <c r="F1">
        <v>2005</v>
      </c>
      <c r="G1">
        <v>2006</v>
      </c>
      <c r="H1">
        <v>2007</v>
      </c>
      <c r="I1">
        <v>2008</v>
      </c>
      <c r="J1">
        <v>2009</v>
      </c>
      <c r="K1">
        <v>2010</v>
      </c>
      <c r="L1">
        <v>2011</v>
      </c>
      <c r="M1">
        <v>2012</v>
      </c>
      <c r="N1">
        <v>2013</v>
      </c>
      <c r="O1">
        <v>2014</v>
      </c>
      <c r="P1">
        <v>2015</v>
      </c>
      <c r="Q1">
        <v>2016</v>
      </c>
      <c r="R1">
        <v>2017</v>
      </c>
    </row>
    <row r="2" spans="1:18" x14ac:dyDescent="0.25">
      <c r="A2" s="4" t="s">
        <v>17</v>
      </c>
      <c r="B2" s="5">
        <v>10830</v>
      </c>
      <c r="C2" s="5">
        <v>11159</v>
      </c>
      <c r="D2" s="5">
        <v>11551</v>
      </c>
      <c r="E2" s="5">
        <v>12215</v>
      </c>
      <c r="F2" s="5">
        <v>13578</v>
      </c>
      <c r="G2" s="5">
        <v>15578</v>
      </c>
      <c r="H2" s="5">
        <v>16283</v>
      </c>
      <c r="I2" s="5">
        <v>17970</v>
      </c>
      <c r="J2" s="5">
        <v>14143</v>
      </c>
      <c r="K2" s="5">
        <v>16965</v>
      </c>
      <c r="L2" s="5">
        <v>19557</v>
      </c>
      <c r="M2" s="5">
        <v>20926</v>
      </c>
      <c r="N2" s="5">
        <v>21963</v>
      </c>
      <c r="O2" s="5">
        <v>23988</v>
      </c>
      <c r="P2" s="5">
        <v>21813</v>
      </c>
      <c r="Q2" s="5">
        <v>19941</v>
      </c>
      <c r="R2" s="8">
        <v>21388</v>
      </c>
    </row>
    <row r="3" spans="1:18" s="22" customFormat="1" x14ac:dyDescent="0.25">
      <c r="A3" s="4"/>
      <c r="B3" s="5"/>
      <c r="C3" s="5"/>
      <c r="D3" s="5"/>
      <c r="E3" s="5"/>
      <c r="F3" s="5"/>
      <c r="G3" s="10">
        <f>(G2/B2)^0.2-1</f>
        <v>7.5416383740059212E-2</v>
      </c>
      <c r="H3" s="10">
        <f t="shared" ref="H3:R3" si="0">(H2/C2)^0.2-1</f>
        <v>7.850417107298302E-2</v>
      </c>
      <c r="I3" s="10">
        <f t="shared" si="0"/>
        <v>9.2410079490619523E-2</v>
      </c>
      <c r="J3" s="10">
        <f t="shared" si="0"/>
        <v>2.9744815357398258E-2</v>
      </c>
      <c r="K3" s="10">
        <f t="shared" si="0"/>
        <v>4.5547124449407006E-2</v>
      </c>
      <c r="L3" s="10">
        <f t="shared" si="0"/>
        <v>4.6545482211778788E-2</v>
      </c>
      <c r="M3" s="10">
        <f t="shared" si="0"/>
        <v>5.1454198787619143E-2</v>
      </c>
      <c r="N3" s="10">
        <f t="shared" si="0"/>
        <v>4.0947237288830873E-2</v>
      </c>
      <c r="O3" s="10">
        <f t="shared" si="0"/>
        <v>0.11145145766629527</v>
      </c>
      <c r="P3" s="10">
        <f t="shared" si="0"/>
        <v>5.1555761113761811E-2</v>
      </c>
      <c r="Q3" s="10">
        <f t="shared" si="0"/>
        <v>3.896498712171903E-3</v>
      </c>
      <c r="R3" s="10">
        <f t="shared" si="0"/>
        <v>4.3770739520341273E-3</v>
      </c>
    </row>
    <row r="4" spans="1:18" s="22" customFormat="1" x14ac:dyDescent="0.25">
      <c r="A4" s="31" t="s">
        <v>48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</row>
    <row r="5" spans="1:18" x14ac:dyDescent="0.25">
      <c r="A5" s="2" t="s">
        <v>0</v>
      </c>
      <c r="B5" s="5"/>
      <c r="C5" s="5"/>
      <c r="D5" s="5"/>
      <c r="E5" s="5"/>
      <c r="F5" s="5"/>
      <c r="G5" s="5"/>
      <c r="H5" s="5">
        <v>628</v>
      </c>
      <c r="I5" s="5">
        <v>620</v>
      </c>
      <c r="J5" s="5">
        <v>614</v>
      </c>
      <c r="K5" s="5">
        <v>626</v>
      </c>
      <c r="L5" s="5">
        <v>697</v>
      </c>
      <c r="M5" s="5">
        <v>759</v>
      </c>
      <c r="N5" s="5">
        <v>743</v>
      </c>
      <c r="O5" s="5">
        <v>749</v>
      </c>
      <c r="P5" s="5">
        <v>734</v>
      </c>
      <c r="Q5" s="5">
        <v>628</v>
      </c>
      <c r="R5" s="5"/>
    </row>
    <row r="6" spans="1:18" x14ac:dyDescent="0.25">
      <c r="A6" s="2" t="s">
        <v>1</v>
      </c>
      <c r="B6" s="5"/>
      <c r="C6" s="5"/>
      <c r="D6" s="5"/>
      <c r="E6" s="5"/>
      <c r="F6" s="5"/>
      <c r="G6" s="5"/>
      <c r="H6" s="5">
        <v>404</v>
      </c>
      <c r="I6" s="5">
        <v>425</v>
      </c>
      <c r="J6" s="5">
        <v>449</v>
      </c>
      <c r="K6" s="5">
        <v>444</v>
      </c>
      <c r="L6" s="5">
        <v>403</v>
      </c>
      <c r="M6" s="5">
        <v>434</v>
      </c>
      <c r="N6" s="5">
        <v>438</v>
      </c>
      <c r="O6" s="5">
        <v>415</v>
      </c>
      <c r="P6" s="5">
        <v>455</v>
      </c>
      <c r="Q6" s="5">
        <v>494</v>
      </c>
      <c r="R6" s="5"/>
    </row>
    <row r="7" spans="1:18" x14ac:dyDescent="0.25">
      <c r="A7" s="2" t="s">
        <v>2</v>
      </c>
      <c r="B7" s="5"/>
      <c r="C7" s="5"/>
      <c r="D7" s="5"/>
      <c r="E7" s="5"/>
      <c r="F7" s="5"/>
      <c r="G7" s="5"/>
      <c r="H7" s="5">
        <v>206</v>
      </c>
      <c r="I7" s="5">
        <v>243</v>
      </c>
      <c r="J7" s="5">
        <v>208</v>
      </c>
      <c r="K7" s="5">
        <v>190</v>
      </c>
      <c r="L7" s="5">
        <v>220</v>
      </c>
      <c r="M7" s="5">
        <v>203</v>
      </c>
      <c r="N7" s="5">
        <v>226</v>
      </c>
      <c r="O7" s="5">
        <v>204</v>
      </c>
      <c r="P7" s="5">
        <v>233</v>
      </c>
      <c r="Q7" s="5">
        <v>235</v>
      </c>
      <c r="R7" s="5"/>
    </row>
    <row r="8" spans="1:18" x14ac:dyDescent="0.25">
      <c r="A8" s="2" t="s">
        <v>3</v>
      </c>
      <c r="B8" s="5"/>
      <c r="C8" s="5"/>
      <c r="D8" s="5"/>
      <c r="E8" s="5"/>
      <c r="F8" s="5"/>
      <c r="G8" s="5"/>
      <c r="H8" s="5">
        <v>355</v>
      </c>
      <c r="I8" s="5">
        <v>386</v>
      </c>
      <c r="J8" s="5">
        <v>338</v>
      </c>
      <c r="K8" s="5">
        <v>365</v>
      </c>
      <c r="L8" s="5">
        <v>382</v>
      </c>
      <c r="M8" s="5">
        <v>312</v>
      </c>
      <c r="N8" s="5">
        <v>326</v>
      </c>
      <c r="O8" s="5">
        <v>378</v>
      </c>
      <c r="P8" s="5">
        <v>438</v>
      </c>
      <c r="Q8" s="5">
        <v>480</v>
      </c>
      <c r="R8" s="5"/>
    </row>
    <row r="9" spans="1:18" x14ac:dyDescent="0.25">
      <c r="A9" s="3" t="s">
        <v>13</v>
      </c>
      <c r="B9" s="6">
        <v>1125</v>
      </c>
      <c r="C9" s="6">
        <v>1200</v>
      </c>
      <c r="D9" s="6">
        <v>1224</v>
      </c>
      <c r="E9" s="6">
        <v>1328</v>
      </c>
      <c r="F9" s="6">
        <v>1472</v>
      </c>
      <c r="G9" s="6">
        <v>1487</v>
      </c>
      <c r="H9" s="6">
        <f>SUM(H5:H8)</f>
        <v>1593</v>
      </c>
      <c r="I9" s="6">
        <f>SUM(I5:I8)</f>
        <v>1674</v>
      </c>
      <c r="J9" s="6">
        <f t="shared" ref="J9:Q9" si="1">SUM(J5:J8)</f>
        <v>1609</v>
      </c>
      <c r="K9" s="6">
        <f t="shared" si="1"/>
        <v>1625</v>
      </c>
      <c r="L9" s="6">
        <f t="shared" si="1"/>
        <v>1702</v>
      </c>
      <c r="M9" s="6">
        <f t="shared" si="1"/>
        <v>1708</v>
      </c>
      <c r="N9" s="6">
        <f t="shared" si="1"/>
        <v>1733</v>
      </c>
      <c r="O9" s="6">
        <f t="shared" si="1"/>
        <v>1746</v>
      </c>
      <c r="P9" s="6">
        <f t="shared" si="1"/>
        <v>1860</v>
      </c>
      <c r="Q9" s="6">
        <f t="shared" si="1"/>
        <v>1837</v>
      </c>
      <c r="R9" s="18">
        <v>1800</v>
      </c>
    </row>
    <row r="10" spans="1:18" x14ac:dyDescent="0.25">
      <c r="A10" s="2" t="s">
        <v>4</v>
      </c>
      <c r="B10" s="5"/>
      <c r="C10" s="5"/>
      <c r="D10" s="5"/>
      <c r="E10" s="5"/>
      <c r="F10" s="5"/>
      <c r="G10" s="5"/>
      <c r="H10" s="5">
        <v>419</v>
      </c>
      <c r="I10" s="5">
        <v>488</v>
      </c>
      <c r="J10" s="5">
        <v>162</v>
      </c>
      <c r="K10" s="5">
        <v>122</v>
      </c>
      <c r="L10" s="5">
        <v>311</v>
      </c>
      <c r="M10" s="5">
        <v>489</v>
      </c>
      <c r="N10" s="5">
        <v>455</v>
      </c>
      <c r="O10" s="5">
        <v>515</v>
      </c>
      <c r="P10" s="5">
        <v>457</v>
      </c>
      <c r="Q10" s="5">
        <v>153</v>
      </c>
      <c r="R10" s="5"/>
    </row>
    <row r="11" spans="1:18" x14ac:dyDescent="0.25">
      <c r="A11" s="2" t="s">
        <v>5</v>
      </c>
      <c r="B11" s="5"/>
      <c r="C11" s="5"/>
      <c r="D11" s="5"/>
      <c r="E11" s="5"/>
      <c r="F11" s="5"/>
      <c r="G11" s="5"/>
      <c r="H11" s="5">
        <v>115</v>
      </c>
      <c r="I11" s="5">
        <v>254</v>
      </c>
      <c r="J11" s="5">
        <v>193</v>
      </c>
      <c r="K11" s="5">
        <v>227</v>
      </c>
      <c r="L11" s="5">
        <v>111</v>
      </c>
      <c r="M11" s="5">
        <v>169</v>
      </c>
      <c r="N11" s="5">
        <v>146</v>
      </c>
      <c r="O11" s="5">
        <v>217</v>
      </c>
      <c r="P11" s="5">
        <v>227</v>
      </c>
      <c r="Q11" s="5">
        <v>152</v>
      </c>
      <c r="R11" s="5"/>
    </row>
    <row r="12" spans="1:18" x14ac:dyDescent="0.25">
      <c r="A12" s="3" t="s">
        <v>16</v>
      </c>
      <c r="B12" s="6">
        <v>368</v>
      </c>
      <c r="C12" s="6">
        <v>422</v>
      </c>
      <c r="D12" s="6">
        <v>330</v>
      </c>
      <c r="E12" s="6">
        <v>423</v>
      </c>
      <c r="F12" s="6">
        <v>509</v>
      </c>
      <c r="G12" s="6">
        <v>510</v>
      </c>
      <c r="H12" s="6">
        <f>SUM(H10:H11)</f>
        <v>534</v>
      </c>
      <c r="I12" s="6">
        <f>SUM(I10:I11)</f>
        <v>742</v>
      </c>
      <c r="J12" s="6">
        <f t="shared" ref="J12:Q12" si="2">SUM(J10:J11)</f>
        <v>355</v>
      </c>
      <c r="K12" s="6">
        <f t="shared" si="2"/>
        <v>349</v>
      </c>
      <c r="L12" s="6">
        <f t="shared" si="2"/>
        <v>422</v>
      </c>
      <c r="M12" s="6">
        <f t="shared" si="2"/>
        <v>658</v>
      </c>
      <c r="N12" s="6">
        <f t="shared" si="2"/>
        <v>601</v>
      </c>
      <c r="O12" s="6">
        <f t="shared" si="2"/>
        <v>732</v>
      </c>
      <c r="P12" s="6">
        <f t="shared" si="2"/>
        <v>684</v>
      </c>
      <c r="Q12" s="6">
        <f t="shared" si="2"/>
        <v>305</v>
      </c>
      <c r="R12" s="18">
        <v>200</v>
      </c>
    </row>
    <row r="13" spans="1:18" x14ac:dyDescent="0.25">
      <c r="A13" s="2" t="s">
        <v>6</v>
      </c>
      <c r="B13" s="5"/>
      <c r="C13" s="5"/>
      <c r="D13" s="5"/>
      <c r="E13" s="5"/>
      <c r="F13" s="5"/>
      <c r="G13" s="5"/>
      <c r="H13" s="5">
        <v>263</v>
      </c>
      <c r="I13" s="5">
        <v>164</v>
      </c>
      <c r="J13" s="5">
        <v>272</v>
      </c>
      <c r="K13" s="5">
        <v>330</v>
      </c>
      <c r="L13" s="5">
        <v>675</v>
      </c>
      <c r="M13" s="5">
        <v>875</v>
      </c>
      <c r="N13" s="5">
        <v>580</v>
      </c>
      <c r="O13" s="5">
        <v>1067</v>
      </c>
      <c r="P13" s="5">
        <v>1436</v>
      </c>
      <c r="Q13" s="5">
        <v>854</v>
      </c>
      <c r="R13" s="5">
        <f>Q13*(430/638)</f>
        <v>575.5799373040752</v>
      </c>
    </row>
    <row r="14" spans="1:18" x14ac:dyDescent="0.25">
      <c r="A14" s="2" t="s">
        <v>7</v>
      </c>
      <c r="B14" s="5"/>
      <c r="C14" s="5"/>
      <c r="D14" s="5"/>
      <c r="E14" s="5"/>
      <c r="F14" s="5"/>
      <c r="G14" s="5"/>
      <c r="H14" s="5">
        <v>0</v>
      </c>
      <c r="I14" s="5">
        <v>0</v>
      </c>
      <c r="J14" s="5">
        <v>28</v>
      </c>
      <c r="K14" s="5">
        <v>84</v>
      </c>
      <c r="L14" s="5">
        <v>229</v>
      </c>
      <c r="M14" s="5">
        <v>349</v>
      </c>
      <c r="N14" s="5">
        <v>419</v>
      </c>
      <c r="O14" s="5">
        <v>384</v>
      </c>
      <c r="P14" s="5">
        <v>381</v>
      </c>
      <c r="Q14" s="5">
        <v>371</v>
      </c>
      <c r="R14" s="5">
        <f>Q14</f>
        <v>371</v>
      </c>
    </row>
    <row r="15" spans="1:18" x14ac:dyDescent="0.25">
      <c r="A15" s="2" t="s">
        <v>8</v>
      </c>
      <c r="B15" s="5"/>
      <c r="C15" s="5"/>
      <c r="D15" s="5"/>
      <c r="E15" s="5"/>
      <c r="F15" s="5"/>
      <c r="G15" s="5"/>
      <c r="H15" s="5">
        <v>106</v>
      </c>
      <c r="I15" s="5">
        <v>174</v>
      </c>
      <c r="J15" s="5">
        <v>90</v>
      </c>
      <c r="K15" s="5">
        <v>94</v>
      </c>
      <c r="L15" s="5">
        <v>148</v>
      </c>
      <c r="M15" s="5">
        <v>148</v>
      </c>
      <c r="N15" s="5">
        <v>163</v>
      </c>
      <c r="O15" s="5">
        <v>417</v>
      </c>
      <c r="P15" s="5">
        <v>289</v>
      </c>
      <c r="Q15" s="5">
        <v>138</v>
      </c>
      <c r="R15" s="5">
        <v>200</v>
      </c>
    </row>
    <row r="16" spans="1:18" x14ac:dyDescent="0.25">
      <c r="A16" s="3" t="s">
        <v>14</v>
      </c>
      <c r="B16" s="6">
        <f>176+27</f>
        <v>203</v>
      </c>
      <c r="C16" s="6">
        <f>187+11</f>
        <v>198</v>
      </c>
      <c r="D16" s="6">
        <f>373+13</f>
        <v>386</v>
      </c>
      <c r="E16" s="6">
        <f>114+11</f>
        <v>125</v>
      </c>
      <c r="F16" s="6">
        <f>98+90</f>
        <v>188</v>
      </c>
      <c r="G16" s="6">
        <f>135+110</f>
        <v>245</v>
      </c>
      <c r="H16" s="6">
        <f>SUM(H13:H15)</f>
        <v>369</v>
      </c>
      <c r="I16" s="6">
        <f>SUM(I13:I15)</f>
        <v>338</v>
      </c>
      <c r="J16" s="6">
        <f t="shared" ref="J16:R16" si="3">SUM(J13:J15)</f>
        <v>390</v>
      </c>
      <c r="K16" s="6">
        <f t="shared" si="3"/>
        <v>508</v>
      </c>
      <c r="L16" s="6">
        <f t="shared" si="3"/>
        <v>1052</v>
      </c>
      <c r="M16" s="6">
        <f t="shared" si="3"/>
        <v>1372</v>
      </c>
      <c r="N16" s="6">
        <f t="shared" si="3"/>
        <v>1162</v>
      </c>
      <c r="O16" s="6">
        <f t="shared" si="3"/>
        <v>1868</v>
      </c>
      <c r="P16" s="6">
        <f t="shared" si="3"/>
        <v>2106</v>
      </c>
      <c r="Q16" s="6">
        <f t="shared" si="3"/>
        <v>1363</v>
      </c>
      <c r="R16" s="18">
        <f t="shared" si="3"/>
        <v>1146.5799373040752</v>
      </c>
    </row>
    <row r="17" spans="1:18" x14ac:dyDescent="0.25">
      <c r="A17" s="33" t="s">
        <v>49</v>
      </c>
      <c r="B17" s="34">
        <f t="shared" ref="B17:R17" si="4">-SUM(B16,B12,B9)</f>
        <v>-1696</v>
      </c>
      <c r="C17" s="34">
        <f t="shared" si="4"/>
        <v>-1820</v>
      </c>
      <c r="D17" s="34">
        <f t="shared" si="4"/>
        <v>-1940</v>
      </c>
      <c r="E17" s="34">
        <f t="shared" si="4"/>
        <v>-1876</v>
      </c>
      <c r="F17" s="34">
        <f t="shared" si="4"/>
        <v>-2169</v>
      </c>
      <c r="G17" s="34">
        <f t="shared" si="4"/>
        <v>-2242</v>
      </c>
      <c r="H17" s="34">
        <f t="shared" si="4"/>
        <v>-2496</v>
      </c>
      <c r="I17" s="34">
        <f t="shared" si="4"/>
        <v>-2754</v>
      </c>
      <c r="J17" s="34">
        <f t="shared" si="4"/>
        <v>-2354</v>
      </c>
      <c r="K17" s="34">
        <f t="shared" si="4"/>
        <v>-2482</v>
      </c>
      <c r="L17" s="34">
        <f t="shared" si="4"/>
        <v>-3176</v>
      </c>
      <c r="M17" s="34">
        <f t="shared" si="4"/>
        <v>-3738</v>
      </c>
      <c r="N17" s="34">
        <f t="shared" si="4"/>
        <v>-3496</v>
      </c>
      <c r="O17" s="34">
        <f t="shared" si="4"/>
        <v>-4346</v>
      </c>
      <c r="P17" s="34">
        <f t="shared" si="4"/>
        <v>-4650</v>
      </c>
      <c r="Q17" s="34">
        <f t="shared" si="4"/>
        <v>-3505</v>
      </c>
      <c r="R17" s="34">
        <f t="shared" si="4"/>
        <v>-3146.5799373040754</v>
      </c>
    </row>
    <row r="18" spans="1:18" s="21" customFormat="1" x14ac:dyDescent="0.25">
      <c r="A18" s="16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</row>
    <row r="19" spans="1:18" s="22" customFormat="1" x14ac:dyDescent="0.25">
      <c r="A19" s="31" t="s">
        <v>52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</row>
    <row r="20" spans="1:18" s="22" customFormat="1" x14ac:dyDescent="0.25">
      <c r="A20" s="33" t="s">
        <v>24</v>
      </c>
      <c r="B20" s="34">
        <v>1865</v>
      </c>
      <c r="C20" s="34">
        <v>2199</v>
      </c>
      <c r="D20" s="34">
        <v>2443</v>
      </c>
      <c r="E20" s="34">
        <v>2257</v>
      </c>
      <c r="F20" s="34">
        <v>2595</v>
      </c>
      <c r="G20" s="34">
        <v>2880</v>
      </c>
      <c r="H20" s="34">
        <v>3277</v>
      </c>
      <c r="I20" s="34">
        <v>4044</v>
      </c>
      <c r="J20" s="34">
        <v>3204</v>
      </c>
      <c r="K20" s="34">
        <v>4105</v>
      </c>
      <c r="L20" s="34">
        <v>5873</v>
      </c>
      <c r="M20" s="34">
        <v>6161</v>
      </c>
      <c r="N20" s="34">
        <v>6823</v>
      </c>
      <c r="O20" s="34">
        <v>7525</v>
      </c>
      <c r="P20" s="34">
        <v>7385</v>
      </c>
      <c r="Q20" s="34">
        <v>7344</v>
      </c>
      <c r="R20" s="35">
        <v>7344</v>
      </c>
    </row>
    <row r="21" spans="1:18" x14ac:dyDescent="0.25">
      <c r="A21" s="2" t="s">
        <v>13</v>
      </c>
      <c r="B21" s="5">
        <f t="shared" ref="B21:R21" si="5">-B9</f>
        <v>-1125</v>
      </c>
      <c r="C21" s="5">
        <f t="shared" si="5"/>
        <v>-1200</v>
      </c>
      <c r="D21" s="5">
        <f t="shared" si="5"/>
        <v>-1224</v>
      </c>
      <c r="E21" s="5">
        <f t="shared" si="5"/>
        <v>-1328</v>
      </c>
      <c r="F21" s="5">
        <f t="shared" si="5"/>
        <v>-1472</v>
      </c>
      <c r="G21" s="5">
        <f t="shared" si="5"/>
        <v>-1487</v>
      </c>
      <c r="H21" s="5">
        <f t="shared" si="5"/>
        <v>-1593</v>
      </c>
      <c r="I21" s="5">
        <f t="shared" si="5"/>
        <v>-1674</v>
      </c>
      <c r="J21" s="5">
        <f t="shared" si="5"/>
        <v>-1609</v>
      </c>
      <c r="K21" s="5">
        <f t="shared" si="5"/>
        <v>-1625</v>
      </c>
      <c r="L21" s="5">
        <f t="shared" si="5"/>
        <v>-1702</v>
      </c>
      <c r="M21" s="5">
        <f t="shared" si="5"/>
        <v>-1708</v>
      </c>
      <c r="N21" s="5">
        <f t="shared" si="5"/>
        <v>-1733</v>
      </c>
      <c r="O21" s="5">
        <f t="shared" si="5"/>
        <v>-1746</v>
      </c>
      <c r="P21" s="5">
        <f t="shared" si="5"/>
        <v>-1860</v>
      </c>
      <c r="Q21" s="5">
        <f t="shared" si="5"/>
        <v>-1837</v>
      </c>
      <c r="R21" s="5">
        <f t="shared" si="5"/>
        <v>-1800</v>
      </c>
    </row>
    <row r="22" spans="1:18" x14ac:dyDescent="0.25">
      <c r="A22" s="2" t="s">
        <v>18</v>
      </c>
      <c r="B22" s="5">
        <f t="shared" ref="B22:R22" si="6">-B14</f>
        <v>0</v>
      </c>
      <c r="C22" s="5">
        <f t="shared" si="6"/>
        <v>0</v>
      </c>
      <c r="D22" s="5">
        <f t="shared" si="6"/>
        <v>0</v>
      </c>
      <c r="E22" s="5">
        <f t="shared" si="6"/>
        <v>0</v>
      </c>
      <c r="F22" s="5">
        <f t="shared" si="6"/>
        <v>0</v>
      </c>
      <c r="G22" s="5">
        <f t="shared" si="6"/>
        <v>0</v>
      </c>
      <c r="H22" s="5">
        <f t="shared" si="6"/>
        <v>0</v>
      </c>
      <c r="I22" s="5">
        <f t="shared" si="6"/>
        <v>0</v>
      </c>
      <c r="J22" s="5">
        <f t="shared" si="6"/>
        <v>-28</v>
      </c>
      <c r="K22" s="5">
        <f t="shared" si="6"/>
        <v>-84</v>
      </c>
      <c r="L22" s="5">
        <f t="shared" si="6"/>
        <v>-229</v>
      </c>
      <c r="M22" s="5">
        <f t="shared" si="6"/>
        <v>-349</v>
      </c>
      <c r="N22" s="5">
        <f t="shared" si="6"/>
        <v>-419</v>
      </c>
      <c r="O22" s="5">
        <f t="shared" si="6"/>
        <v>-384</v>
      </c>
      <c r="P22" s="5">
        <f t="shared" si="6"/>
        <v>-381</v>
      </c>
      <c r="Q22" s="5">
        <f t="shared" si="6"/>
        <v>-371</v>
      </c>
      <c r="R22" s="5">
        <f t="shared" si="6"/>
        <v>-371</v>
      </c>
    </row>
    <row r="23" spans="1:18" x14ac:dyDescent="0.25">
      <c r="A23" s="20" t="s">
        <v>19</v>
      </c>
      <c r="B23" s="11">
        <f t="shared" ref="B23:R23" si="7">-B15</f>
        <v>0</v>
      </c>
      <c r="C23" s="11">
        <f t="shared" si="7"/>
        <v>0</v>
      </c>
      <c r="D23" s="11">
        <f t="shared" si="7"/>
        <v>0</v>
      </c>
      <c r="E23" s="11">
        <f t="shared" si="7"/>
        <v>0</v>
      </c>
      <c r="F23" s="11">
        <f t="shared" si="7"/>
        <v>0</v>
      </c>
      <c r="G23" s="11">
        <f t="shared" si="7"/>
        <v>0</v>
      </c>
      <c r="H23" s="11">
        <f t="shared" si="7"/>
        <v>-106</v>
      </c>
      <c r="I23" s="11">
        <f t="shared" si="7"/>
        <v>-174</v>
      </c>
      <c r="J23" s="11">
        <f t="shared" si="7"/>
        <v>-90</v>
      </c>
      <c r="K23" s="11">
        <f t="shared" si="7"/>
        <v>-94</v>
      </c>
      <c r="L23" s="11">
        <f t="shared" si="7"/>
        <v>-148</v>
      </c>
      <c r="M23" s="11">
        <f t="shared" si="7"/>
        <v>-148</v>
      </c>
      <c r="N23" s="11">
        <f t="shared" si="7"/>
        <v>-163</v>
      </c>
      <c r="O23" s="11">
        <f t="shared" si="7"/>
        <v>-417</v>
      </c>
      <c r="P23" s="11">
        <f t="shared" si="7"/>
        <v>-289</v>
      </c>
      <c r="Q23" s="11">
        <f t="shared" si="7"/>
        <v>-138</v>
      </c>
      <c r="R23" s="11">
        <f t="shared" si="7"/>
        <v>-200</v>
      </c>
    </row>
    <row r="24" spans="1:18" x14ac:dyDescent="0.25">
      <c r="A24" s="26" t="s">
        <v>20</v>
      </c>
      <c r="B24" s="15">
        <f>SUM(B21:B23)</f>
        <v>-1125</v>
      </c>
      <c r="C24" s="15">
        <f t="shared" ref="C24:R24" si="8">SUM(C21:C23)</f>
        <v>-1200</v>
      </c>
      <c r="D24" s="15">
        <f t="shared" si="8"/>
        <v>-1224</v>
      </c>
      <c r="E24" s="15">
        <f t="shared" si="8"/>
        <v>-1328</v>
      </c>
      <c r="F24" s="15">
        <f t="shared" si="8"/>
        <v>-1472</v>
      </c>
      <c r="G24" s="15">
        <f t="shared" si="8"/>
        <v>-1487</v>
      </c>
      <c r="H24" s="15">
        <f t="shared" si="8"/>
        <v>-1699</v>
      </c>
      <c r="I24" s="15">
        <f t="shared" si="8"/>
        <v>-1848</v>
      </c>
      <c r="J24" s="15">
        <f t="shared" si="8"/>
        <v>-1727</v>
      </c>
      <c r="K24" s="15">
        <f t="shared" si="8"/>
        <v>-1803</v>
      </c>
      <c r="L24" s="15">
        <f t="shared" si="8"/>
        <v>-2079</v>
      </c>
      <c r="M24" s="15">
        <f t="shared" si="8"/>
        <v>-2205</v>
      </c>
      <c r="N24" s="15">
        <f t="shared" si="8"/>
        <v>-2315</v>
      </c>
      <c r="O24" s="15">
        <f t="shared" si="8"/>
        <v>-2547</v>
      </c>
      <c r="P24" s="15">
        <f t="shared" si="8"/>
        <v>-2530</v>
      </c>
      <c r="Q24" s="15">
        <f t="shared" si="8"/>
        <v>-2346</v>
      </c>
      <c r="R24" s="15">
        <f t="shared" si="8"/>
        <v>-2371</v>
      </c>
    </row>
    <row r="25" spans="1:18" s="22" customFormat="1" x14ac:dyDescent="0.25">
      <c r="A25" s="27" t="s">
        <v>58</v>
      </c>
      <c r="B25" s="28">
        <f>B20+B24</f>
        <v>740</v>
      </c>
      <c r="C25" s="28">
        <f t="shared" ref="C25:R25" si="9">C20+C24</f>
        <v>999</v>
      </c>
      <c r="D25" s="28">
        <f t="shared" si="9"/>
        <v>1219</v>
      </c>
      <c r="E25" s="28">
        <f t="shared" si="9"/>
        <v>929</v>
      </c>
      <c r="F25" s="28">
        <f t="shared" si="9"/>
        <v>1123</v>
      </c>
      <c r="G25" s="28">
        <f t="shared" si="9"/>
        <v>1393</v>
      </c>
      <c r="H25" s="28">
        <f t="shared" si="9"/>
        <v>1578</v>
      </c>
      <c r="I25" s="28">
        <f t="shared" si="9"/>
        <v>2196</v>
      </c>
      <c r="J25" s="28">
        <f t="shared" si="9"/>
        <v>1477</v>
      </c>
      <c r="K25" s="28">
        <f t="shared" si="9"/>
        <v>2302</v>
      </c>
      <c r="L25" s="28">
        <f t="shared" si="9"/>
        <v>3794</v>
      </c>
      <c r="M25" s="28">
        <f t="shared" si="9"/>
        <v>3956</v>
      </c>
      <c r="N25" s="28">
        <f t="shared" si="9"/>
        <v>4508</v>
      </c>
      <c r="O25" s="28">
        <f t="shared" si="9"/>
        <v>4978</v>
      </c>
      <c r="P25" s="28">
        <f t="shared" si="9"/>
        <v>4855</v>
      </c>
      <c r="Q25" s="28">
        <f t="shared" si="9"/>
        <v>4998</v>
      </c>
      <c r="R25" s="28">
        <f t="shared" si="9"/>
        <v>4973</v>
      </c>
    </row>
    <row r="26" spans="1:18" s="22" customFormat="1" x14ac:dyDescent="0.25">
      <c r="A26" s="7" t="s">
        <v>59</v>
      </c>
      <c r="B26" s="19">
        <f t="shared" ref="B26:R26" si="10">B25/B2</f>
        <v>6.8328716528162511E-2</v>
      </c>
      <c r="C26" s="19">
        <f t="shared" si="10"/>
        <v>8.9524150909579714E-2</v>
      </c>
      <c r="D26" s="19">
        <f t="shared" si="10"/>
        <v>0.10553198857241797</v>
      </c>
      <c r="E26" s="19">
        <f t="shared" si="10"/>
        <v>7.6054031927957427E-2</v>
      </c>
      <c r="F26" s="19">
        <f t="shared" si="10"/>
        <v>8.2707320665782888E-2</v>
      </c>
      <c r="G26" s="19">
        <f t="shared" si="10"/>
        <v>8.9420978302734627E-2</v>
      </c>
      <c r="H26" s="19">
        <f t="shared" si="10"/>
        <v>9.6910888656881411E-2</v>
      </c>
      <c r="I26" s="19">
        <f t="shared" si="10"/>
        <v>0.12220367278797997</v>
      </c>
      <c r="J26" s="19">
        <f t="shared" si="10"/>
        <v>0.10443328855264088</v>
      </c>
      <c r="K26" s="19">
        <f t="shared" si="10"/>
        <v>0.13569112879457706</v>
      </c>
      <c r="L26" s="12">
        <f t="shared" si="10"/>
        <v>0.19399703430996573</v>
      </c>
      <c r="M26" s="12">
        <f t="shared" si="10"/>
        <v>0.18904711841727995</v>
      </c>
      <c r="N26" s="12">
        <f t="shared" si="10"/>
        <v>0.2052542913081091</v>
      </c>
      <c r="O26" s="12">
        <f t="shared" si="10"/>
        <v>0.20752042688010672</v>
      </c>
      <c r="P26" s="12">
        <f t="shared" si="10"/>
        <v>0.22257369458579745</v>
      </c>
      <c r="Q26" s="12">
        <f t="shared" si="10"/>
        <v>0.2506393861892583</v>
      </c>
      <c r="R26" s="12">
        <f t="shared" si="10"/>
        <v>0.23251355900504955</v>
      </c>
    </row>
    <row r="27" spans="1:18" s="22" customFormat="1" x14ac:dyDescent="0.25">
      <c r="A27" s="7" t="s">
        <v>60</v>
      </c>
      <c r="B27" s="19"/>
      <c r="C27" s="19"/>
      <c r="D27" s="19"/>
      <c r="E27" s="19"/>
      <c r="F27" s="19"/>
      <c r="G27" s="19">
        <f>(G25/B25)^0.2-1</f>
        <v>0.13486415610162306</v>
      </c>
      <c r="H27" s="19">
        <f t="shared" ref="H27:R27" si="11">(H25/C25)^0.2-1</f>
        <v>9.5741983779463968E-2</v>
      </c>
      <c r="I27" s="19">
        <f t="shared" si="11"/>
        <v>0.12493058848630523</v>
      </c>
      <c r="J27" s="19">
        <f t="shared" si="11"/>
        <v>9.7167554807888967E-2</v>
      </c>
      <c r="K27" s="19">
        <f t="shared" si="11"/>
        <v>0.15437021505317383</v>
      </c>
      <c r="L27" s="19">
        <f t="shared" si="11"/>
        <v>0.22188192945781138</v>
      </c>
      <c r="M27" s="19">
        <f t="shared" si="11"/>
        <v>0.20179351672671619</v>
      </c>
      <c r="N27" s="19">
        <f t="shared" si="11"/>
        <v>0.15470305364326298</v>
      </c>
      <c r="O27" s="19">
        <f t="shared" si="11"/>
        <v>0.27507250043399467</v>
      </c>
      <c r="P27" s="19">
        <f t="shared" si="11"/>
        <v>0.16095873365361113</v>
      </c>
      <c r="Q27" s="19">
        <f t="shared" si="11"/>
        <v>5.6670991568763762E-2</v>
      </c>
      <c r="R27" s="19">
        <f t="shared" si="11"/>
        <v>4.6821021546807895E-2</v>
      </c>
    </row>
    <row r="28" spans="1:18" s="22" customFormat="1" x14ac:dyDescent="0.25">
      <c r="A28" s="7" t="s">
        <v>51</v>
      </c>
      <c r="B28" s="19"/>
      <c r="C28" s="19"/>
      <c r="D28" s="19"/>
      <c r="E28" s="19"/>
      <c r="F28" s="19"/>
      <c r="G28" s="19">
        <f>SUM(C25:G25)/SUM(B25:F25)-1</f>
        <v>0.13033932135728543</v>
      </c>
      <c r="H28" s="19">
        <f t="shared" ref="H28:R28" si="12">SUM(D25:H25)/SUM(C25:G25)-1</f>
        <v>0.10224262758255342</v>
      </c>
      <c r="I28" s="19">
        <f t="shared" si="12"/>
        <v>0.15652034604293497</v>
      </c>
      <c r="J28" s="19">
        <f t="shared" si="12"/>
        <v>7.591079096827813E-2</v>
      </c>
      <c r="K28" s="19">
        <f t="shared" si="12"/>
        <v>0.15179606025492465</v>
      </c>
      <c r="L28" s="19">
        <f t="shared" si="12"/>
        <v>0.26838810641627542</v>
      </c>
      <c r="M28" s="19">
        <f t="shared" si="12"/>
        <v>0.2095708116682824</v>
      </c>
      <c r="N28" s="19">
        <f t="shared" si="12"/>
        <v>0.16845173041894346</v>
      </c>
      <c r="O28" s="19">
        <f t="shared" si="12"/>
        <v>0.21830766352809139</v>
      </c>
      <c r="P28" s="19">
        <f t="shared" si="12"/>
        <v>0.13066844098679486</v>
      </c>
      <c r="Q28" s="19">
        <f t="shared" si="12"/>
        <v>5.4501833325788729E-2</v>
      </c>
      <c r="R28" s="19">
        <f t="shared" si="12"/>
        <v>4.3657437218287187E-2</v>
      </c>
    </row>
    <row r="29" spans="1:18" s="22" customFormat="1" x14ac:dyDescent="0.25">
      <c r="A29" s="16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1:18" x14ac:dyDescent="0.25">
      <c r="A30" t="s">
        <v>15</v>
      </c>
      <c r="B30" s="5">
        <f t="shared" ref="B30:R30" si="13">B17-B24</f>
        <v>-571</v>
      </c>
      <c r="C30" s="5">
        <f t="shared" si="13"/>
        <v>-620</v>
      </c>
      <c r="D30" s="5">
        <f t="shared" si="13"/>
        <v>-716</v>
      </c>
      <c r="E30" s="5">
        <f t="shared" si="13"/>
        <v>-548</v>
      </c>
      <c r="F30" s="5">
        <f t="shared" si="13"/>
        <v>-697</v>
      </c>
      <c r="G30" s="5">
        <f t="shared" si="13"/>
        <v>-755</v>
      </c>
      <c r="H30" s="5">
        <f t="shared" si="13"/>
        <v>-797</v>
      </c>
      <c r="I30" s="5">
        <f t="shared" si="13"/>
        <v>-906</v>
      </c>
      <c r="J30" s="5">
        <f t="shared" si="13"/>
        <v>-627</v>
      </c>
      <c r="K30" s="5">
        <f t="shared" si="13"/>
        <v>-679</v>
      </c>
      <c r="L30" s="5">
        <f t="shared" si="13"/>
        <v>-1097</v>
      </c>
      <c r="M30" s="5">
        <f t="shared" si="13"/>
        <v>-1533</v>
      </c>
      <c r="N30" s="5">
        <f t="shared" si="13"/>
        <v>-1181</v>
      </c>
      <c r="O30" s="5">
        <f t="shared" si="13"/>
        <v>-1799</v>
      </c>
      <c r="P30" s="5">
        <f t="shared" si="13"/>
        <v>-2120</v>
      </c>
      <c r="Q30" s="5">
        <f t="shared" si="13"/>
        <v>-1159</v>
      </c>
      <c r="R30" s="5">
        <f t="shared" si="13"/>
        <v>-775.57993730407543</v>
      </c>
    </row>
    <row r="31" spans="1:18" x14ac:dyDescent="0.25">
      <c r="A31" s="4" t="s">
        <v>22</v>
      </c>
      <c r="B31" s="5"/>
      <c r="C31" s="5"/>
      <c r="D31" s="5"/>
      <c r="E31" s="5"/>
      <c r="F31" s="5"/>
      <c r="G31" s="5"/>
      <c r="H31" s="5">
        <v>133</v>
      </c>
      <c r="I31" s="5">
        <v>122</v>
      </c>
      <c r="J31" s="5">
        <v>93</v>
      </c>
      <c r="K31" s="5">
        <v>187</v>
      </c>
      <c r="L31" s="5">
        <v>67</v>
      </c>
      <c r="M31" s="5">
        <v>108</v>
      </c>
      <c r="N31" s="5">
        <v>80</v>
      </c>
      <c r="O31" s="5">
        <v>98</v>
      </c>
      <c r="P31" s="5">
        <v>138</v>
      </c>
      <c r="Q31" s="5">
        <v>129</v>
      </c>
      <c r="R31" s="8">
        <v>170</v>
      </c>
    </row>
    <row r="32" spans="1:18" s="22" customFormat="1" x14ac:dyDescent="0.25">
      <c r="A32" s="9" t="s">
        <v>23</v>
      </c>
      <c r="B32" s="15"/>
      <c r="C32" s="15"/>
      <c r="D32" s="15"/>
      <c r="E32" s="15"/>
      <c r="F32" s="15"/>
      <c r="G32" s="15"/>
      <c r="H32" s="15">
        <v>-51.109252049340007</v>
      </c>
      <c r="I32" s="15">
        <v>-122.73536182107</v>
      </c>
      <c r="J32" s="15">
        <v>-181.02517460284</v>
      </c>
      <c r="K32" s="15">
        <v>-122.49019047616001</v>
      </c>
      <c r="L32" s="15">
        <v>-150.29341269827</v>
      </c>
      <c r="M32" s="15">
        <v>-140.05592447999999</v>
      </c>
      <c r="N32" s="15">
        <v>-150.8242869048</v>
      </c>
      <c r="O32" s="15">
        <v>-341.25128623079996</v>
      </c>
      <c r="P32" s="15">
        <v>-109.38059523809001</v>
      </c>
      <c r="Q32" s="15">
        <v>-150.48433730158735</v>
      </c>
      <c r="R32" s="14">
        <v>-150</v>
      </c>
    </row>
    <row r="33" spans="1:19" s="22" customFormat="1" x14ac:dyDescent="0.25">
      <c r="A33" s="22" t="s">
        <v>28</v>
      </c>
      <c r="B33" s="5">
        <f>SUM(B30:B32)</f>
        <v>-571</v>
      </c>
      <c r="C33" s="5">
        <f t="shared" ref="C33:R33" si="14">SUM(C30:C32)</f>
        <v>-620</v>
      </c>
      <c r="D33" s="5">
        <f t="shared" si="14"/>
        <v>-716</v>
      </c>
      <c r="E33" s="5">
        <f t="shared" si="14"/>
        <v>-548</v>
      </c>
      <c r="F33" s="5">
        <f t="shared" si="14"/>
        <v>-697</v>
      </c>
      <c r="G33" s="5">
        <f t="shared" si="14"/>
        <v>-755</v>
      </c>
      <c r="H33" s="5">
        <f t="shared" si="14"/>
        <v>-715.10925204934006</v>
      </c>
      <c r="I33" s="5">
        <f t="shared" si="14"/>
        <v>-906.73536182107</v>
      </c>
      <c r="J33" s="5">
        <f t="shared" si="14"/>
        <v>-715.02517460284002</v>
      </c>
      <c r="K33" s="5">
        <f t="shared" si="14"/>
        <v>-614.49019047616002</v>
      </c>
      <c r="L33" s="5">
        <f t="shared" si="14"/>
        <v>-1180.29341269827</v>
      </c>
      <c r="M33" s="5">
        <f t="shared" si="14"/>
        <v>-1565.0559244799999</v>
      </c>
      <c r="N33" s="5">
        <f t="shared" si="14"/>
        <v>-1251.8242869047999</v>
      </c>
      <c r="O33" s="5">
        <f t="shared" si="14"/>
        <v>-2042.2512862307999</v>
      </c>
      <c r="P33" s="5">
        <f t="shared" si="14"/>
        <v>-2091.3805952380899</v>
      </c>
      <c r="Q33" s="5">
        <f t="shared" si="14"/>
        <v>-1180.4843373015874</v>
      </c>
      <c r="R33" s="5">
        <f t="shared" si="14"/>
        <v>-755.57993730407543</v>
      </c>
    </row>
    <row r="34" spans="1:19" s="22" customFormat="1" x14ac:dyDescent="0.25">
      <c r="A34" s="22" t="s">
        <v>30</v>
      </c>
      <c r="B34" s="10">
        <f>-B33/B25</f>
        <v>0.77162162162162162</v>
      </c>
      <c r="C34" s="10">
        <f t="shared" ref="C34:R34" si="15">-C33/C25</f>
        <v>0.62062062062062062</v>
      </c>
      <c r="D34" s="10">
        <f t="shared" si="15"/>
        <v>0.58736669401148478</v>
      </c>
      <c r="E34" s="10">
        <f t="shared" si="15"/>
        <v>0.58988159311087196</v>
      </c>
      <c r="F34" s="10">
        <f t="shared" si="15"/>
        <v>0.62065894924309883</v>
      </c>
      <c r="G34" s="10">
        <f t="shared" si="15"/>
        <v>0.54199569274946158</v>
      </c>
      <c r="H34" s="10">
        <f t="shared" si="15"/>
        <v>0.45317443095648924</v>
      </c>
      <c r="I34" s="10">
        <f t="shared" si="15"/>
        <v>0.41290317022817397</v>
      </c>
      <c r="J34" s="10">
        <f t="shared" si="15"/>
        <v>0.48410641476157079</v>
      </c>
      <c r="K34" s="10">
        <f t="shared" si="15"/>
        <v>0.26693752844316249</v>
      </c>
      <c r="L34" s="10">
        <f t="shared" si="15"/>
        <v>0.3110947318656484</v>
      </c>
      <c r="M34" s="10">
        <f t="shared" si="15"/>
        <v>0.39561575441860464</v>
      </c>
      <c r="N34" s="10">
        <f t="shared" si="15"/>
        <v>0.27768950463726705</v>
      </c>
      <c r="O34" s="10">
        <f t="shared" si="15"/>
        <v>0.41025538092221775</v>
      </c>
      <c r="P34" s="10">
        <f t="shared" si="15"/>
        <v>0.43076840272669203</v>
      </c>
      <c r="Q34" s="10">
        <f t="shared" si="15"/>
        <v>0.23619134399791664</v>
      </c>
      <c r="R34" s="10">
        <f t="shared" si="15"/>
        <v>0.15193644425981812</v>
      </c>
    </row>
    <row r="35" spans="1:19" s="22" customFormat="1" x14ac:dyDescent="0.25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</row>
    <row r="36" spans="1:19" s="22" customFormat="1" ht="15.75" thickBot="1" x14ac:dyDescent="0.3">
      <c r="A36" s="29" t="s">
        <v>27</v>
      </c>
      <c r="B36" s="30">
        <f>B25+B33</f>
        <v>169</v>
      </c>
      <c r="C36" s="30">
        <f t="shared" ref="C36:R36" si="16">C25+C33</f>
        <v>379</v>
      </c>
      <c r="D36" s="30">
        <f t="shared" si="16"/>
        <v>503</v>
      </c>
      <c r="E36" s="30">
        <f t="shared" si="16"/>
        <v>381</v>
      </c>
      <c r="F36" s="30">
        <f t="shared" si="16"/>
        <v>426</v>
      </c>
      <c r="G36" s="30">
        <f t="shared" si="16"/>
        <v>638</v>
      </c>
      <c r="H36" s="30">
        <f t="shared" si="16"/>
        <v>862.89074795065994</v>
      </c>
      <c r="I36" s="30">
        <f t="shared" si="16"/>
        <v>1289.26463817893</v>
      </c>
      <c r="J36" s="30">
        <f t="shared" si="16"/>
        <v>761.97482539715998</v>
      </c>
      <c r="K36" s="30">
        <f t="shared" si="16"/>
        <v>1687.50980952384</v>
      </c>
      <c r="L36" s="30">
        <f t="shared" si="16"/>
        <v>2613.70658730173</v>
      </c>
      <c r="M36" s="30">
        <f t="shared" si="16"/>
        <v>2390.9440755200003</v>
      </c>
      <c r="N36" s="30">
        <f t="shared" si="16"/>
        <v>3256.1757130952001</v>
      </c>
      <c r="O36" s="30">
        <f t="shared" si="16"/>
        <v>2935.7487137692001</v>
      </c>
      <c r="P36" s="30">
        <f t="shared" si="16"/>
        <v>2763.6194047619101</v>
      </c>
      <c r="Q36" s="30">
        <f t="shared" si="16"/>
        <v>3817.5156626984126</v>
      </c>
      <c r="R36" s="30">
        <f t="shared" si="16"/>
        <v>4217.4200626959246</v>
      </c>
    </row>
    <row r="37" spans="1:19" s="22" customFormat="1" ht="15.75" thickTop="1" x14ac:dyDescent="0.25">
      <c r="A37" s="22" t="s">
        <v>29</v>
      </c>
      <c r="B37" s="10">
        <f t="shared" ref="B37:R37" si="17">B36/B2</f>
        <v>1.5604801477377655E-2</v>
      </c>
      <c r="C37" s="10">
        <f t="shared" si="17"/>
        <v>3.3963616811542252E-2</v>
      </c>
      <c r="D37" s="10">
        <f t="shared" si="17"/>
        <v>4.3546013332179029E-2</v>
      </c>
      <c r="E37" s="10">
        <f t="shared" si="17"/>
        <v>3.1191158411788784E-2</v>
      </c>
      <c r="F37" s="10">
        <f t="shared" si="17"/>
        <v>3.1374281926646048E-2</v>
      </c>
      <c r="G37" s="10">
        <f t="shared" si="17"/>
        <v>4.0955193221209399E-2</v>
      </c>
      <c r="H37" s="10">
        <f t="shared" si="17"/>
        <v>5.2993351836311486E-2</v>
      </c>
      <c r="I37" s="10">
        <f t="shared" si="17"/>
        <v>7.1745388880296607E-2</v>
      </c>
      <c r="J37" s="10">
        <f t="shared" si="17"/>
        <v>5.3876463649661317E-2</v>
      </c>
      <c r="K37" s="10">
        <f t="shared" si="17"/>
        <v>9.9470074242489825E-2</v>
      </c>
      <c r="L37" s="10">
        <f t="shared" si="17"/>
        <v>0.13364557893857595</v>
      </c>
      <c r="M37" s="10">
        <f t="shared" si="17"/>
        <v>0.11425710004396446</v>
      </c>
      <c r="N37" s="10">
        <f t="shared" si="17"/>
        <v>0.14825732883008697</v>
      </c>
      <c r="O37" s="10">
        <f t="shared" si="17"/>
        <v>0.12238405510126731</v>
      </c>
      <c r="P37" s="10">
        <f t="shared" si="17"/>
        <v>0.12669597968009491</v>
      </c>
      <c r="Q37" s="10">
        <f t="shared" si="17"/>
        <v>0.19144053270640451</v>
      </c>
      <c r="R37" s="10">
        <f t="shared" si="17"/>
        <v>0.19718627560762692</v>
      </c>
    </row>
    <row r="38" spans="1:19" x14ac:dyDescent="0.2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</row>
    <row r="39" spans="1:19" x14ac:dyDescent="0.25">
      <c r="A39" s="17" t="s">
        <v>21</v>
      </c>
      <c r="B39" s="13">
        <f t="shared" ref="B39:R39" si="18">B24/B2</f>
        <v>-0.1038781163434903</v>
      </c>
      <c r="C39" s="13">
        <f t="shared" si="18"/>
        <v>-0.10753651760910476</v>
      </c>
      <c r="D39" s="13">
        <f t="shared" si="18"/>
        <v>-0.10596485152800623</v>
      </c>
      <c r="E39" s="13">
        <f t="shared" si="18"/>
        <v>-0.10871878837494883</v>
      </c>
      <c r="F39" s="13">
        <f t="shared" si="18"/>
        <v>-0.1084106643099131</v>
      </c>
      <c r="G39" s="13">
        <f t="shared" si="18"/>
        <v>-9.5455129028116578E-2</v>
      </c>
      <c r="H39" s="13">
        <f t="shared" si="18"/>
        <v>-0.1043419517287969</v>
      </c>
      <c r="I39" s="13">
        <f t="shared" si="18"/>
        <v>-0.10283806343906511</v>
      </c>
      <c r="J39" s="13">
        <f t="shared" si="18"/>
        <v>-0.12210987767800326</v>
      </c>
      <c r="K39" s="13">
        <f t="shared" si="18"/>
        <v>-0.10627763041556144</v>
      </c>
      <c r="L39" s="13">
        <f t="shared" si="18"/>
        <v>-0.1063046479521399</v>
      </c>
      <c r="M39" s="13">
        <f t="shared" si="18"/>
        <v>-0.10537130842014719</v>
      </c>
      <c r="N39" s="13">
        <f t="shared" si="18"/>
        <v>-0.10540454400582798</v>
      </c>
      <c r="O39" s="13">
        <f t="shared" si="18"/>
        <v>-0.10617808904452226</v>
      </c>
      <c r="P39" s="13">
        <f t="shared" si="18"/>
        <v>-0.11598587997982854</v>
      </c>
      <c r="Q39" s="13">
        <f t="shared" si="18"/>
        <v>-0.11764705882352941</v>
      </c>
      <c r="R39" s="13">
        <f t="shared" si="18"/>
        <v>-0.11085655507761362</v>
      </c>
    </row>
    <row r="40" spans="1:19" x14ac:dyDescent="0.25">
      <c r="C40" s="21"/>
    </row>
    <row r="41" spans="1:19" x14ac:dyDescent="0.25">
      <c r="A41" t="s">
        <v>56</v>
      </c>
      <c r="B41" s="5">
        <f t="shared" ref="B41:R41" si="19">-B24</f>
        <v>1125</v>
      </c>
      <c r="C41" s="5">
        <f t="shared" si="19"/>
        <v>1200</v>
      </c>
      <c r="D41" s="5">
        <f t="shared" si="19"/>
        <v>1224</v>
      </c>
      <c r="E41" s="5">
        <f t="shared" si="19"/>
        <v>1328</v>
      </c>
      <c r="F41" s="5">
        <f t="shared" si="19"/>
        <v>1472</v>
      </c>
      <c r="G41" s="5">
        <f t="shared" si="19"/>
        <v>1487</v>
      </c>
      <c r="H41" s="5">
        <f t="shared" si="19"/>
        <v>1699</v>
      </c>
      <c r="I41" s="5">
        <f t="shared" si="19"/>
        <v>1848</v>
      </c>
      <c r="J41" s="5">
        <f t="shared" si="19"/>
        <v>1727</v>
      </c>
      <c r="K41" s="5">
        <f t="shared" si="19"/>
        <v>1803</v>
      </c>
      <c r="L41" s="5">
        <f t="shared" si="19"/>
        <v>2079</v>
      </c>
      <c r="M41" s="5">
        <f t="shared" si="19"/>
        <v>2205</v>
      </c>
      <c r="N41" s="5">
        <f t="shared" si="19"/>
        <v>2315</v>
      </c>
      <c r="O41" s="5">
        <f t="shared" si="19"/>
        <v>2547</v>
      </c>
      <c r="P41" s="5">
        <f t="shared" si="19"/>
        <v>2530</v>
      </c>
      <c r="Q41" s="5">
        <f t="shared" si="19"/>
        <v>2346</v>
      </c>
      <c r="R41" s="5">
        <f t="shared" si="19"/>
        <v>2371</v>
      </c>
    </row>
    <row r="42" spans="1:19" x14ac:dyDescent="0.25">
      <c r="A42" t="s">
        <v>57</v>
      </c>
      <c r="B42" s="5">
        <f>-B33</f>
        <v>571</v>
      </c>
      <c r="C42" s="5">
        <f t="shared" ref="C42:R42" si="20">-C33</f>
        <v>620</v>
      </c>
      <c r="D42" s="5">
        <f t="shared" si="20"/>
        <v>716</v>
      </c>
      <c r="E42" s="5">
        <f t="shared" si="20"/>
        <v>548</v>
      </c>
      <c r="F42" s="5">
        <f t="shared" si="20"/>
        <v>697</v>
      </c>
      <c r="G42" s="5">
        <f t="shared" si="20"/>
        <v>755</v>
      </c>
      <c r="H42" s="5">
        <f t="shared" si="20"/>
        <v>715.10925204934006</v>
      </c>
      <c r="I42" s="5">
        <f t="shared" si="20"/>
        <v>906.73536182107</v>
      </c>
      <c r="J42" s="5">
        <f t="shared" si="20"/>
        <v>715.02517460284002</v>
      </c>
      <c r="K42" s="5">
        <f t="shared" si="20"/>
        <v>614.49019047616002</v>
      </c>
      <c r="L42" s="5">
        <f t="shared" si="20"/>
        <v>1180.29341269827</v>
      </c>
      <c r="M42" s="5">
        <f t="shared" si="20"/>
        <v>1565.0559244799999</v>
      </c>
      <c r="N42" s="5">
        <f t="shared" si="20"/>
        <v>1251.8242869047999</v>
      </c>
      <c r="O42" s="5">
        <f t="shared" si="20"/>
        <v>2042.2512862307999</v>
      </c>
      <c r="P42" s="5">
        <f t="shared" si="20"/>
        <v>2091.3805952380899</v>
      </c>
      <c r="Q42" s="5">
        <f t="shared" si="20"/>
        <v>1180.4843373015874</v>
      </c>
      <c r="R42" s="5">
        <f t="shared" si="20"/>
        <v>755.57993730407543</v>
      </c>
    </row>
    <row r="43" spans="1:19" x14ac:dyDescent="0.25">
      <c r="A43" t="s">
        <v>31</v>
      </c>
      <c r="B43" s="10">
        <f>B42/B41</f>
        <v>0.50755555555555554</v>
      </c>
      <c r="C43" s="10">
        <f t="shared" ref="C43:R43" si="21">C42/C41</f>
        <v>0.51666666666666672</v>
      </c>
      <c r="D43" s="10">
        <f t="shared" si="21"/>
        <v>0.58496732026143794</v>
      </c>
      <c r="E43" s="10">
        <f t="shared" si="21"/>
        <v>0.41265060240963858</v>
      </c>
      <c r="F43" s="10">
        <f t="shared" si="21"/>
        <v>0.4735054347826087</v>
      </c>
      <c r="G43" s="10">
        <f t="shared" si="21"/>
        <v>0.50773369199731</v>
      </c>
      <c r="H43" s="10">
        <f t="shared" si="21"/>
        <v>0.42090008949343144</v>
      </c>
      <c r="I43" s="10">
        <f t="shared" si="21"/>
        <v>0.49065766332308985</v>
      </c>
      <c r="J43" s="10">
        <f t="shared" si="21"/>
        <v>0.41402731592521136</v>
      </c>
      <c r="K43" s="10">
        <f t="shared" si="21"/>
        <v>0.34081541346431504</v>
      </c>
      <c r="L43" s="10">
        <f t="shared" si="21"/>
        <v>0.56772169922956706</v>
      </c>
      <c r="M43" s="10">
        <f t="shared" si="21"/>
        <v>0.70977592946938772</v>
      </c>
      <c r="N43" s="10">
        <f t="shared" si="21"/>
        <v>0.54074483235628501</v>
      </c>
      <c r="O43" s="10">
        <f t="shared" si="21"/>
        <v>0.80182618226572433</v>
      </c>
      <c r="P43" s="10">
        <f t="shared" si="21"/>
        <v>0.826632646339166</v>
      </c>
      <c r="Q43" s="10">
        <f t="shared" si="21"/>
        <v>0.50319025460425726</v>
      </c>
      <c r="R43" s="10">
        <f t="shared" si="21"/>
        <v>0.31867563783385722</v>
      </c>
    </row>
    <row r="44" spans="1:19" s="22" customFormat="1" x14ac:dyDescent="0.25">
      <c r="A44" s="22" t="s">
        <v>89</v>
      </c>
      <c r="B44" s="10">
        <f>-B17/B2</f>
        <v>0.15660203139427517</v>
      </c>
      <c r="C44" s="10">
        <f t="shared" ref="C44:R44" si="22">-C17/C2</f>
        <v>0.16309705170714223</v>
      </c>
      <c r="D44" s="10">
        <f t="shared" si="22"/>
        <v>0.16795082676824519</v>
      </c>
      <c r="E44" s="10">
        <f t="shared" si="22"/>
        <v>0.15358166189111747</v>
      </c>
      <c r="F44" s="10">
        <f t="shared" si="22"/>
        <v>0.15974370304904995</v>
      </c>
      <c r="G44" s="10">
        <f t="shared" si="22"/>
        <v>0.14392091410964181</v>
      </c>
      <c r="H44" s="10">
        <f t="shared" si="22"/>
        <v>0.15328870601240557</v>
      </c>
      <c r="I44" s="10">
        <f t="shared" si="22"/>
        <v>0.15325542570951586</v>
      </c>
      <c r="J44" s="10">
        <f t="shared" si="22"/>
        <v>0.16644276320441206</v>
      </c>
      <c r="K44" s="10">
        <f t="shared" si="22"/>
        <v>0.14630120837017388</v>
      </c>
      <c r="L44" s="10">
        <f t="shared" si="22"/>
        <v>0.1623970956690699</v>
      </c>
      <c r="M44" s="10">
        <f t="shared" si="22"/>
        <v>0.17862945617891618</v>
      </c>
      <c r="N44" s="10">
        <f t="shared" si="22"/>
        <v>0.15917679734098256</v>
      </c>
      <c r="O44" s="10">
        <f t="shared" si="22"/>
        <v>0.18117392029348006</v>
      </c>
      <c r="P44" s="10">
        <f t="shared" si="22"/>
        <v>0.21317562921193783</v>
      </c>
      <c r="Q44" s="10">
        <f t="shared" si="22"/>
        <v>0.17576851712552027</v>
      </c>
      <c r="R44" s="10">
        <f t="shared" si="22"/>
        <v>0.14711894227155767</v>
      </c>
    </row>
    <row r="45" spans="1:19" s="22" customFormat="1" x14ac:dyDescent="0.25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</row>
    <row r="46" spans="1:19" s="21" customFormat="1" x14ac:dyDescent="0.25">
      <c r="A46" s="21" t="s">
        <v>32</v>
      </c>
      <c r="B46" s="10">
        <f>B41/B25</f>
        <v>1.5202702702702702</v>
      </c>
      <c r="C46" s="10">
        <f t="shared" ref="C46:R46" si="23">C41/C25</f>
        <v>1.2012012012012012</v>
      </c>
      <c r="D46" s="10">
        <f t="shared" si="23"/>
        <v>1.0041017227235438</v>
      </c>
      <c r="E46" s="10">
        <f t="shared" si="23"/>
        <v>1.4294940796555435</v>
      </c>
      <c r="F46" s="10">
        <f t="shared" si="23"/>
        <v>1.3107747105966161</v>
      </c>
      <c r="G46" s="10">
        <f t="shared" si="23"/>
        <v>1.0674802584350322</v>
      </c>
      <c r="H46" s="10">
        <f t="shared" si="23"/>
        <v>1.0766793409378961</v>
      </c>
      <c r="I46" s="10">
        <f t="shared" si="23"/>
        <v>0.84153005464480879</v>
      </c>
      <c r="J46" s="10">
        <f t="shared" si="23"/>
        <v>1.1692620176032498</v>
      </c>
      <c r="K46" s="10">
        <f t="shared" si="23"/>
        <v>0.7832319721980886</v>
      </c>
      <c r="L46" s="10">
        <f t="shared" si="23"/>
        <v>0.54797047970479706</v>
      </c>
      <c r="M46" s="10">
        <f t="shared" si="23"/>
        <v>0.55738119312436807</v>
      </c>
      <c r="N46" s="10">
        <f t="shared" si="23"/>
        <v>0.51353149955634425</v>
      </c>
      <c r="O46" s="10">
        <f t="shared" si="23"/>
        <v>0.51165126556850138</v>
      </c>
      <c r="P46" s="10">
        <f t="shared" si="23"/>
        <v>0.52111225540679706</v>
      </c>
      <c r="Q46" s="10">
        <f t="shared" si="23"/>
        <v>0.46938775510204084</v>
      </c>
      <c r="R46" s="10">
        <f t="shared" si="23"/>
        <v>0.47677458274683288</v>
      </c>
    </row>
    <row r="47" spans="1:19" s="22" customFormat="1" x14ac:dyDescent="0.25">
      <c r="A47" s="22" t="s">
        <v>21</v>
      </c>
      <c r="B47" s="25">
        <f>-B39</f>
        <v>0.1038781163434903</v>
      </c>
      <c r="C47" s="10">
        <f t="shared" ref="C47:R47" si="24">-C39</f>
        <v>0.10753651760910476</v>
      </c>
      <c r="D47" s="10">
        <f t="shared" si="24"/>
        <v>0.10596485152800623</v>
      </c>
      <c r="E47" s="10">
        <f t="shared" si="24"/>
        <v>0.10871878837494883</v>
      </c>
      <c r="F47" s="10">
        <f t="shared" si="24"/>
        <v>0.1084106643099131</v>
      </c>
      <c r="G47" s="10">
        <f t="shared" si="24"/>
        <v>9.5455129028116578E-2</v>
      </c>
      <c r="H47" s="10">
        <f t="shared" si="24"/>
        <v>0.1043419517287969</v>
      </c>
      <c r="I47" s="10">
        <f t="shared" si="24"/>
        <v>0.10283806343906511</v>
      </c>
      <c r="J47" s="10">
        <f t="shared" si="24"/>
        <v>0.12210987767800326</v>
      </c>
      <c r="K47" s="10">
        <f t="shared" si="24"/>
        <v>0.10627763041556144</v>
      </c>
      <c r="L47" s="10">
        <f t="shared" si="24"/>
        <v>0.1063046479521399</v>
      </c>
      <c r="M47" s="10">
        <f t="shared" si="24"/>
        <v>0.10537130842014719</v>
      </c>
      <c r="N47" s="10">
        <f t="shared" si="24"/>
        <v>0.10540454400582798</v>
      </c>
      <c r="O47" s="10">
        <f t="shared" si="24"/>
        <v>0.10617808904452226</v>
      </c>
      <c r="P47" s="10">
        <f t="shared" si="24"/>
        <v>0.11598587997982854</v>
      </c>
      <c r="Q47" s="10">
        <f t="shared" si="24"/>
        <v>0.11764705882352941</v>
      </c>
      <c r="R47" s="10">
        <f t="shared" si="24"/>
        <v>0.11085655507761362</v>
      </c>
    </row>
    <row r="48" spans="1:19" s="22" customFormat="1" x14ac:dyDescent="0.25">
      <c r="B48" s="25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</row>
    <row r="49" spans="1:18" s="21" customFormat="1" x14ac:dyDescent="0.25">
      <c r="A49" s="21" t="s">
        <v>47</v>
      </c>
      <c r="B49" s="25">
        <f t="shared" ref="B49:R49" si="25">-B30/B2</f>
        <v>5.2723915050784859E-2</v>
      </c>
      <c r="C49" s="10">
        <f t="shared" si="25"/>
        <v>5.5560534098037462E-2</v>
      </c>
      <c r="D49" s="10">
        <f t="shared" si="25"/>
        <v>6.1985975240238939E-2</v>
      </c>
      <c r="E49" s="10">
        <f t="shared" si="25"/>
        <v>4.4862873516168647E-2</v>
      </c>
      <c r="F49" s="10">
        <f t="shared" si="25"/>
        <v>5.133303873913684E-2</v>
      </c>
      <c r="G49" s="10">
        <f t="shared" si="25"/>
        <v>4.8465785081525228E-2</v>
      </c>
      <c r="H49" s="10">
        <f t="shared" si="25"/>
        <v>4.8946754283608673E-2</v>
      </c>
      <c r="I49" s="10">
        <f t="shared" si="25"/>
        <v>5.0417362270450752E-2</v>
      </c>
      <c r="J49" s="10">
        <f t="shared" si="25"/>
        <v>4.4332885526408822E-2</v>
      </c>
      <c r="K49" s="10">
        <f t="shared" si="25"/>
        <v>4.0023577954612435E-2</v>
      </c>
      <c r="L49" s="10">
        <f t="shared" si="25"/>
        <v>5.6092447716929998E-2</v>
      </c>
      <c r="M49" s="10">
        <f t="shared" si="25"/>
        <v>7.3258147758769002E-2</v>
      </c>
      <c r="N49" s="10">
        <f t="shared" si="25"/>
        <v>5.3772253335154577E-2</v>
      </c>
      <c r="O49" s="10">
        <f t="shared" si="25"/>
        <v>7.4995831248957812E-2</v>
      </c>
      <c r="P49" s="10">
        <f t="shared" si="25"/>
        <v>9.7189749232109296E-2</v>
      </c>
      <c r="Q49" s="10">
        <f t="shared" si="25"/>
        <v>5.8121458301990871E-2</v>
      </c>
      <c r="R49" s="10">
        <f t="shared" si="25"/>
        <v>3.6262387193944055E-2</v>
      </c>
    </row>
    <row r="50" spans="1:18" s="21" customFormat="1" x14ac:dyDescent="0.25"/>
    <row r="51" spans="1:18" s="22" customFormat="1" x14ac:dyDescent="0.25">
      <c r="A51" s="22" t="s">
        <v>50</v>
      </c>
      <c r="B51" s="10">
        <f>B20/B2</f>
        <v>0.17220683287165281</v>
      </c>
      <c r="C51" s="10">
        <f t="shared" ref="C51:R51" si="26">C20/C2</f>
        <v>0.19706066851868448</v>
      </c>
      <c r="D51" s="10">
        <f t="shared" si="26"/>
        <v>0.21149684010042422</v>
      </c>
      <c r="E51" s="10">
        <f t="shared" si="26"/>
        <v>0.18477282030290626</v>
      </c>
      <c r="F51" s="10">
        <f t="shared" si="26"/>
        <v>0.19111798497569599</v>
      </c>
      <c r="G51" s="10">
        <f t="shared" si="26"/>
        <v>0.18487610733085119</v>
      </c>
      <c r="H51" s="10">
        <f t="shared" si="26"/>
        <v>0.20125284038567831</v>
      </c>
      <c r="I51" s="10">
        <f t="shared" si="26"/>
        <v>0.22504173622704507</v>
      </c>
      <c r="J51" s="10">
        <f t="shared" si="26"/>
        <v>0.22654316623064413</v>
      </c>
      <c r="K51" s="10">
        <f t="shared" si="26"/>
        <v>0.24196875921013852</v>
      </c>
      <c r="L51" s="10">
        <f t="shared" si="26"/>
        <v>0.30030168226210563</v>
      </c>
      <c r="M51" s="10">
        <f t="shared" si="26"/>
        <v>0.29441842683742714</v>
      </c>
      <c r="N51" s="10">
        <f t="shared" si="26"/>
        <v>0.31065883531393707</v>
      </c>
      <c r="O51" s="10">
        <f t="shared" si="26"/>
        <v>0.313698515924629</v>
      </c>
      <c r="P51" s="10">
        <f t="shared" si="26"/>
        <v>0.33855957456562602</v>
      </c>
      <c r="Q51" s="10">
        <f t="shared" si="26"/>
        <v>0.36828644501278773</v>
      </c>
      <c r="R51" s="10">
        <f t="shared" si="26"/>
        <v>0.34337011408266316</v>
      </c>
    </row>
    <row r="52" spans="1:18" s="22" customFormat="1" x14ac:dyDescent="0.25">
      <c r="A52" s="21" t="s">
        <v>46</v>
      </c>
      <c r="B52" s="13">
        <f t="shared" ref="B52:R52" si="27">-B17/B2</f>
        <v>0.15660203139427517</v>
      </c>
      <c r="C52" s="10">
        <f t="shared" si="27"/>
        <v>0.16309705170714223</v>
      </c>
      <c r="D52" s="10">
        <f t="shared" si="27"/>
        <v>0.16795082676824519</v>
      </c>
      <c r="E52" s="10">
        <f t="shared" si="27"/>
        <v>0.15358166189111747</v>
      </c>
      <c r="F52" s="10">
        <f t="shared" si="27"/>
        <v>0.15974370304904995</v>
      </c>
      <c r="G52" s="10">
        <f t="shared" si="27"/>
        <v>0.14392091410964181</v>
      </c>
      <c r="H52" s="10">
        <f t="shared" si="27"/>
        <v>0.15328870601240557</v>
      </c>
      <c r="I52" s="10">
        <f t="shared" si="27"/>
        <v>0.15325542570951586</v>
      </c>
      <c r="J52" s="10">
        <f t="shared" si="27"/>
        <v>0.16644276320441206</v>
      </c>
      <c r="K52" s="10">
        <f t="shared" si="27"/>
        <v>0.14630120837017388</v>
      </c>
      <c r="L52" s="10">
        <f t="shared" si="27"/>
        <v>0.1623970956690699</v>
      </c>
      <c r="M52" s="10">
        <f t="shared" si="27"/>
        <v>0.17862945617891618</v>
      </c>
      <c r="N52" s="10">
        <f t="shared" si="27"/>
        <v>0.15917679734098256</v>
      </c>
      <c r="O52" s="10">
        <f t="shared" si="27"/>
        <v>0.18117392029348006</v>
      </c>
      <c r="P52" s="10">
        <f t="shared" si="27"/>
        <v>0.21317562921193783</v>
      </c>
      <c r="Q52" s="10">
        <f t="shared" si="27"/>
        <v>0.17576851712552027</v>
      </c>
      <c r="R52" s="10">
        <f t="shared" si="27"/>
        <v>0.14711894227155767</v>
      </c>
    </row>
    <row r="53" spans="1:18" s="22" customFormat="1" x14ac:dyDescent="0.25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</row>
    <row r="54" spans="1:18" s="22" customFormat="1" x14ac:dyDescent="0.25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</row>
    <row r="55" spans="1:18" x14ac:dyDescent="0.25">
      <c r="A55" t="s">
        <v>9</v>
      </c>
      <c r="B55" s="1"/>
      <c r="C55" s="21"/>
      <c r="D55" s="1"/>
      <c r="E55" s="1"/>
      <c r="F55" s="1"/>
      <c r="G55" s="1"/>
      <c r="H55" s="1"/>
      <c r="I55" s="1">
        <v>810</v>
      </c>
      <c r="J55" s="1">
        <v>841</v>
      </c>
      <c r="K55" s="1">
        <v>795</v>
      </c>
      <c r="L55" s="1">
        <v>895</v>
      </c>
      <c r="M55" s="1">
        <v>964</v>
      </c>
      <c r="N55" s="1">
        <v>834</v>
      </c>
      <c r="O55" s="1">
        <v>912</v>
      </c>
      <c r="P55" s="1">
        <v>767</v>
      </c>
      <c r="Q55" s="1">
        <v>791</v>
      </c>
    </row>
    <row r="56" spans="1:18" x14ac:dyDescent="0.25">
      <c r="A56" t="s">
        <v>10</v>
      </c>
      <c r="B56" s="1"/>
      <c r="C56" s="21"/>
      <c r="D56" s="1"/>
      <c r="E56" s="1"/>
      <c r="F56" s="1"/>
      <c r="G56" s="1"/>
      <c r="H56" s="1"/>
      <c r="I56" s="1">
        <v>118</v>
      </c>
      <c r="J56" s="1">
        <v>62</v>
      </c>
      <c r="K56" s="1">
        <v>46</v>
      </c>
      <c r="L56" s="1">
        <v>69</v>
      </c>
      <c r="M56" s="1">
        <v>139</v>
      </c>
      <c r="N56" s="1">
        <v>97</v>
      </c>
      <c r="O56" s="1">
        <v>119</v>
      </c>
      <c r="P56" s="1">
        <v>103</v>
      </c>
      <c r="Q56" s="1">
        <v>52</v>
      </c>
    </row>
    <row r="57" spans="1:18" x14ac:dyDescent="0.25">
      <c r="A57" t="s">
        <v>11</v>
      </c>
      <c r="B57" s="1"/>
      <c r="C57" s="21"/>
      <c r="D57" s="1"/>
      <c r="E57" s="1"/>
      <c r="F57" s="1"/>
      <c r="G57" s="1"/>
      <c r="H57" s="1"/>
      <c r="I57" s="1">
        <v>4599</v>
      </c>
      <c r="J57" s="1">
        <v>4814</v>
      </c>
      <c r="K57" s="1">
        <v>4334</v>
      </c>
      <c r="L57" s="1">
        <v>3785</v>
      </c>
      <c r="M57" s="1">
        <v>4436</v>
      </c>
      <c r="N57" s="1">
        <v>3870</v>
      </c>
      <c r="O57" s="1">
        <v>4076</v>
      </c>
      <c r="P57" s="1">
        <v>4178</v>
      </c>
      <c r="Q57" s="1">
        <v>4482</v>
      </c>
    </row>
    <row r="58" spans="1:18" x14ac:dyDescent="0.25">
      <c r="A58" t="s">
        <v>12</v>
      </c>
      <c r="B58" s="1"/>
      <c r="C58" s="21"/>
      <c r="D58" s="1"/>
      <c r="E58" s="1"/>
      <c r="F58" s="1"/>
      <c r="G58" s="1"/>
      <c r="H58" s="1"/>
      <c r="I58" s="1">
        <v>14454</v>
      </c>
      <c r="J58" s="1">
        <v>15128</v>
      </c>
      <c r="K58" s="1">
        <v>10883</v>
      </c>
      <c r="L58" s="1">
        <v>11284</v>
      </c>
      <c r="M58" s="1">
        <v>11049</v>
      </c>
      <c r="N58" s="1">
        <v>11017</v>
      </c>
      <c r="O58" s="1">
        <v>10791</v>
      </c>
      <c r="P58" s="1">
        <v>10076</v>
      </c>
      <c r="Q58" s="1">
        <v>11764</v>
      </c>
    </row>
    <row r="59" spans="1:18" x14ac:dyDescent="0.25">
      <c r="C59" s="21"/>
    </row>
    <row r="60" spans="1:18" x14ac:dyDescent="0.25">
      <c r="C60" s="21"/>
    </row>
    <row r="61" spans="1:18" x14ac:dyDescent="0.25">
      <c r="C61" s="21"/>
      <c r="G61" t="s">
        <v>54</v>
      </c>
      <c r="H61" s="1">
        <v>1902.086</v>
      </c>
      <c r="I61" s="1">
        <v>2676.7514999999999</v>
      </c>
      <c r="J61" s="1">
        <v>1738.1669999999999</v>
      </c>
      <c r="K61" s="1">
        <v>2595.7588999999998</v>
      </c>
      <c r="L61" s="1">
        <v>4208.098</v>
      </c>
      <c r="M61" s="1">
        <v>4370.3584000000001</v>
      </c>
      <c r="N61" s="1">
        <v>5019.3148000000001</v>
      </c>
      <c r="O61" s="1">
        <v>5466.5962</v>
      </c>
      <c r="P61" s="1">
        <v>5317.3225000000002</v>
      </c>
      <c r="Q61" s="1">
        <v>5445</v>
      </c>
    </row>
    <row r="62" spans="1:18" x14ac:dyDescent="0.25">
      <c r="C62" s="21"/>
      <c r="G62" t="s">
        <v>55</v>
      </c>
      <c r="H62" s="5">
        <f>H25</f>
        <v>1578</v>
      </c>
      <c r="I62" s="5">
        <f t="shared" ref="I62:Q62" si="28">I25</f>
        <v>2196</v>
      </c>
      <c r="J62" s="5">
        <f t="shared" si="28"/>
        <v>1477</v>
      </c>
      <c r="K62" s="5">
        <f t="shared" si="28"/>
        <v>2302</v>
      </c>
      <c r="L62" s="5">
        <f t="shared" si="28"/>
        <v>3794</v>
      </c>
      <c r="M62" s="5">
        <f t="shared" si="28"/>
        <v>3956</v>
      </c>
      <c r="N62" s="5">
        <f t="shared" si="28"/>
        <v>4508</v>
      </c>
      <c r="O62" s="5">
        <f t="shared" si="28"/>
        <v>4978</v>
      </c>
      <c r="P62" s="5">
        <f t="shared" si="28"/>
        <v>4855</v>
      </c>
      <c r="Q62" s="5">
        <f t="shared" si="28"/>
        <v>4998</v>
      </c>
    </row>
    <row r="64" spans="1:18" x14ac:dyDescent="0.25">
      <c r="H64" s="22"/>
      <c r="I64" s="22">
        <v>2007</v>
      </c>
      <c r="J64" s="22">
        <v>2008</v>
      </c>
      <c r="K64" s="22">
        <v>2009</v>
      </c>
      <c r="L64" s="22">
        <v>2010</v>
      </c>
      <c r="M64" s="22">
        <v>2011</v>
      </c>
      <c r="N64" s="22">
        <v>2012</v>
      </c>
      <c r="O64" s="22">
        <v>2013</v>
      </c>
      <c r="P64" s="22">
        <v>2014</v>
      </c>
      <c r="Q64" s="22">
        <v>2015</v>
      </c>
      <c r="R64" s="22">
        <v>2016</v>
      </c>
    </row>
    <row r="65" spans="8:19" x14ac:dyDescent="0.25">
      <c r="H65" s="22" t="s">
        <v>98</v>
      </c>
      <c r="I65" s="5">
        <f>-2248</f>
        <v>-2248</v>
      </c>
      <c r="J65" s="5">
        <f>-2167</f>
        <v>-2167</v>
      </c>
      <c r="K65" s="5">
        <f>-1991</f>
        <v>-1991</v>
      </c>
      <c r="L65" s="5">
        <f>-137-1829</f>
        <v>-1966</v>
      </c>
      <c r="M65" s="5">
        <v>-2726</v>
      </c>
      <c r="N65" s="5">
        <v>-2596</v>
      </c>
      <c r="O65" s="5">
        <v>-2975</v>
      </c>
      <c r="P65" s="5">
        <f>-3734</f>
        <v>-3734</v>
      </c>
      <c r="Q65" s="5">
        <f>-4425</f>
        <v>-4425</v>
      </c>
      <c r="R65" s="5">
        <f>-3205</f>
        <v>-3205</v>
      </c>
      <c r="S65" s="24"/>
    </row>
    <row r="66" spans="8:19" x14ac:dyDescent="0.25">
      <c r="H66" s="22" t="s">
        <v>99</v>
      </c>
      <c r="I66" s="5">
        <f>I24</f>
        <v>-1848</v>
      </c>
      <c r="J66" s="5">
        <f t="shared" ref="J66:N66" si="29">J24</f>
        <v>-1727</v>
      </c>
      <c r="K66" s="5">
        <f t="shared" si="29"/>
        <v>-1803</v>
      </c>
      <c r="L66" s="5">
        <f t="shared" si="29"/>
        <v>-2079</v>
      </c>
      <c r="M66" s="5">
        <f t="shared" si="29"/>
        <v>-2205</v>
      </c>
      <c r="N66" s="5">
        <f t="shared" si="29"/>
        <v>-2315</v>
      </c>
      <c r="O66" s="5">
        <v>-1959</v>
      </c>
      <c r="P66" s="5">
        <v>-2800</v>
      </c>
      <c r="Q66" s="5">
        <v>-3036.96</v>
      </c>
      <c r="R66" s="5">
        <v>-2764.0800000000004</v>
      </c>
    </row>
  </sheetData>
  <pageMargins left="0.7" right="0.7" top="0.75" bottom="0.75" header="0.3" footer="0.3"/>
  <pageSetup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64D90-0D2C-435B-A922-9D86D6FEB028}">
  <dimension ref="A1:T96"/>
  <sheetViews>
    <sheetView topLeftCell="A61" workbookViewId="0">
      <selection activeCell="V23" sqref="V23"/>
    </sheetView>
  </sheetViews>
  <sheetFormatPr defaultRowHeight="15" x14ac:dyDescent="0.25"/>
  <cols>
    <col min="1" max="1" width="35.28515625" bestFit="1" customWidth="1"/>
  </cols>
  <sheetData>
    <row r="1" spans="1:19" s="22" customFormat="1" x14ac:dyDescent="0.25">
      <c r="B1" s="22">
        <v>2007</v>
      </c>
      <c r="C1" s="22">
        <v>2008</v>
      </c>
      <c r="D1" s="22">
        <v>2009</v>
      </c>
      <c r="E1" s="22">
        <v>2010</v>
      </c>
      <c r="F1" s="22">
        <v>2011</v>
      </c>
      <c r="G1" s="22">
        <v>2012</v>
      </c>
      <c r="H1" s="22">
        <v>2013</v>
      </c>
      <c r="I1" s="22">
        <v>2014</v>
      </c>
      <c r="J1" s="22">
        <v>2015</v>
      </c>
      <c r="K1" s="22">
        <v>2016</v>
      </c>
    </row>
    <row r="2" spans="1:19" x14ac:dyDescent="0.25">
      <c r="A2" s="2" t="s">
        <v>0</v>
      </c>
      <c r="B2" s="5">
        <v>628</v>
      </c>
      <c r="C2" s="5">
        <v>620</v>
      </c>
      <c r="D2" s="5">
        <v>614</v>
      </c>
      <c r="E2" s="5">
        <v>626</v>
      </c>
      <c r="F2" s="5">
        <v>697</v>
      </c>
      <c r="G2" s="5">
        <v>759</v>
      </c>
      <c r="H2" s="5">
        <v>743</v>
      </c>
      <c r="I2" s="5">
        <v>749</v>
      </c>
      <c r="J2" s="5">
        <v>734</v>
      </c>
      <c r="K2" s="5">
        <v>628</v>
      </c>
    </row>
    <row r="3" spans="1:19" x14ac:dyDescent="0.25">
      <c r="A3" s="2" t="s">
        <v>1</v>
      </c>
      <c r="B3" s="5">
        <v>404</v>
      </c>
      <c r="C3" s="5">
        <v>425</v>
      </c>
      <c r="D3" s="5">
        <v>449</v>
      </c>
      <c r="E3" s="5">
        <v>444</v>
      </c>
      <c r="F3" s="5">
        <v>403</v>
      </c>
      <c r="G3" s="5">
        <v>434</v>
      </c>
      <c r="H3" s="5">
        <v>438</v>
      </c>
      <c r="I3" s="5">
        <v>415</v>
      </c>
      <c r="J3" s="5">
        <v>455</v>
      </c>
      <c r="K3" s="5">
        <v>494</v>
      </c>
    </row>
    <row r="4" spans="1:19" x14ac:dyDescent="0.25">
      <c r="A4" s="2" t="s">
        <v>2</v>
      </c>
      <c r="B4" s="5">
        <v>206</v>
      </c>
      <c r="C4" s="5">
        <v>243</v>
      </c>
      <c r="D4" s="5">
        <v>208</v>
      </c>
      <c r="E4" s="5">
        <v>190</v>
      </c>
      <c r="F4" s="5">
        <v>220</v>
      </c>
      <c r="G4" s="5">
        <v>203</v>
      </c>
      <c r="H4" s="5">
        <v>226</v>
      </c>
      <c r="I4" s="5">
        <v>204</v>
      </c>
      <c r="J4" s="5">
        <v>233</v>
      </c>
      <c r="K4" s="5">
        <v>235</v>
      </c>
    </row>
    <row r="5" spans="1:19" x14ac:dyDescent="0.25">
      <c r="A5" s="2" t="s">
        <v>53</v>
      </c>
      <c r="B5" s="5">
        <v>355</v>
      </c>
      <c r="C5" s="5">
        <v>386</v>
      </c>
      <c r="D5" s="5">
        <v>338</v>
      </c>
      <c r="E5" s="5">
        <v>365</v>
      </c>
      <c r="F5" s="5">
        <v>382</v>
      </c>
      <c r="G5" s="5">
        <v>312</v>
      </c>
      <c r="H5" s="5">
        <v>326</v>
      </c>
      <c r="I5" s="5">
        <v>378</v>
      </c>
      <c r="J5" s="5">
        <v>438</v>
      </c>
      <c r="K5" s="5">
        <v>480</v>
      </c>
    </row>
    <row r="6" spans="1:19" x14ac:dyDescent="0.25">
      <c r="A6" s="2" t="s">
        <v>4</v>
      </c>
      <c r="B6" s="5">
        <v>419</v>
      </c>
      <c r="C6" s="5">
        <v>488</v>
      </c>
      <c r="D6" s="5">
        <v>162</v>
      </c>
      <c r="E6" s="5">
        <v>122</v>
      </c>
      <c r="F6" s="5">
        <v>311</v>
      </c>
      <c r="G6" s="5">
        <v>489</v>
      </c>
      <c r="H6" s="5">
        <v>455</v>
      </c>
      <c r="I6" s="5">
        <v>515</v>
      </c>
      <c r="J6" s="5">
        <v>457</v>
      </c>
      <c r="K6" s="5">
        <v>153</v>
      </c>
    </row>
    <row r="7" spans="1:19" x14ac:dyDescent="0.25">
      <c r="A7" s="2" t="s">
        <v>5</v>
      </c>
      <c r="B7" s="5">
        <v>115</v>
      </c>
      <c r="C7" s="5">
        <v>254</v>
      </c>
      <c r="D7" s="5">
        <v>193</v>
      </c>
      <c r="E7" s="5">
        <v>227</v>
      </c>
      <c r="F7" s="5">
        <v>111</v>
      </c>
      <c r="G7" s="5">
        <v>169</v>
      </c>
      <c r="H7" s="5">
        <v>146</v>
      </c>
      <c r="I7" s="5">
        <v>217</v>
      </c>
      <c r="J7" s="5">
        <v>227</v>
      </c>
      <c r="K7" s="5">
        <v>152</v>
      </c>
    </row>
    <row r="8" spans="1:19" x14ac:dyDescent="0.25">
      <c r="A8" s="2" t="s">
        <v>6</v>
      </c>
      <c r="B8" s="5">
        <v>263</v>
      </c>
      <c r="C8" s="5">
        <v>164</v>
      </c>
      <c r="D8" s="5">
        <v>272</v>
      </c>
      <c r="E8" s="5">
        <v>330</v>
      </c>
      <c r="F8" s="5">
        <v>675</v>
      </c>
      <c r="G8" s="5">
        <v>875</v>
      </c>
      <c r="H8" s="5">
        <v>580</v>
      </c>
      <c r="I8" s="5">
        <v>1067</v>
      </c>
      <c r="J8" s="5">
        <v>1436</v>
      </c>
      <c r="K8" s="5">
        <v>854</v>
      </c>
    </row>
    <row r="9" spans="1:19" x14ac:dyDescent="0.25">
      <c r="A9" s="2" t="s">
        <v>7</v>
      </c>
      <c r="B9" s="5">
        <v>0</v>
      </c>
      <c r="C9" s="5">
        <v>0</v>
      </c>
      <c r="D9" s="5">
        <v>28</v>
      </c>
      <c r="E9" s="5">
        <v>84</v>
      </c>
      <c r="F9" s="5">
        <v>229</v>
      </c>
      <c r="G9" s="5">
        <v>349</v>
      </c>
      <c r="H9" s="5">
        <v>419</v>
      </c>
      <c r="I9" s="5">
        <v>384</v>
      </c>
      <c r="J9" s="5">
        <v>381</v>
      </c>
      <c r="K9" s="5">
        <v>371</v>
      </c>
    </row>
    <row r="10" spans="1:19" x14ac:dyDescent="0.25">
      <c r="A10" s="2" t="s">
        <v>8</v>
      </c>
      <c r="B10" s="5">
        <v>106</v>
      </c>
      <c r="C10" s="5">
        <v>174</v>
      </c>
      <c r="D10" s="5">
        <v>90</v>
      </c>
      <c r="E10" s="5">
        <v>94</v>
      </c>
      <c r="F10" s="5">
        <v>148</v>
      </c>
      <c r="G10" s="5">
        <v>148</v>
      </c>
      <c r="H10" s="5">
        <v>163</v>
      </c>
      <c r="I10" s="5">
        <v>417</v>
      </c>
      <c r="J10" s="5">
        <v>289</v>
      </c>
      <c r="K10" s="5">
        <v>138</v>
      </c>
    </row>
    <row r="12" spans="1:19" x14ac:dyDescent="0.25">
      <c r="A12" s="4" t="s">
        <v>17</v>
      </c>
      <c r="B12" s="5">
        <v>10830</v>
      </c>
      <c r="C12" s="5">
        <v>11159</v>
      </c>
      <c r="D12" s="5">
        <v>11551</v>
      </c>
      <c r="E12" s="5">
        <v>12215</v>
      </c>
      <c r="F12" s="5">
        <v>13578</v>
      </c>
      <c r="G12" s="5">
        <v>15578</v>
      </c>
      <c r="H12" s="5">
        <v>16283</v>
      </c>
      <c r="I12" s="5">
        <v>17970</v>
      </c>
      <c r="J12" s="5">
        <v>14143</v>
      </c>
      <c r="K12" s="5">
        <v>16965</v>
      </c>
      <c r="L12" s="5">
        <v>19557</v>
      </c>
      <c r="M12" s="5">
        <v>20926</v>
      </c>
      <c r="N12" s="5">
        <v>21963</v>
      </c>
      <c r="O12" s="5">
        <v>23988</v>
      </c>
      <c r="P12" s="5">
        <v>21813</v>
      </c>
      <c r="Q12" s="5">
        <v>19941</v>
      </c>
      <c r="R12" s="5">
        <v>21333</v>
      </c>
      <c r="S12" s="10">
        <f>(Q12/B12)^(1/15)-1</f>
        <v>4.1536670258812025E-2</v>
      </c>
    </row>
    <row r="14" spans="1:19" x14ac:dyDescent="0.25">
      <c r="B14" s="22">
        <v>2001</v>
      </c>
      <c r="C14" s="22">
        <v>2002</v>
      </c>
      <c r="D14" s="22">
        <v>2003</v>
      </c>
      <c r="E14" s="22">
        <v>2004</v>
      </c>
      <c r="F14" s="22">
        <v>2005</v>
      </c>
      <c r="G14" s="22">
        <v>2006</v>
      </c>
      <c r="H14" s="22">
        <v>2007</v>
      </c>
      <c r="I14" s="22">
        <v>2008</v>
      </c>
      <c r="J14" s="22">
        <v>2009</v>
      </c>
      <c r="K14" s="22">
        <v>2010</v>
      </c>
      <c r="L14" s="22">
        <v>2011</v>
      </c>
      <c r="M14" s="22">
        <v>2012</v>
      </c>
      <c r="N14" s="22">
        <v>2013</v>
      </c>
      <c r="O14" s="22">
        <v>2014</v>
      </c>
      <c r="P14" s="22">
        <v>2015</v>
      </c>
      <c r="Q14" s="22">
        <v>2016</v>
      </c>
    </row>
    <row r="15" spans="1:19" x14ac:dyDescent="0.25">
      <c r="A15" t="s">
        <v>61</v>
      </c>
      <c r="B15" s="5">
        <v>3586</v>
      </c>
      <c r="C15" s="5">
        <v>3694</v>
      </c>
      <c r="D15" s="5">
        <v>3892</v>
      </c>
      <c r="E15" s="5">
        <v>4167</v>
      </c>
      <c r="F15" s="5">
        <v>4375</v>
      </c>
      <c r="G15" s="5">
        <v>4599</v>
      </c>
      <c r="H15" s="5">
        <v>4591</v>
      </c>
      <c r="I15" s="5">
        <v>4457</v>
      </c>
      <c r="J15" s="5">
        <v>4063</v>
      </c>
      <c r="K15" s="5">
        <v>4314</v>
      </c>
      <c r="L15" s="5">
        <v>4681</v>
      </c>
      <c r="M15" s="5">
        <v>4685</v>
      </c>
      <c r="N15" s="5">
        <v>4807</v>
      </c>
      <c r="O15" s="5">
        <v>5076</v>
      </c>
      <c r="P15" s="5">
        <v>5161</v>
      </c>
      <c r="Q15" s="5">
        <v>4750</v>
      </c>
      <c r="S15" s="10">
        <f t="shared" ref="S15:S22" si="0">(Q15/B15)^(1/15)-1</f>
        <v>1.8917187825884474E-2</v>
      </c>
    </row>
    <row r="16" spans="1:19" x14ac:dyDescent="0.25">
      <c r="A16" t="s">
        <v>69</v>
      </c>
      <c r="B16" s="5">
        <v>545</v>
      </c>
      <c r="C16" s="5">
        <v>680</v>
      </c>
      <c r="D16" s="5">
        <v>581</v>
      </c>
      <c r="E16" s="5">
        <v>252</v>
      </c>
      <c r="F16" s="5">
        <v>410</v>
      </c>
      <c r="G16" s="5">
        <v>919</v>
      </c>
      <c r="H16" s="5">
        <v>1154</v>
      </c>
      <c r="I16" s="5">
        <v>1316</v>
      </c>
      <c r="J16" s="5">
        <v>1084</v>
      </c>
      <c r="K16" s="5">
        <v>1653</v>
      </c>
      <c r="L16" s="5">
        <v>1972</v>
      </c>
      <c r="M16" s="5">
        <v>2375</v>
      </c>
      <c r="N16" s="5">
        <v>2660</v>
      </c>
      <c r="O16" s="5">
        <v>3163</v>
      </c>
      <c r="P16" s="5">
        <v>2884</v>
      </c>
      <c r="Q16" s="5">
        <v>2533</v>
      </c>
      <c r="S16" s="10">
        <f t="shared" si="0"/>
        <v>0.10785412518695114</v>
      </c>
    </row>
    <row r="17" spans="1:19" x14ac:dyDescent="0.25">
      <c r="A17" t="s">
        <v>62</v>
      </c>
      <c r="B17" s="5">
        <f>821+487</f>
        <v>1308</v>
      </c>
      <c r="C17" s="5">
        <f>925+476</f>
        <v>1401</v>
      </c>
      <c r="D17" s="5">
        <f>1067+414</f>
        <v>1481</v>
      </c>
      <c r="E17" s="5">
        <f>488+1270</f>
        <v>1758</v>
      </c>
      <c r="F17" s="5">
        <f>1312+546</f>
        <v>1858</v>
      </c>
      <c r="G17" s="5">
        <f>1290+691</f>
        <v>1981</v>
      </c>
      <c r="H17" s="5">
        <f>1374+714</f>
        <v>2088</v>
      </c>
      <c r="I17" s="5">
        <v>1928</v>
      </c>
      <c r="J17" s="5">
        <v>1644</v>
      </c>
      <c r="K17" s="5">
        <v>1836</v>
      </c>
      <c r="L17" s="5">
        <v>2005</v>
      </c>
      <c r="M17" s="5">
        <v>2143</v>
      </c>
      <c r="N17" s="5">
        <v>2315</v>
      </c>
      <c r="O17" s="5">
        <v>2558</v>
      </c>
      <c r="P17" s="5">
        <v>2421</v>
      </c>
      <c r="Q17" s="5">
        <v>2258</v>
      </c>
      <c r="S17" s="10">
        <f t="shared" si="0"/>
        <v>3.7069223718299904E-2</v>
      </c>
    </row>
    <row r="18" spans="1:19" x14ac:dyDescent="0.25">
      <c r="A18" t="s">
        <v>63</v>
      </c>
      <c r="B18" s="5">
        <v>1126</v>
      </c>
      <c r="C18" s="5">
        <v>1147</v>
      </c>
      <c r="D18" s="5">
        <v>1067</v>
      </c>
      <c r="E18" s="5">
        <v>1111</v>
      </c>
      <c r="F18" s="5">
        <v>1175</v>
      </c>
      <c r="G18" s="5">
        <v>1237</v>
      </c>
      <c r="H18" s="5">
        <v>1321</v>
      </c>
      <c r="I18" s="5">
        <v>1366</v>
      </c>
      <c r="J18" s="5">
        <v>1427</v>
      </c>
      <c r="K18" s="5">
        <v>1487</v>
      </c>
      <c r="L18" s="5">
        <v>1617</v>
      </c>
      <c r="M18" s="5">
        <v>1760</v>
      </c>
      <c r="N18" s="5">
        <v>1777</v>
      </c>
      <c r="O18" s="5">
        <v>1904</v>
      </c>
      <c r="P18" s="5">
        <v>2012</v>
      </c>
      <c r="Q18" s="5">
        <v>2038</v>
      </c>
      <c r="S18" s="10">
        <f t="shared" si="0"/>
        <v>4.0345802550368681E-2</v>
      </c>
    </row>
    <row r="19" spans="1:19" x14ac:dyDescent="0.25">
      <c r="A19" t="s">
        <v>64</v>
      </c>
      <c r="B19" s="5">
        <v>1341</v>
      </c>
      <c r="C19" s="5">
        <v>1065</v>
      </c>
      <c r="D19" s="5">
        <v>1249</v>
      </c>
      <c r="E19" s="5">
        <v>1816</v>
      </c>
      <c r="F19" s="5">
        <v>2562</v>
      </c>
      <c r="G19" s="5">
        <v>3012</v>
      </c>
      <c r="H19" s="5">
        <v>3164</v>
      </c>
      <c r="I19" s="5">
        <v>3983</v>
      </c>
      <c r="J19" s="5">
        <v>1763</v>
      </c>
      <c r="K19" s="5">
        <v>2486</v>
      </c>
      <c r="L19" s="5">
        <v>3581</v>
      </c>
      <c r="M19" s="5">
        <v>3608</v>
      </c>
      <c r="N19" s="5">
        <v>3534</v>
      </c>
      <c r="O19" s="5">
        <v>3539</v>
      </c>
      <c r="P19" s="5">
        <v>2013</v>
      </c>
      <c r="Q19" s="5">
        <v>1489</v>
      </c>
      <c r="S19" s="10">
        <f t="shared" si="0"/>
        <v>7.0036885373849778E-3</v>
      </c>
    </row>
    <row r="20" spans="1:19" x14ac:dyDescent="0.25">
      <c r="A20" t="s">
        <v>65</v>
      </c>
      <c r="B20" s="5">
        <v>1126</v>
      </c>
      <c r="C20" s="5">
        <v>1147</v>
      </c>
      <c r="D20" s="5">
        <v>1067</v>
      </c>
      <c r="E20" s="5">
        <v>1374</v>
      </c>
      <c r="F20" s="5">
        <v>1402</v>
      </c>
      <c r="G20" s="5">
        <v>1455</v>
      </c>
      <c r="H20" s="5">
        <v>1423</v>
      </c>
      <c r="I20" s="5">
        <v>1326</v>
      </c>
      <c r="J20" s="5">
        <v>1180</v>
      </c>
      <c r="K20" s="5">
        <v>1142</v>
      </c>
      <c r="L20" s="5">
        <v>1167</v>
      </c>
      <c r="M20" s="5">
        <v>1197</v>
      </c>
      <c r="N20" s="5">
        <v>1235</v>
      </c>
      <c r="O20" s="5">
        <v>1234</v>
      </c>
      <c r="P20" s="5">
        <v>1230</v>
      </c>
      <c r="Q20" s="5">
        <v>1137</v>
      </c>
      <c r="S20" s="10">
        <f t="shared" si="0"/>
        <v>6.4832240690781973E-4</v>
      </c>
    </row>
    <row r="21" spans="1:19" x14ac:dyDescent="0.25">
      <c r="A21" t="s">
        <v>66</v>
      </c>
      <c r="B21" s="5">
        <v>329</v>
      </c>
      <c r="C21" s="5">
        <v>359</v>
      </c>
      <c r="D21" s="5">
        <v>416</v>
      </c>
      <c r="E21" s="5">
        <v>694</v>
      </c>
      <c r="F21" s="5">
        <v>411</v>
      </c>
      <c r="G21" s="5">
        <v>410</v>
      </c>
      <c r="H21" s="5">
        <v>321</v>
      </c>
      <c r="I21" s="5">
        <v>840</v>
      </c>
      <c r="J21" s="5">
        <v>687</v>
      </c>
      <c r="K21" s="5">
        <v>719</v>
      </c>
      <c r="L21" s="5">
        <v>782</v>
      </c>
      <c r="M21" s="5">
        <v>788</v>
      </c>
      <c r="N21" s="5">
        <v>849</v>
      </c>
      <c r="O21" s="5">
        <v>924</v>
      </c>
      <c r="P21" s="5">
        <v>924</v>
      </c>
      <c r="Q21" s="5">
        <v>997</v>
      </c>
      <c r="S21" s="10">
        <f t="shared" si="0"/>
        <v>7.6712985195397154E-2</v>
      </c>
    </row>
    <row r="22" spans="1:19" x14ac:dyDescent="0.25">
      <c r="A22" t="s">
        <v>68</v>
      </c>
      <c r="B22" s="5">
        <v>700</v>
      </c>
      <c r="C22" s="5">
        <v>632</v>
      </c>
      <c r="D22" s="5">
        <v>574</v>
      </c>
      <c r="E22" s="5">
        <v>527</v>
      </c>
      <c r="F22" s="5">
        <v>504</v>
      </c>
      <c r="G22" s="5">
        <v>477</v>
      </c>
      <c r="H22" s="5">
        <v>482</v>
      </c>
      <c r="I22" s="5">
        <v>511</v>
      </c>
      <c r="J22" s="5">
        <v>600</v>
      </c>
      <c r="K22" s="5">
        <v>602</v>
      </c>
      <c r="L22" s="5">
        <v>572</v>
      </c>
      <c r="M22" s="5">
        <v>535</v>
      </c>
      <c r="N22" s="5">
        <v>526</v>
      </c>
      <c r="O22" s="5">
        <v>561</v>
      </c>
      <c r="P22" s="5">
        <v>622</v>
      </c>
      <c r="Q22" s="5">
        <v>698</v>
      </c>
      <c r="S22" s="10">
        <f t="shared" si="0"/>
        <v>-1.9073062733621082E-4</v>
      </c>
    </row>
    <row r="24" spans="1:19" x14ac:dyDescent="0.25">
      <c r="A24" t="s">
        <v>67</v>
      </c>
      <c r="B24" s="5">
        <v>161</v>
      </c>
      <c r="C24" s="5">
        <v>324</v>
      </c>
      <c r="D24" s="5">
        <v>78</v>
      </c>
      <c r="E24" s="5">
        <v>88</v>
      </c>
      <c r="F24" s="5">
        <v>145</v>
      </c>
      <c r="G24" s="5">
        <v>118</v>
      </c>
      <c r="H24" s="5">
        <v>116</v>
      </c>
      <c r="I24" s="5">
        <v>92</v>
      </c>
      <c r="J24" s="5">
        <v>195</v>
      </c>
      <c r="K24" s="5">
        <v>54</v>
      </c>
      <c r="L24" s="5">
        <v>112</v>
      </c>
      <c r="M24" s="5">
        <v>108</v>
      </c>
      <c r="N24" s="5">
        <v>128</v>
      </c>
      <c r="O24" s="5">
        <v>151</v>
      </c>
      <c r="P24" s="5">
        <v>226</v>
      </c>
      <c r="Q24" s="5">
        <v>192</v>
      </c>
    </row>
    <row r="25" spans="1:19" s="22" customFormat="1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9" x14ac:dyDescent="0.25">
      <c r="A26" t="s">
        <v>124</v>
      </c>
      <c r="B26" s="23">
        <v>81.400000000000006</v>
      </c>
      <c r="C26" s="23">
        <v>79.8</v>
      </c>
      <c r="D26" s="23">
        <v>81.5</v>
      </c>
      <c r="E26" s="23">
        <v>81.599999999999994</v>
      </c>
      <c r="F26" s="23">
        <v>79.3</v>
      </c>
      <c r="G26" s="23">
        <v>77.400000000000006</v>
      </c>
      <c r="H26" s="23">
        <v>76.099999999999994</v>
      </c>
      <c r="I26" s="23">
        <v>70.599999999999994</v>
      </c>
      <c r="J26" s="23">
        <v>76.099999999999994</v>
      </c>
      <c r="K26" s="23">
        <v>70.599999999999994</v>
      </c>
      <c r="L26" s="23">
        <v>70.7</v>
      </c>
      <c r="M26" s="23">
        <v>67.8</v>
      </c>
      <c r="N26" s="23">
        <v>66.099999999999994</v>
      </c>
      <c r="O26" s="23">
        <v>63.5</v>
      </c>
      <c r="P26" s="23">
        <v>63.1</v>
      </c>
      <c r="Q26" s="23">
        <v>63.5</v>
      </c>
    </row>
    <row r="27" spans="1:19" s="22" customFormat="1" x14ac:dyDescent="0.25"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</row>
    <row r="28" spans="1:19" s="22" customFormat="1" x14ac:dyDescent="0.25">
      <c r="A28" s="22" t="s">
        <v>71</v>
      </c>
      <c r="B28" s="23">
        <f>100-B26</f>
        <v>18.599999999999994</v>
      </c>
      <c r="C28" s="23">
        <f t="shared" ref="C28:Q28" si="1">100-C26</f>
        <v>20.200000000000003</v>
      </c>
      <c r="D28" s="23">
        <f t="shared" si="1"/>
        <v>18.5</v>
      </c>
      <c r="E28" s="23">
        <f t="shared" si="1"/>
        <v>18.400000000000006</v>
      </c>
      <c r="F28" s="23">
        <f t="shared" si="1"/>
        <v>20.700000000000003</v>
      </c>
      <c r="G28" s="23">
        <f t="shared" si="1"/>
        <v>22.599999999999994</v>
      </c>
      <c r="H28" s="23">
        <f t="shared" si="1"/>
        <v>23.900000000000006</v>
      </c>
      <c r="I28" s="23">
        <f t="shared" si="1"/>
        <v>29.400000000000006</v>
      </c>
      <c r="J28" s="23">
        <f t="shared" si="1"/>
        <v>23.900000000000006</v>
      </c>
      <c r="K28" s="23">
        <f t="shared" si="1"/>
        <v>29.400000000000006</v>
      </c>
      <c r="L28" s="23">
        <f t="shared" si="1"/>
        <v>29.299999999999997</v>
      </c>
      <c r="M28" s="23">
        <f t="shared" si="1"/>
        <v>32.200000000000003</v>
      </c>
      <c r="N28" s="23">
        <f t="shared" si="1"/>
        <v>33.900000000000006</v>
      </c>
      <c r="O28" s="23">
        <f t="shared" si="1"/>
        <v>36.5</v>
      </c>
      <c r="P28" s="23">
        <f t="shared" si="1"/>
        <v>36.9</v>
      </c>
      <c r="Q28" s="23">
        <f t="shared" si="1"/>
        <v>36.5</v>
      </c>
      <c r="S28" s="24">
        <f>Q28-B28</f>
        <v>17.900000000000006</v>
      </c>
    </row>
    <row r="29" spans="1:19" x14ac:dyDescent="0.25">
      <c r="A29" s="10" t="s">
        <v>26</v>
      </c>
      <c r="B29" s="23">
        <v>6.8328716528162508</v>
      </c>
      <c r="C29" s="23">
        <v>8.9524150909579721</v>
      </c>
      <c r="D29" s="23">
        <v>10.553198857241796</v>
      </c>
      <c r="E29" s="23">
        <v>7.6054031927957428</v>
      </c>
      <c r="F29" s="23">
        <v>8.2707320665782884</v>
      </c>
      <c r="G29" s="23">
        <v>8.9420978302734628</v>
      </c>
      <c r="H29" s="23">
        <v>9.6910888656881404</v>
      </c>
      <c r="I29" s="23">
        <v>12.220367278797998</v>
      </c>
      <c r="J29" s="23">
        <v>10.443328855264088</v>
      </c>
      <c r="K29" s="23">
        <v>13.569112879457707</v>
      </c>
      <c r="L29" s="23">
        <v>19.399703430996574</v>
      </c>
      <c r="M29" s="23">
        <v>18.904711841727995</v>
      </c>
      <c r="N29" s="23">
        <v>20.52542913081091</v>
      </c>
      <c r="O29" s="23">
        <v>20.752042688010672</v>
      </c>
      <c r="P29" s="23">
        <v>22.257369458579745</v>
      </c>
      <c r="Q29" s="23">
        <v>25.063938618925828</v>
      </c>
      <c r="S29" s="24">
        <f>Q29-B29</f>
        <v>18.231066966109577</v>
      </c>
    </row>
    <row r="31" spans="1:19" s="22" customFormat="1" x14ac:dyDescent="0.25">
      <c r="A31" s="22" t="s">
        <v>70</v>
      </c>
      <c r="B31" s="22">
        <v>10</v>
      </c>
      <c r="C31" s="24">
        <f>B31+(C26-B26)</f>
        <v>8.3999999999999915</v>
      </c>
      <c r="D31" s="24">
        <f t="shared" ref="D31:Q31" si="2">C31+(D26-C26)</f>
        <v>10.099999999999994</v>
      </c>
      <c r="E31" s="24">
        <f t="shared" si="2"/>
        <v>10.199999999999989</v>
      </c>
      <c r="F31" s="24">
        <f t="shared" si="2"/>
        <v>7.8999999999999915</v>
      </c>
      <c r="G31" s="24">
        <f t="shared" si="2"/>
        <v>6</v>
      </c>
      <c r="H31" s="24">
        <f t="shared" si="2"/>
        <v>4.6999999999999886</v>
      </c>
      <c r="I31" s="24">
        <f t="shared" si="2"/>
        <v>-0.80000000000001137</v>
      </c>
      <c r="J31" s="24">
        <f t="shared" si="2"/>
        <v>4.6999999999999886</v>
      </c>
      <c r="K31" s="24">
        <f t="shared" si="2"/>
        <v>-0.80000000000001137</v>
      </c>
      <c r="L31" s="24">
        <f t="shared" si="2"/>
        <v>-0.70000000000000284</v>
      </c>
      <c r="M31" s="24">
        <f t="shared" si="2"/>
        <v>-3.6000000000000085</v>
      </c>
      <c r="N31" s="24">
        <f t="shared" si="2"/>
        <v>-5.3000000000000114</v>
      </c>
      <c r="O31" s="24">
        <f t="shared" si="2"/>
        <v>-7.9000000000000057</v>
      </c>
      <c r="P31" s="24">
        <f t="shared" si="2"/>
        <v>-8.3000000000000043</v>
      </c>
      <c r="Q31" s="24">
        <f t="shared" si="2"/>
        <v>-7.9000000000000057</v>
      </c>
    </row>
    <row r="32" spans="1:19" s="22" customFormat="1" x14ac:dyDescent="0.25">
      <c r="A32" s="22" t="s">
        <v>25</v>
      </c>
      <c r="B32" s="22">
        <v>0</v>
      </c>
      <c r="C32" s="24">
        <f>B32+(C29-B29)</f>
        <v>2.1195434381417213</v>
      </c>
      <c r="D32" s="24">
        <f t="shared" ref="D32:Q32" si="3">C32+(D29-C29)</f>
        <v>3.7203272044255451</v>
      </c>
      <c r="E32" s="24">
        <f t="shared" si="3"/>
        <v>0.77253153997949209</v>
      </c>
      <c r="F32" s="24">
        <f t="shared" si="3"/>
        <v>1.4378604137620377</v>
      </c>
      <c r="G32" s="24">
        <f t="shared" si="3"/>
        <v>2.1092261774572121</v>
      </c>
      <c r="H32" s="24">
        <f t="shared" si="3"/>
        <v>2.8582172128718897</v>
      </c>
      <c r="I32" s="24">
        <f t="shared" si="3"/>
        <v>5.3874956259817468</v>
      </c>
      <c r="J32" s="24">
        <f t="shared" si="3"/>
        <v>3.6104572024478374</v>
      </c>
      <c r="K32" s="24">
        <f t="shared" si="3"/>
        <v>6.7362412266414564</v>
      </c>
      <c r="L32" s="24">
        <f t="shared" si="3"/>
        <v>12.566831778180322</v>
      </c>
      <c r="M32" s="24">
        <f t="shared" si="3"/>
        <v>12.071840188911743</v>
      </c>
      <c r="N32" s="24">
        <f t="shared" si="3"/>
        <v>13.692557477994658</v>
      </c>
      <c r="O32" s="24">
        <f t="shared" si="3"/>
        <v>13.91917103519442</v>
      </c>
      <c r="P32" s="24">
        <f t="shared" si="3"/>
        <v>15.424497805763494</v>
      </c>
      <c r="Q32" s="24">
        <f t="shared" si="3"/>
        <v>18.231066966109577</v>
      </c>
    </row>
    <row r="33" spans="1:19" s="22" customFormat="1" x14ac:dyDescent="0.25"/>
    <row r="34" spans="1:19" x14ac:dyDescent="0.25">
      <c r="A34" s="22" t="s">
        <v>61</v>
      </c>
      <c r="B34" s="10">
        <f>B15/B$12</f>
        <v>0.33111726685133885</v>
      </c>
      <c r="C34" s="10">
        <f t="shared" ref="C34:Q34" si="4">C15/C$12</f>
        <v>0.33103324670669415</v>
      </c>
      <c r="D34" s="10">
        <f t="shared" si="4"/>
        <v>0.33694052462990215</v>
      </c>
      <c r="E34" s="10">
        <f t="shared" si="4"/>
        <v>0.34113794514940649</v>
      </c>
      <c r="F34" s="10">
        <f t="shared" si="4"/>
        <v>0.32221240241567239</v>
      </c>
      <c r="G34" s="10">
        <f t="shared" si="4"/>
        <v>0.29522403389395302</v>
      </c>
      <c r="H34" s="10">
        <f t="shared" si="4"/>
        <v>0.28195050052201681</v>
      </c>
      <c r="I34" s="10">
        <f t="shared" si="4"/>
        <v>0.24802448525319978</v>
      </c>
      <c r="J34" s="10">
        <f t="shared" si="4"/>
        <v>0.28727992646538925</v>
      </c>
      <c r="K34" s="10">
        <f t="shared" si="4"/>
        <v>0.25428824049513704</v>
      </c>
      <c r="L34" s="10">
        <f t="shared" si="4"/>
        <v>0.23935163879940685</v>
      </c>
      <c r="M34" s="10">
        <f t="shared" si="4"/>
        <v>0.22388416324190002</v>
      </c>
      <c r="N34" s="10">
        <f t="shared" si="4"/>
        <v>0.21886809634385102</v>
      </c>
      <c r="O34" s="10">
        <f t="shared" si="4"/>
        <v>0.21160580290145073</v>
      </c>
      <c r="P34" s="10">
        <f t="shared" si="4"/>
        <v>0.23660202631458305</v>
      </c>
      <c r="Q34" s="10">
        <f t="shared" si="4"/>
        <v>0.238202697958979</v>
      </c>
    </row>
    <row r="35" spans="1:19" x14ac:dyDescent="0.25">
      <c r="A35" s="22" t="s">
        <v>69</v>
      </c>
      <c r="B35" s="10">
        <f t="shared" ref="B35:Q41" si="5">B16/B$12</f>
        <v>5.0323176361957524E-2</v>
      </c>
      <c r="C35" s="10">
        <f t="shared" si="5"/>
        <v>6.0937359978492693E-2</v>
      </c>
      <c r="D35" s="10">
        <f t="shared" si="5"/>
        <v>5.02986754393559E-2</v>
      </c>
      <c r="E35" s="10">
        <f t="shared" si="5"/>
        <v>2.0630372492836675E-2</v>
      </c>
      <c r="F35" s="10">
        <f t="shared" si="5"/>
        <v>3.0195905140668729E-2</v>
      </c>
      <c r="G35" s="10">
        <f t="shared" si="5"/>
        <v>5.8993452304532033E-2</v>
      </c>
      <c r="H35" s="10">
        <f t="shared" si="5"/>
        <v>7.0871461032979186E-2</v>
      </c>
      <c r="I35" s="10">
        <f t="shared" si="5"/>
        <v>7.3233166388425155E-2</v>
      </c>
      <c r="J35" s="10">
        <f t="shared" si="5"/>
        <v>7.6645690447571233E-2</v>
      </c>
      <c r="K35" s="10">
        <f t="shared" si="5"/>
        <v>9.7435897435897437E-2</v>
      </c>
      <c r="L35" s="10">
        <f t="shared" si="5"/>
        <v>0.10083346116480033</v>
      </c>
      <c r="M35" s="10">
        <f t="shared" si="5"/>
        <v>0.11349517346841251</v>
      </c>
      <c r="N35" s="10">
        <f t="shared" si="5"/>
        <v>0.12111278058553021</v>
      </c>
      <c r="O35" s="10">
        <f t="shared" si="5"/>
        <v>0.13185759546439887</v>
      </c>
      <c r="P35" s="10">
        <f t="shared" si="5"/>
        <v>0.13221473433273737</v>
      </c>
      <c r="Q35" s="10">
        <f t="shared" si="5"/>
        <v>0.12702472293265132</v>
      </c>
    </row>
    <row r="36" spans="1:19" x14ac:dyDescent="0.25">
      <c r="A36" s="22" t="s">
        <v>62</v>
      </c>
      <c r="B36" s="10">
        <f t="shared" si="5"/>
        <v>0.12077562326869806</v>
      </c>
      <c r="C36" s="10">
        <f t="shared" si="5"/>
        <v>0.12554888430862982</v>
      </c>
      <c r="D36" s="10">
        <f t="shared" si="5"/>
        <v>0.12821400744524283</v>
      </c>
      <c r="E36" s="10">
        <f t="shared" si="5"/>
        <v>0.14392140810478921</v>
      </c>
      <c r="F36" s="10">
        <f t="shared" si="5"/>
        <v>0.13683900427161586</v>
      </c>
      <c r="G36" s="10">
        <f t="shared" si="5"/>
        <v>0.12716651688278341</v>
      </c>
      <c r="H36" s="10">
        <f t="shared" si="5"/>
        <v>0.12823189829883927</v>
      </c>
      <c r="I36" s="10">
        <f t="shared" si="5"/>
        <v>0.10728992765720645</v>
      </c>
      <c r="J36" s="10">
        <f t="shared" si="5"/>
        <v>0.11624125008838294</v>
      </c>
      <c r="K36" s="10">
        <f t="shared" si="5"/>
        <v>0.10822281167108753</v>
      </c>
      <c r="L36" s="10">
        <f t="shared" si="5"/>
        <v>0.10252083652912</v>
      </c>
      <c r="M36" s="10">
        <f t="shared" si="5"/>
        <v>0.10240848704960337</v>
      </c>
      <c r="N36" s="10">
        <f t="shared" si="5"/>
        <v>0.10540454400582798</v>
      </c>
      <c r="O36" s="10">
        <f t="shared" si="5"/>
        <v>0.10663665165916292</v>
      </c>
      <c r="P36" s="10">
        <f t="shared" si="5"/>
        <v>0.11098885985421537</v>
      </c>
      <c r="Q36" s="10">
        <f t="shared" si="5"/>
        <v>0.11323404041923675</v>
      </c>
    </row>
    <row r="37" spans="1:19" x14ac:dyDescent="0.25">
      <c r="A37" s="22" t="s">
        <v>63</v>
      </c>
      <c r="B37" s="10">
        <f t="shared" si="5"/>
        <v>0.10397045244690674</v>
      </c>
      <c r="C37" s="10">
        <f t="shared" si="5"/>
        <v>0.1027869880813693</v>
      </c>
      <c r="D37" s="10">
        <f t="shared" si="5"/>
        <v>9.2372954722534845E-2</v>
      </c>
      <c r="E37" s="10">
        <f t="shared" si="5"/>
        <v>9.0953745395006141E-2</v>
      </c>
      <c r="F37" s="10">
        <f t="shared" si="5"/>
        <v>8.6537045220209163E-2</v>
      </c>
      <c r="G37" s="10">
        <f t="shared" si="5"/>
        <v>7.9406855822313521E-2</v>
      </c>
      <c r="H37" s="10">
        <f t="shared" si="5"/>
        <v>8.1127556347110483E-2</v>
      </c>
      <c r="I37" s="10">
        <f t="shared" si="5"/>
        <v>7.6015581524763495E-2</v>
      </c>
      <c r="J37" s="10">
        <f t="shared" si="5"/>
        <v>0.10089797072756841</v>
      </c>
      <c r="K37" s="10">
        <f t="shared" si="5"/>
        <v>8.7651046271735922E-2</v>
      </c>
      <c r="L37" s="10">
        <f t="shared" si="5"/>
        <v>8.268139285166437E-2</v>
      </c>
      <c r="M37" s="10">
        <f t="shared" si="5"/>
        <v>8.4105896970276206E-2</v>
      </c>
      <c r="N37" s="10">
        <f t="shared" si="5"/>
        <v>8.0908801165596692E-2</v>
      </c>
      <c r="O37" s="10">
        <f t="shared" si="5"/>
        <v>7.9373019843254955E-2</v>
      </c>
      <c r="P37" s="10">
        <f t="shared" si="5"/>
        <v>9.223857332783203E-2</v>
      </c>
      <c r="Q37" s="10">
        <f t="shared" si="5"/>
        <v>0.10220149440850509</v>
      </c>
    </row>
    <row r="38" spans="1:19" x14ac:dyDescent="0.25">
      <c r="A38" s="22" t="s">
        <v>64</v>
      </c>
      <c r="B38" s="10">
        <f t="shared" si="5"/>
        <v>0.12382271468144045</v>
      </c>
      <c r="C38" s="10">
        <f t="shared" si="5"/>
        <v>9.5438659378080479E-2</v>
      </c>
      <c r="D38" s="10">
        <f t="shared" si="5"/>
        <v>0.10812916630594754</v>
      </c>
      <c r="E38" s="10">
        <f t="shared" si="5"/>
        <v>0.14866966844044208</v>
      </c>
      <c r="F38" s="10">
        <f t="shared" si="5"/>
        <v>0.18868758285461776</v>
      </c>
      <c r="G38" s="10">
        <f t="shared" si="5"/>
        <v>0.19334959558351522</v>
      </c>
      <c r="H38" s="10">
        <f t="shared" si="5"/>
        <v>0.19431308726893079</v>
      </c>
      <c r="I38" s="10">
        <f t="shared" si="5"/>
        <v>0.22164718976071229</v>
      </c>
      <c r="J38" s="10">
        <f t="shared" si="5"/>
        <v>0.12465530651205543</v>
      </c>
      <c r="K38" s="10">
        <f t="shared" si="5"/>
        <v>0.14653698791629827</v>
      </c>
      <c r="L38" s="10">
        <f t="shared" si="5"/>
        <v>0.18310579332208415</v>
      </c>
      <c r="M38" s="10">
        <f t="shared" si="5"/>
        <v>0.17241708878906623</v>
      </c>
      <c r="N38" s="10">
        <f t="shared" si="5"/>
        <v>0.16090697992077585</v>
      </c>
      <c r="O38" s="10">
        <f t="shared" si="5"/>
        <v>0.14753209938302483</v>
      </c>
      <c r="P38" s="10">
        <f t="shared" si="5"/>
        <v>9.2284417549167927E-2</v>
      </c>
      <c r="Q38" s="10">
        <f t="shared" si="5"/>
        <v>7.4670277318088354E-2</v>
      </c>
    </row>
    <row r="39" spans="1:19" x14ac:dyDescent="0.25">
      <c r="A39" s="22" t="s">
        <v>65</v>
      </c>
      <c r="B39" s="10">
        <f t="shared" si="5"/>
        <v>0.10397045244690674</v>
      </c>
      <c r="C39" s="10">
        <f t="shared" si="5"/>
        <v>0.1027869880813693</v>
      </c>
      <c r="D39" s="10">
        <f t="shared" si="5"/>
        <v>9.2372954722534845E-2</v>
      </c>
      <c r="E39" s="10">
        <f t="shared" si="5"/>
        <v>0.11248465002046663</v>
      </c>
      <c r="F39" s="10">
        <f t="shared" si="5"/>
        <v>0.10325526587126234</v>
      </c>
      <c r="G39" s="10">
        <f t="shared" si="5"/>
        <v>9.3400950057773782E-2</v>
      </c>
      <c r="H39" s="10">
        <f t="shared" si="5"/>
        <v>8.7391758275502052E-2</v>
      </c>
      <c r="I39" s="10">
        <f t="shared" si="5"/>
        <v>7.3789649415692826E-2</v>
      </c>
      <c r="J39" s="10">
        <f t="shared" si="5"/>
        <v>8.3433500671710389E-2</v>
      </c>
      <c r="K39" s="10">
        <f t="shared" si="5"/>
        <v>6.7315060418508696E-2</v>
      </c>
      <c r="L39" s="10">
        <f t="shared" si="5"/>
        <v>5.9671728792759629E-2</v>
      </c>
      <c r="M39" s="10">
        <f t="shared" si="5"/>
        <v>5.72015674280799E-2</v>
      </c>
      <c r="N39" s="10">
        <f t="shared" si="5"/>
        <v>5.6230933843281886E-2</v>
      </c>
      <c r="O39" s="10">
        <f t="shared" si="5"/>
        <v>5.1442387860596968E-2</v>
      </c>
      <c r="P39" s="10">
        <f t="shared" si="5"/>
        <v>5.6388392243157753E-2</v>
      </c>
      <c r="Q39" s="10">
        <f t="shared" si="5"/>
        <v>5.7018203700917709E-2</v>
      </c>
    </row>
    <row r="40" spans="1:19" x14ac:dyDescent="0.25">
      <c r="A40" s="22" t="s">
        <v>66</v>
      </c>
      <c r="B40" s="10">
        <f t="shared" si="5"/>
        <v>3.0378578024007386E-2</v>
      </c>
      <c r="C40" s="10">
        <f t="shared" si="5"/>
        <v>3.2171341518057173E-2</v>
      </c>
      <c r="D40" s="10">
        <f t="shared" si="5"/>
        <v>3.6014197904943292E-2</v>
      </c>
      <c r="E40" s="10">
        <f t="shared" si="5"/>
        <v>5.6815390912812118E-2</v>
      </c>
      <c r="F40" s="10">
        <f t="shared" si="5"/>
        <v>3.0269553689792311E-2</v>
      </c>
      <c r="G40" s="10">
        <f t="shared" si="5"/>
        <v>2.6319168057517012E-2</v>
      </c>
      <c r="H40" s="10">
        <f t="shared" si="5"/>
        <v>1.971381195111466E-2</v>
      </c>
      <c r="I40" s="10">
        <f t="shared" si="5"/>
        <v>4.6744574290484141E-2</v>
      </c>
      <c r="J40" s="10">
        <f t="shared" si="5"/>
        <v>4.8575266916495795E-2</v>
      </c>
      <c r="K40" s="10">
        <f t="shared" si="5"/>
        <v>4.2381373415856176E-2</v>
      </c>
      <c r="L40" s="10">
        <f t="shared" si="5"/>
        <v>3.9985682875696683E-2</v>
      </c>
      <c r="M40" s="10">
        <f t="shared" si="5"/>
        <v>3.7656503870782759E-2</v>
      </c>
      <c r="N40" s="10">
        <f t="shared" si="5"/>
        <v>3.8655921322223737E-2</v>
      </c>
      <c r="O40" s="10">
        <f t="shared" si="5"/>
        <v>3.8519259629814909E-2</v>
      </c>
      <c r="P40" s="10">
        <f t="shared" si="5"/>
        <v>4.2360060514372161E-2</v>
      </c>
      <c r="Q40" s="10">
        <f t="shared" si="5"/>
        <v>4.9997492603179379E-2</v>
      </c>
    </row>
    <row r="41" spans="1:19" x14ac:dyDescent="0.25">
      <c r="A41" s="22" t="s">
        <v>68</v>
      </c>
      <c r="B41" s="10">
        <f t="shared" si="5"/>
        <v>6.4635272391505072E-2</v>
      </c>
      <c r="C41" s="10">
        <f t="shared" si="5"/>
        <v>5.6635899274128508E-2</v>
      </c>
      <c r="D41" s="10">
        <f t="shared" si="5"/>
        <v>4.9692667301532337E-2</v>
      </c>
      <c r="E41" s="10">
        <f t="shared" si="5"/>
        <v>4.3143675808432258E-2</v>
      </c>
      <c r="F41" s="10">
        <f t="shared" si="5"/>
        <v>3.7118868758285462E-2</v>
      </c>
      <c r="G41" s="10">
        <f t="shared" si="5"/>
        <v>3.0620105276672228E-2</v>
      </c>
      <c r="H41" s="10">
        <f t="shared" si="5"/>
        <v>2.9601424798869989E-2</v>
      </c>
      <c r="I41" s="10">
        <f t="shared" si="5"/>
        <v>2.8436282693377852E-2</v>
      </c>
      <c r="J41" s="10">
        <f t="shared" si="5"/>
        <v>4.2423813900869689E-2</v>
      </c>
      <c r="K41" s="10">
        <f t="shared" si="5"/>
        <v>3.5484821691718245E-2</v>
      </c>
      <c r="L41" s="10">
        <f t="shared" si="5"/>
        <v>2.9247839648207801E-2</v>
      </c>
      <c r="M41" s="10">
        <f t="shared" si="5"/>
        <v>2.5566281181305554E-2</v>
      </c>
      <c r="N41" s="10">
        <f t="shared" si="5"/>
        <v>2.3949369393980787E-2</v>
      </c>
      <c r="O41" s="10">
        <f t="shared" si="5"/>
        <v>2.3386693346673336E-2</v>
      </c>
      <c r="P41" s="10">
        <f t="shared" si="5"/>
        <v>2.8515105670930178E-2</v>
      </c>
      <c r="Q41" s="10">
        <f t="shared" si="5"/>
        <v>3.5003259615866804E-2</v>
      </c>
    </row>
    <row r="43" spans="1:19" x14ac:dyDescent="0.25">
      <c r="A43" s="22"/>
      <c r="B43" s="22">
        <v>2001</v>
      </c>
      <c r="C43" s="22">
        <v>2002</v>
      </c>
      <c r="D43" s="22">
        <v>2003</v>
      </c>
      <c r="E43" s="22">
        <v>2004</v>
      </c>
      <c r="F43" s="22">
        <v>2005</v>
      </c>
      <c r="G43" s="22">
        <v>2006</v>
      </c>
      <c r="H43" s="22">
        <v>2007</v>
      </c>
      <c r="I43" s="22">
        <v>2008</v>
      </c>
      <c r="J43" s="22">
        <v>2009</v>
      </c>
      <c r="K43" s="22">
        <v>2010</v>
      </c>
      <c r="L43" s="22">
        <v>2011</v>
      </c>
      <c r="M43" s="22">
        <v>2012</v>
      </c>
      <c r="N43" s="22">
        <v>2013</v>
      </c>
      <c r="O43" s="22">
        <v>2014</v>
      </c>
      <c r="P43" s="22">
        <v>2015</v>
      </c>
      <c r="Q43" s="22">
        <v>2016</v>
      </c>
    </row>
    <row r="44" spans="1:19" s="22" customFormat="1" x14ac:dyDescent="0.25">
      <c r="A44" s="4" t="s">
        <v>105</v>
      </c>
      <c r="B44" s="5">
        <v>10830</v>
      </c>
      <c r="C44" s="5">
        <v>11159</v>
      </c>
      <c r="D44" s="5">
        <v>11551</v>
      </c>
      <c r="E44" s="5">
        <v>12215</v>
      </c>
      <c r="F44" s="5">
        <v>13578</v>
      </c>
      <c r="G44" s="5">
        <v>15578</v>
      </c>
      <c r="H44" s="5">
        <v>16283</v>
      </c>
      <c r="I44" s="5">
        <v>17970</v>
      </c>
      <c r="J44" s="5">
        <v>14143</v>
      </c>
      <c r="K44" s="5">
        <v>16965</v>
      </c>
      <c r="L44" s="5">
        <v>19557</v>
      </c>
      <c r="M44" s="5">
        <v>20926</v>
      </c>
      <c r="N44" s="5">
        <v>21963</v>
      </c>
      <c r="O44" s="5">
        <v>23988</v>
      </c>
      <c r="P44" s="5">
        <v>21813</v>
      </c>
      <c r="Q44" s="5">
        <v>19941</v>
      </c>
      <c r="S44" s="10">
        <f>(Q44/B44)^(1/15)-1</f>
        <v>4.1536670258812025E-2</v>
      </c>
    </row>
    <row r="45" spans="1:19" x14ac:dyDescent="0.25">
      <c r="A45" s="22" t="s">
        <v>106</v>
      </c>
      <c r="B45" s="5">
        <v>3586</v>
      </c>
      <c r="C45" s="5">
        <v>3694</v>
      </c>
      <c r="D45" s="5">
        <v>3892</v>
      </c>
      <c r="E45" s="5">
        <v>4167</v>
      </c>
      <c r="F45" s="5">
        <v>4375</v>
      </c>
      <c r="G45" s="5">
        <v>4599</v>
      </c>
      <c r="H45" s="5">
        <v>4591</v>
      </c>
      <c r="I45" s="5">
        <v>4457</v>
      </c>
      <c r="J45" s="5">
        <v>4063</v>
      </c>
      <c r="K45" s="5">
        <v>4314</v>
      </c>
      <c r="L45" s="5">
        <v>4681</v>
      </c>
      <c r="M45" s="5">
        <v>4685</v>
      </c>
      <c r="N45" s="5">
        <v>4807</v>
      </c>
      <c r="O45" s="5">
        <v>5076</v>
      </c>
      <c r="P45" s="5">
        <v>5161</v>
      </c>
      <c r="Q45" s="5">
        <v>4750</v>
      </c>
      <c r="S45" s="10">
        <f t="shared" ref="S45:S50" si="6">(Q45/B45)^(1/15)-1</f>
        <v>1.8917187825884474E-2</v>
      </c>
    </row>
    <row r="46" spans="1:19" x14ac:dyDescent="0.25">
      <c r="A46" s="22" t="s">
        <v>107</v>
      </c>
      <c r="B46" s="5">
        <f>821+487</f>
        <v>1308</v>
      </c>
      <c r="C46" s="5">
        <f>925+476</f>
        <v>1401</v>
      </c>
      <c r="D46" s="5">
        <f>1067+414</f>
        <v>1481</v>
      </c>
      <c r="E46" s="5">
        <f>488+1270</f>
        <v>1758</v>
      </c>
      <c r="F46" s="5">
        <f>1312+546</f>
        <v>1858</v>
      </c>
      <c r="G46" s="5">
        <f>1290+691</f>
        <v>1981</v>
      </c>
      <c r="H46" s="5">
        <f>1374+714</f>
        <v>2088</v>
      </c>
      <c r="I46" s="5">
        <v>1928</v>
      </c>
      <c r="J46" s="5">
        <v>1644</v>
      </c>
      <c r="K46" s="5">
        <v>1836</v>
      </c>
      <c r="L46" s="5">
        <v>2005</v>
      </c>
      <c r="M46" s="5">
        <v>2143</v>
      </c>
      <c r="N46" s="5">
        <v>2315</v>
      </c>
      <c r="O46" s="5">
        <v>2558</v>
      </c>
      <c r="P46" s="5">
        <v>2421</v>
      </c>
      <c r="Q46" s="5">
        <v>2258</v>
      </c>
      <c r="S46" s="10">
        <f t="shared" si="6"/>
        <v>3.7069223718299904E-2</v>
      </c>
    </row>
    <row r="47" spans="1:19" x14ac:dyDescent="0.25">
      <c r="A47" s="22" t="s">
        <v>108</v>
      </c>
      <c r="B47" s="5">
        <v>1126</v>
      </c>
      <c r="C47" s="5">
        <v>1147</v>
      </c>
      <c r="D47" s="5">
        <v>1067</v>
      </c>
      <c r="E47" s="5">
        <v>1111</v>
      </c>
      <c r="F47" s="5">
        <v>1175</v>
      </c>
      <c r="G47" s="5">
        <v>1237</v>
      </c>
      <c r="H47" s="5">
        <v>1321</v>
      </c>
      <c r="I47" s="5">
        <v>1366</v>
      </c>
      <c r="J47" s="5">
        <v>1427</v>
      </c>
      <c r="K47" s="5">
        <v>1487</v>
      </c>
      <c r="L47" s="5">
        <v>1617</v>
      </c>
      <c r="M47" s="5">
        <v>1760</v>
      </c>
      <c r="N47" s="5">
        <v>1777</v>
      </c>
      <c r="O47" s="5">
        <v>1904</v>
      </c>
      <c r="P47" s="5">
        <v>2012</v>
      </c>
      <c r="Q47" s="5">
        <v>2038</v>
      </c>
      <c r="S47" s="10">
        <f t="shared" si="6"/>
        <v>4.0345802550368681E-2</v>
      </c>
    </row>
    <row r="48" spans="1:19" x14ac:dyDescent="0.25">
      <c r="A48" s="22" t="s">
        <v>109</v>
      </c>
      <c r="B48" s="5">
        <v>1341</v>
      </c>
      <c r="C48" s="5">
        <v>1065</v>
      </c>
      <c r="D48" s="5">
        <v>1249</v>
      </c>
      <c r="E48" s="5">
        <v>1816</v>
      </c>
      <c r="F48" s="5">
        <v>2562</v>
      </c>
      <c r="G48" s="5">
        <v>3012</v>
      </c>
      <c r="H48" s="5">
        <v>3164</v>
      </c>
      <c r="I48" s="5">
        <v>3983</v>
      </c>
      <c r="J48" s="5">
        <v>1763</v>
      </c>
      <c r="K48" s="5">
        <v>2486</v>
      </c>
      <c r="L48" s="5">
        <v>3581</v>
      </c>
      <c r="M48" s="5">
        <v>3608</v>
      </c>
      <c r="N48" s="5">
        <v>3534</v>
      </c>
      <c r="O48" s="5">
        <v>3539</v>
      </c>
      <c r="P48" s="5">
        <v>2013</v>
      </c>
      <c r="Q48" s="5">
        <v>1489</v>
      </c>
      <c r="S48" s="10">
        <f t="shared" si="6"/>
        <v>7.0036885373849778E-3</v>
      </c>
    </row>
    <row r="49" spans="1:20" x14ac:dyDescent="0.25">
      <c r="A49" s="22" t="s">
        <v>110</v>
      </c>
      <c r="B49" s="5">
        <v>1126</v>
      </c>
      <c r="C49" s="5">
        <v>1147</v>
      </c>
      <c r="D49" s="5">
        <v>1067</v>
      </c>
      <c r="E49" s="5">
        <v>1374</v>
      </c>
      <c r="F49" s="5">
        <v>1402</v>
      </c>
      <c r="G49" s="5">
        <v>1455</v>
      </c>
      <c r="H49" s="5">
        <v>1423</v>
      </c>
      <c r="I49" s="5">
        <v>1326</v>
      </c>
      <c r="J49" s="5">
        <v>1180</v>
      </c>
      <c r="K49" s="5">
        <v>1142</v>
      </c>
      <c r="L49" s="5">
        <v>1167</v>
      </c>
      <c r="M49" s="5">
        <v>1197</v>
      </c>
      <c r="N49" s="5">
        <v>1235</v>
      </c>
      <c r="O49" s="5">
        <v>1234</v>
      </c>
      <c r="P49" s="5">
        <v>1230</v>
      </c>
      <c r="Q49" s="5">
        <v>1137</v>
      </c>
      <c r="S49" s="10">
        <f t="shared" si="6"/>
        <v>6.4832240690781973E-4</v>
      </c>
    </row>
    <row r="50" spans="1:20" x14ac:dyDescent="0.25">
      <c r="A50" s="22" t="s">
        <v>111</v>
      </c>
      <c r="B50" s="5">
        <v>329</v>
      </c>
      <c r="C50" s="5">
        <v>359</v>
      </c>
      <c r="D50" s="5">
        <v>416</v>
      </c>
      <c r="E50" s="5">
        <v>694</v>
      </c>
      <c r="F50" s="5">
        <v>411</v>
      </c>
      <c r="G50" s="5">
        <v>410</v>
      </c>
      <c r="H50" s="5">
        <v>321</v>
      </c>
      <c r="I50" s="5">
        <v>840</v>
      </c>
      <c r="J50" s="5">
        <v>687</v>
      </c>
      <c r="K50" s="5">
        <v>719</v>
      </c>
      <c r="L50" s="5">
        <v>782</v>
      </c>
      <c r="M50" s="5">
        <v>788</v>
      </c>
      <c r="N50" s="5">
        <v>849</v>
      </c>
      <c r="O50" s="5">
        <v>924</v>
      </c>
      <c r="P50" s="5">
        <v>924</v>
      </c>
      <c r="Q50" s="5">
        <v>997</v>
      </c>
      <c r="S50" s="10">
        <f t="shared" si="6"/>
        <v>7.6712985195397154E-2</v>
      </c>
    </row>
    <row r="51" spans="1:20" s="22" customFormat="1" x14ac:dyDescent="0.25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S51" s="10"/>
    </row>
    <row r="52" spans="1:20" s="22" customFormat="1" x14ac:dyDescent="0.25">
      <c r="A52" s="22" t="s">
        <v>120</v>
      </c>
      <c r="B52" s="5">
        <v>8916</v>
      </c>
      <c r="C52" s="5">
        <v>9131</v>
      </c>
      <c r="D52" s="5">
        <v>9239</v>
      </c>
      <c r="E52" s="5">
        <v>9458</v>
      </c>
      <c r="F52" s="5">
        <v>9544</v>
      </c>
      <c r="G52" s="5">
        <v>9852</v>
      </c>
      <c r="H52" s="5">
        <v>9733</v>
      </c>
      <c r="I52" s="5">
        <v>9261</v>
      </c>
      <c r="J52" s="5">
        <v>7756</v>
      </c>
      <c r="K52" s="5">
        <v>8815</v>
      </c>
      <c r="L52" s="5">
        <v>9072</v>
      </c>
      <c r="M52" s="5">
        <v>9048</v>
      </c>
      <c r="N52" s="5">
        <v>9022</v>
      </c>
      <c r="O52" s="5">
        <v>9625</v>
      </c>
      <c r="P52" s="5">
        <v>9062</v>
      </c>
      <c r="Q52" s="5">
        <v>8442</v>
      </c>
      <c r="S52" s="10"/>
    </row>
    <row r="53" spans="1:20" s="22" customFormat="1" x14ac:dyDescent="0.25">
      <c r="A53" s="22" t="s">
        <v>113</v>
      </c>
      <c r="B53" s="23">
        <v>48.7</v>
      </c>
      <c r="C53" s="23">
        <v>47.3</v>
      </c>
      <c r="D53" s="23">
        <v>46.4</v>
      </c>
      <c r="E53" s="23">
        <v>48.3</v>
      </c>
      <c r="F53" s="23">
        <v>49.7</v>
      </c>
      <c r="G53" s="23">
        <v>50.7</v>
      </c>
      <c r="H53" s="23">
        <v>50.1</v>
      </c>
      <c r="I53" s="23">
        <v>48.2</v>
      </c>
      <c r="J53" s="23">
        <v>43.5</v>
      </c>
      <c r="K53" s="23">
        <v>42.9</v>
      </c>
      <c r="L53" s="23">
        <v>44.9</v>
      </c>
      <c r="M53" s="23">
        <v>45.9</v>
      </c>
      <c r="N53" s="23">
        <v>46.4</v>
      </c>
      <c r="O53" s="23">
        <v>47.2</v>
      </c>
      <c r="P53" s="23">
        <v>47.5</v>
      </c>
      <c r="Q53" s="23">
        <v>42.9</v>
      </c>
      <c r="S53" s="10">
        <f>(Q53/B53)^(1/15)-1</f>
        <v>-8.4181806103046375E-3</v>
      </c>
      <c r="T53" s="25"/>
    </row>
    <row r="54" spans="1:20" s="22" customFormat="1" x14ac:dyDescent="0.25">
      <c r="A54" s="22" t="s">
        <v>116</v>
      </c>
      <c r="B54" s="23">
        <f>AVERAGE(B53:Q53)</f>
        <v>46.912499999999994</v>
      </c>
      <c r="C54" s="23">
        <f>B54</f>
        <v>46.912499999999994</v>
      </c>
      <c r="D54" s="23">
        <f t="shared" ref="D54:Q54" si="7">C54</f>
        <v>46.912499999999994</v>
      </c>
      <c r="E54" s="23">
        <f t="shared" si="7"/>
        <v>46.912499999999994</v>
      </c>
      <c r="F54" s="23">
        <f t="shared" si="7"/>
        <v>46.912499999999994</v>
      </c>
      <c r="G54" s="23">
        <f t="shared" si="7"/>
        <v>46.912499999999994</v>
      </c>
      <c r="H54" s="23">
        <f t="shared" si="7"/>
        <v>46.912499999999994</v>
      </c>
      <c r="I54" s="23">
        <f t="shared" si="7"/>
        <v>46.912499999999994</v>
      </c>
      <c r="J54" s="23">
        <f t="shared" si="7"/>
        <v>46.912499999999994</v>
      </c>
      <c r="K54" s="23">
        <f t="shared" si="7"/>
        <v>46.912499999999994</v>
      </c>
      <c r="L54" s="23">
        <f t="shared" si="7"/>
        <v>46.912499999999994</v>
      </c>
      <c r="M54" s="23">
        <f t="shared" si="7"/>
        <v>46.912499999999994</v>
      </c>
      <c r="N54" s="23">
        <f t="shared" si="7"/>
        <v>46.912499999999994</v>
      </c>
      <c r="O54" s="23">
        <f t="shared" si="7"/>
        <v>46.912499999999994</v>
      </c>
      <c r="P54" s="23">
        <f t="shared" si="7"/>
        <v>46.912499999999994</v>
      </c>
      <c r="Q54" s="23">
        <f t="shared" si="7"/>
        <v>46.912499999999994</v>
      </c>
      <c r="S54" s="10"/>
      <c r="T54" s="25"/>
    </row>
    <row r="55" spans="1:20" s="22" customFormat="1" x14ac:dyDescent="0.25">
      <c r="A55" s="22" t="s">
        <v>114</v>
      </c>
      <c r="B55" s="5">
        <f t="shared" ref="B55:Q55" si="8">B44/B53</f>
        <v>222.38193018480493</v>
      </c>
      <c r="C55" s="5">
        <f t="shared" si="8"/>
        <v>235.91966173361524</v>
      </c>
      <c r="D55" s="5">
        <f t="shared" si="8"/>
        <v>248.94396551724139</v>
      </c>
      <c r="E55" s="5">
        <f t="shared" si="8"/>
        <v>252.89855072463769</v>
      </c>
      <c r="F55" s="5">
        <f t="shared" si="8"/>
        <v>273.19919517102613</v>
      </c>
      <c r="G55" s="5">
        <f t="shared" si="8"/>
        <v>307.25838264299801</v>
      </c>
      <c r="H55" s="5">
        <f t="shared" si="8"/>
        <v>325.00998003992015</v>
      </c>
      <c r="I55" s="5">
        <f t="shared" si="8"/>
        <v>372.82157676348544</v>
      </c>
      <c r="J55" s="5">
        <f t="shared" si="8"/>
        <v>325.12643678160919</v>
      </c>
      <c r="K55" s="5">
        <f t="shared" si="8"/>
        <v>395.4545454545455</v>
      </c>
      <c r="L55" s="5">
        <f t="shared" si="8"/>
        <v>435.56792873051228</v>
      </c>
      <c r="M55" s="5">
        <f t="shared" si="8"/>
        <v>455.90413943355122</v>
      </c>
      <c r="N55" s="5">
        <f t="shared" si="8"/>
        <v>473.3405172413793</v>
      </c>
      <c r="O55" s="5">
        <f t="shared" si="8"/>
        <v>508.22033898305079</v>
      </c>
      <c r="P55" s="5">
        <f t="shared" si="8"/>
        <v>459.22105263157897</v>
      </c>
      <c r="Q55" s="5">
        <f t="shared" si="8"/>
        <v>464.82517482517483</v>
      </c>
      <c r="S55" s="10">
        <f>(Q55/B55)^(1/15)-1</f>
        <v>5.0378949968912234E-2</v>
      </c>
    </row>
    <row r="56" spans="1:20" s="22" customFormat="1" x14ac:dyDescent="0.25">
      <c r="A56" s="22" t="s">
        <v>115</v>
      </c>
      <c r="B56" s="5">
        <f t="shared" ref="B56:Q56" si="9">B45/B53</f>
        <v>73.634496919917865</v>
      </c>
      <c r="C56" s="5">
        <f t="shared" si="9"/>
        <v>78.097251585623681</v>
      </c>
      <c r="D56" s="5">
        <f t="shared" si="9"/>
        <v>83.879310344827587</v>
      </c>
      <c r="E56" s="5">
        <f t="shared" si="9"/>
        <v>86.273291925465841</v>
      </c>
      <c r="F56" s="5">
        <f t="shared" si="9"/>
        <v>88.028169014084497</v>
      </c>
      <c r="G56" s="5">
        <f t="shared" si="9"/>
        <v>90.710059171597635</v>
      </c>
      <c r="H56" s="5">
        <f t="shared" si="9"/>
        <v>91.636726546906189</v>
      </c>
      <c r="I56" s="5">
        <f t="shared" si="9"/>
        <v>92.46887966804978</v>
      </c>
      <c r="J56" s="5">
        <f t="shared" si="9"/>
        <v>93.402298850574709</v>
      </c>
      <c r="K56" s="5">
        <f t="shared" si="9"/>
        <v>100.55944055944056</v>
      </c>
      <c r="L56" s="5">
        <f t="shared" si="9"/>
        <v>104.25389755011136</v>
      </c>
      <c r="M56" s="5">
        <f t="shared" si="9"/>
        <v>102.06971677559913</v>
      </c>
      <c r="N56" s="5">
        <f t="shared" si="9"/>
        <v>103.59913793103449</v>
      </c>
      <c r="O56" s="5">
        <f t="shared" si="9"/>
        <v>107.54237288135593</v>
      </c>
      <c r="P56" s="5">
        <f t="shared" si="9"/>
        <v>108.65263157894736</v>
      </c>
      <c r="Q56" s="5">
        <f t="shared" si="9"/>
        <v>110.72261072261072</v>
      </c>
      <c r="S56" s="10">
        <f>(Q56/B56)^(1/15)-1</f>
        <v>2.7567436092176045E-2</v>
      </c>
    </row>
    <row r="58" spans="1:20" s="22" customFormat="1" x14ac:dyDescent="0.25">
      <c r="B58" s="22">
        <v>2001</v>
      </c>
      <c r="C58" s="22">
        <v>2002</v>
      </c>
      <c r="D58" s="22">
        <v>2003</v>
      </c>
      <c r="E58" s="22">
        <v>2004</v>
      </c>
      <c r="F58" s="22">
        <v>2005</v>
      </c>
      <c r="G58" s="22">
        <v>2006</v>
      </c>
      <c r="H58" s="22">
        <v>2007</v>
      </c>
      <c r="I58" s="22">
        <v>2008</v>
      </c>
      <c r="J58" s="22">
        <v>2009</v>
      </c>
      <c r="K58" s="22">
        <v>2010</v>
      </c>
      <c r="L58" s="22">
        <v>2011</v>
      </c>
      <c r="M58" s="22">
        <v>2012</v>
      </c>
      <c r="N58" s="22">
        <v>2013</v>
      </c>
      <c r="O58" s="22">
        <v>2014</v>
      </c>
      <c r="P58" s="22">
        <v>2015</v>
      </c>
      <c r="Q58" s="22">
        <v>2016</v>
      </c>
    </row>
    <row r="59" spans="1:20" s="22" customFormat="1" x14ac:dyDescent="0.25">
      <c r="A59" s="22" t="s">
        <v>118</v>
      </c>
      <c r="B59" s="5">
        <v>1341</v>
      </c>
      <c r="C59" s="5">
        <v>1065</v>
      </c>
      <c r="D59" s="5">
        <v>1249</v>
      </c>
      <c r="E59" s="5">
        <v>1816</v>
      </c>
      <c r="F59" s="5">
        <v>2562</v>
      </c>
      <c r="G59" s="5">
        <v>3012</v>
      </c>
      <c r="H59" s="5">
        <v>3164</v>
      </c>
      <c r="I59" s="5">
        <v>3983</v>
      </c>
      <c r="J59" s="5">
        <v>1763</v>
      </c>
      <c r="K59" s="5">
        <v>2486</v>
      </c>
      <c r="L59" s="5">
        <v>3581</v>
      </c>
      <c r="M59" s="5">
        <v>3608</v>
      </c>
      <c r="N59" s="5">
        <v>3534</v>
      </c>
      <c r="O59" s="5">
        <v>3539</v>
      </c>
      <c r="P59" s="5">
        <v>2013</v>
      </c>
      <c r="Q59" s="5">
        <v>1489</v>
      </c>
      <c r="S59" s="10"/>
    </row>
    <row r="60" spans="1:20" x14ac:dyDescent="0.25">
      <c r="A60" t="s">
        <v>117</v>
      </c>
      <c r="B60">
        <v>1.4005094339622641</v>
      </c>
      <c r="C60">
        <v>1.3187499999999999</v>
      </c>
      <c r="D60">
        <v>1.5093269230769228</v>
      </c>
      <c r="E60">
        <v>1.809942307692308</v>
      </c>
      <c r="F60">
        <v>2.4015192307692308</v>
      </c>
      <c r="G60">
        <v>2.7048461538461543</v>
      </c>
      <c r="H60">
        <v>2.8852452830188664</v>
      </c>
      <c r="I60">
        <v>3.8029615384615378</v>
      </c>
      <c r="J60">
        <v>2.4673269230769241</v>
      </c>
      <c r="K60">
        <v>2.9915576923076923</v>
      </c>
      <c r="L60">
        <v>3.839711538461537</v>
      </c>
      <c r="M60">
        <v>3.9677358490566048</v>
      </c>
      <c r="N60">
        <v>3.921730769230769</v>
      </c>
      <c r="O60">
        <v>3.8246346153846149</v>
      </c>
      <c r="P60">
        <v>2.7066346153846146</v>
      </c>
      <c r="Q60">
        <v>2.3039423076923078</v>
      </c>
    </row>
    <row r="61" spans="1:20" s="22" customFormat="1" x14ac:dyDescent="0.25">
      <c r="A61" s="22" t="s">
        <v>122</v>
      </c>
      <c r="B61" s="5"/>
      <c r="C61" s="5">
        <v>7</v>
      </c>
      <c r="D61" s="5">
        <v>93</v>
      </c>
      <c r="E61" s="5">
        <v>292</v>
      </c>
      <c r="F61" s="5">
        <v>963</v>
      </c>
      <c r="G61" s="5">
        <v>1619</v>
      </c>
      <c r="H61" s="5">
        <v>1478</v>
      </c>
      <c r="I61" s="5">
        <v>2323</v>
      </c>
      <c r="J61" s="5">
        <v>605</v>
      </c>
      <c r="K61" s="5">
        <v>1237</v>
      </c>
      <c r="L61" s="5">
        <v>2200</v>
      </c>
      <c r="M61" s="5">
        <v>2600</v>
      </c>
      <c r="N61" s="5">
        <v>2600</v>
      </c>
      <c r="O61" s="5">
        <v>2800</v>
      </c>
      <c r="P61" s="5">
        <v>1300</v>
      </c>
      <c r="Q61" s="5">
        <v>560</v>
      </c>
    </row>
    <row r="62" spans="1:20" s="22" customFormat="1" x14ac:dyDescent="0.25">
      <c r="B62" s="22" t="s">
        <v>123</v>
      </c>
      <c r="C62" s="10">
        <f t="shared" ref="C62" si="10">C61/C59</f>
        <v>6.5727699530516428E-3</v>
      </c>
      <c r="D62" s="10">
        <f t="shared" ref="D62" si="11">D61/D59</f>
        <v>7.4459567654123301E-2</v>
      </c>
      <c r="E62" s="10">
        <f t="shared" ref="E62" si="12">E61/E59</f>
        <v>0.16079295154185022</v>
      </c>
      <c r="F62" s="10">
        <f t="shared" ref="F62" si="13">F61/F59</f>
        <v>0.3758782201405152</v>
      </c>
      <c r="G62" s="10">
        <f t="shared" ref="G62" si="14">G61/G59</f>
        <v>0.53751660026560422</v>
      </c>
      <c r="H62" s="10">
        <f t="shared" ref="H62:P62" si="15">H61/H59</f>
        <v>0.46713021491782553</v>
      </c>
      <c r="I62" s="10">
        <f t="shared" si="15"/>
        <v>0.58322872206879239</v>
      </c>
      <c r="J62" s="10">
        <f t="shared" si="15"/>
        <v>0.34316505955757232</v>
      </c>
      <c r="K62" s="10">
        <f t="shared" si="15"/>
        <v>0.49758648431214803</v>
      </c>
      <c r="L62" s="10">
        <f t="shared" si="15"/>
        <v>0.61435353253281211</v>
      </c>
      <c r="M62" s="10">
        <f t="shared" si="15"/>
        <v>0.72062084257206205</v>
      </c>
      <c r="N62" s="10">
        <f t="shared" si="15"/>
        <v>0.73571024335031121</v>
      </c>
      <c r="O62" s="10">
        <f t="shared" si="15"/>
        <v>0.79118395026843746</v>
      </c>
      <c r="P62" s="10">
        <f t="shared" si="15"/>
        <v>0.64580228514654747</v>
      </c>
      <c r="Q62" s="10">
        <f>Q61/Q59</f>
        <v>0.37609133646742782</v>
      </c>
    </row>
    <row r="63" spans="1:20" s="22" customFormat="1" x14ac:dyDescent="0.25">
      <c r="B63" s="24"/>
      <c r="Q63" s="5"/>
    </row>
    <row r="64" spans="1:20" x14ac:dyDescent="0.25">
      <c r="B64" s="22">
        <v>2001</v>
      </c>
      <c r="C64" s="22">
        <v>2016</v>
      </c>
      <c r="F64" t="s">
        <v>102</v>
      </c>
      <c r="I64" t="s">
        <v>103</v>
      </c>
      <c r="J64" s="22" t="s">
        <v>61</v>
      </c>
      <c r="K64" s="22" t="s">
        <v>62</v>
      </c>
      <c r="L64" s="22" t="s">
        <v>63</v>
      </c>
      <c r="M64" s="22" t="s">
        <v>64</v>
      </c>
      <c r="N64" s="22" t="s">
        <v>65</v>
      </c>
      <c r="O64" s="22" t="s">
        <v>66</v>
      </c>
      <c r="P64" t="s">
        <v>104</v>
      </c>
    </row>
    <row r="65" spans="1:16" x14ac:dyDescent="0.25">
      <c r="A65" s="22" t="s">
        <v>61</v>
      </c>
      <c r="B65" s="10">
        <f t="shared" ref="B65:B70" si="16">-B45/B$44</f>
        <v>-0.33111726685133885</v>
      </c>
      <c r="C65" s="10">
        <f t="shared" ref="C65:C70" si="17">-Q45/Q$44</f>
        <v>-0.238202697958979</v>
      </c>
      <c r="D65" s="10"/>
      <c r="F65" s="38">
        <f t="shared" ref="F65:F71" si="18">C65-B65</f>
        <v>9.2914568892359856E-2</v>
      </c>
      <c r="G65" s="38"/>
      <c r="I65" s="38">
        <f>B71</f>
        <v>0.18596491228070178</v>
      </c>
      <c r="J65" s="38">
        <v>9.2914568892359856E-2</v>
      </c>
      <c r="K65" s="38">
        <v>7.5415828494613119E-3</v>
      </c>
      <c r="L65" s="38">
        <v>1.768958038401644E-3</v>
      </c>
      <c r="M65" s="38">
        <v>4.9152437363352092E-2</v>
      </c>
      <c r="N65" s="38">
        <v>4.6952248745989029E-2</v>
      </c>
      <c r="O65" s="38">
        <v>-1.9618914579171993E-2</v>
      </c>
      <c r="P65" s="38">
        <f>SUM(I65:O65)</f>
        <v>0.3646757935910937</v>
      </c>
    </row>
    <row r="66" spans="1:16" x14ac:dyDescent="0.25">
      <c r="A66" s="22" t="s">
        <v>62</v>
      </c>
      <c r="B66" s="10">
        <f t="shared" si="16"/>
        <v>-0.12077562326869806</v>
      </c>
      <c r="C66" s="10">
        <f t="shared" si="17"/>
        <v>-0.11323404041923675</v>
      </c>
      <c r="D66" s="10"/>
      <c r="F66" s="38">
        <f t="shared" si="18"/>
        <v>7.5415828494613119E-3</v>
      </c>
      <c r="G66" s="38"/>
    </row>
    <row r="67" spans="1:16" x14ac:dyDescent="0.25">
      <c r="A67" s="22" t="s">
        <v>63</v>
      </c>
      <c r="B67" s="10">
        <f t="shared" si="16"/>
        <v>-0.10397045244690674</v>
      </c>
      <c r="C67" s="10">
        <f t="shared" si="17"/>
        <v>-0.10220149440850509</v>
      </c>
      <c r="D67" s="10"/>
      <c r="F67" s="38">
        <f t="shared" si="18"/>
        <v>1.768958038401644E-3</v>
      </c>
      <c r="G67" s="38"/>
    </row>
    <row r="68" spans="1:16" x14ac:dyDescent="0.25">
      <c r="A68" s="22" t="s">
        <v>64</v>
      </c>
      <c r="B68" s="10">
        <f t="shared" si="16"/>
        <v>-0.12382271468144045</v>
      </c>
      <c r="C68" s="10">
        <f t="shared" si="17"/>
        <v>-7.4670277318088354E-2</v>
      </c>
      <c r="D68" s="10"/>
      <c r="F68" s="38">
        <f t="shared" si="18"/>
        <v>4.9152437363352092E-2</v>
      </c>
      <c r="G68" s="38"/>
    </row>
    <row r="69" spans="1:16" x14ac:dyDescent="0.25">
      <c r="A69" s="22" t="s">
        <v>65</v>
      </c>
      <c r="B69" s="10">
        <f t="shared" si="16"/>
        <v>-0.10397045244690674</v>
      </c>
      <c r="C69" s="10">
        <f t="shared" si="17"/>
        <v>-5.7018203700917709E-2</v>
      </c>
      <c r="D69" s="10"/>
      <c r="F69" s="38">
        <f t="shared" si="18"/>
        <v>4.6952248745989029E-2</v>
      </c>
      <c r="G69" s="38"/>
    </row>
    <row r="70" spans="1:16" x14ac:dyDescent="0.25">
      <c r="A70" s="22" t="s">
        <v>66</v>
      </c>
      <c r="B70" s="10">
        <f t="shared" si="16"/>
        <v>-3.0378578024007386E-2</v>
      </c>
      <c r="C70" s="10">
        <f t="shared" si="17"/>
        <v>-4.9997492603179379E-2</v>
      </c>
      <c r="D70" s="10"/>
      <c r="F70" s="38">
        <f t="shared" si="18"/>
        <v>-1.9618914579171993E-2</v>
      </c>
      <c r="G70" s="38"/>
    </row>
    <row r="71" spans="1:16" x14ac:dyDescent="0.25">
      <c r="A71" t="s">
        <v>101</v>
      </c>
      <c r="B71" s="38">
        <f>1+SUM(B65:B70)</f>
        <v>0.18596491228070178</v>
      </c>
      <c r="C71" s="38">
        <f>1+SUM(C65:C70)</f>
        <v>0.36467579359109359</v>
      </c>
      <c r="D71" s="38"/>
      <c r="F71" s="38">
        <f t="shared" si="18"/>
        <v>0.17871088131039181</v>
      </c>
      <c r="G71" s="38"/>
    </row>
    <row r="74" spans="1:16" x14ac:dyDescent="0.25">
      <c r="C74" s="22" t="s">
        <v>112</v>
      </c>
      <c r="D74" t="s">
        <v>119</v>
      </c>
      <c r="E74" t="s">
        <v>121</v>
      </c>
    </row>
    <row r="75" spans="1:16" s="22" customFormat="1" x14ac:dyDescent="0.25">
      <c r="B75" s="22">
        <v>1995</v>
      </c>
      <c r="C75" s="22">
        <v>35.200000000000003</v>
      </c>
      <c r="D75" s="5">
        <v>5568</v>
      </c>
      <c r="E75" s="24">
        <f>D75/C75</f>
        <v>158.18181818181816</v>
      </c>
    </row>
    <row r="76" spans="1:16" s="22" customFormat="1" x14ac:dyDescent="0.25">
      <c r="B76" s="22">
        <v>1996</v>
      </c>
      <c r="C76" s="22">
        <v>41.4</v>
      </c>
      <c r="D76" s="5">
        <v>6632</v>
      </c>
      <c r="E76" s="24">
        <f t="shared" ref="E76:E96" si="19">D76/C76</f>
        <v>160.19323671497585</v>
      </c>
    </row>
    <row r="77" spans="1:16" s="22" customFormat="1" x14ac:dyDescent="0.25">
      <c r="B77" s="22">
        <v>1997</v>
      </c>
      <c r="C77" s="22">
        <v>54</v>
      </c>
      <c r="D77" s="5">
        <v>8453</v>
      </c>
      <c r="E77" s="24">
        <f t="shared" si="19"/>
        <v>156.53703703703704</v>
      </c>
    </row>
    <row r="78" spans="1:16" s="22" customFormat="1" x14ac:dyDescent="0.25">
      <c r="B78" s="22">
        <v>1998</v>
      </c>
      <c r="C78" s="22">
        <v>53.6</v>
      </c>
      <c r="D78" s="5">
        <v>7998</v>
      </c>
      <c r="E78" s="24">
        <f t="shared" si="19"/>
        <v>149.21641791044775</v>
      </c>
    </row>
    <row r="79" spans="1:16" s="22" customFormat="1" x14ac:dyDescent="0.25">
      <c r="B79" s="22">
        <v>1999</v>
      </c>
      <c r="C79" s="22">
        <v>52.5</v>
      </c>
      <c r="D79" s="5">
        <v>8556</v>
      </c>
      <c r="E79" s="24">
        <f t="shared" si="19"/>
        <v>162.97142857142856</v>
      </c>
    </row>
    <row r="80" spans="1:16" s="22" customFormat="1" x14ac:dyDescent="0.25">
      <c r="B80" s="22">
        <v>2000</v>
      </c>
      <c r="C80" s="22">
        <v>50.5</v>
      </c>
      <c r="D80" s="5">
        <v>8901</v>
      </c>
      <c r="E80" s="24">
        <f t="shared" si="19"/>
        <v>176.25742574257427</v>
      </c>
    </row>
    <row r="81" spans="2:5" x14ac:dyDescent="0.25">
      <c r="B81">
        <v>2001</v>
      </c>
      <c r="C81" s="23">
        <v>48.7</v>
      </c>
      <c r="D81" s="5">
        <v>8916</v>
      </c>
      <c r="E81" s="24">
        <f t="shared" si="19"/>
        <v>183.08008213552361</v>
      </c>
    </row>
    <row r="82" spans="2:5" x14ac:dyDescent="0.25">
      <c r="B82">
        <v>2002</v>
      </c>
      <c r="C82" s="23">
        <v>47.3</v>
      </c>
      <c r="D82" s="5">
        <v>9131</v>
      </c>
      <c r="E82" s="24">
        <f t="shared" si="19"/>
        <v>193.04439746300213</v>
      </c>
    </row>
    <row r="83" spans="2:5" x14ac:dyDescent="0.25">
      <c r="B83" s="22">
        <v>2003</v>
      </c>
      <c r="C83" s="23">
        <v>46.4</v>
      </c>
      <c r="D83" s="5">
        <v>9239</v>
      </c>
      <c r="E83" s="24">
        <f t="shared" si="19"/>
        <v>199.11637931034483</v>
      </c>
    </row>
    <row r="84" spans="2:5" x14ac:dyDescent="0.25">
      <c r="B84" s="22">
        <v>2004</v>
      </c>
      <c r="C84" s="23">
        <v>48.3</v>
      </c>
      <c r="D84" s="5">
        <v>9458</v>
      </c>
      <c r="E84" s="24">
        <f t="shared" si="19"/>
        <v>195.81780538302277</v>
      </c>
    </row>
    <row r="85" spans="2:5" x14ac:dyDescent="0.25">
      <c r="B85" s="22">
        <v>2005</v>
      </c>
      <c r="C85" s="23">
        <v>49.7</v>
      </c>
      <c r="D85" s="5">
        <v>9544</v>
      </c>
      <c r="E85" s="24">
        <f t="shared" si="19"/>
        <v>192.0321931589537</v>
      </c>
    </row>
    <row r="86" spans="2:5" x14ac:dyDescent="0.25">
      <c r="B86" s="22">
        <v>2006</v>
      </c>
      <c r="C86" s="23">
        <v>50.7</v>
      </c>
      <c r="D86" s="5">
        <v>9852</v>
      </c>
      <c r="E86" s="24">
        <f t="shared" si="19"/>
        <v>194.31952662721892</v>
      </c>
    </row>
    <row r="87" spans="2:5" x14ac:dyDescent="0.25">
      <c r="B87" s="22">
        <v>2007</v>
      </c>
      <c r="C87" s="23">
        <v>50.1</v>
      </c>
      <c r="D87" s="5">
        <v>9733</v>
      </c>
      <c r="E87" s="24">
        <f t="shared" si="19"/>
        <v>194.27145708582833</v>
      </c>
    </row>
    <row r="88" spans="2:5" x14ac:dyDescent="0.25">
      <c r="B88" s="22">
        <v>2008</v>
      </c>
      <c r="C88" s="23">
        <v>48.2</v>
      </c>
      <c r="D88" s="5">
        <v>9261</v>
      </c>
      <c r="E88" s="24">
        <f t="shared" si="19"/>
        <v>192.13692946058089</v>
      </c>
    </row>
    <row r="89" spans="2:5" x14ac:dyDescent="0.25">
      <c r="B89" s="22">
        <v>2009</v>
      </c>
      <c r="C89" s="23">
        <v>43.5</v>
      </c>
      <c r="D89" s="5">
        <v>7756</v>
      </c>
      <c r="E89" s="24">
        <f t="shared" si="19"/>
        <v>178.29885057471265</v>
      </c>
    </row>
    <row r="90" spans="2:5" x14ac:dyDescent="0.25">
      <c r="B90" s="22">
        <v>2010</v>
      </c>
      <c r="C90" s="23">
        <v>42.9</v>
      </c>
      <c r="D90" s="5">
        <v>8815</v>
      </c>
      <c r="E90" s="24">
        <f t="shared" si="19"/>
        <v>205.47785547785548</v>
      </c>
    </row>
    <row r="91" spans="2:5" x14ac:dyDescent="0.25">
      <c r="B91" s="22">
        <v>2011</v>
      </c>
      <c r="C91" s="23">
        <v>44.9</v>
      </c>
      <c r="D91" s="5">
        <v>9072</v>
      </c>
      <c r="E91" s="24">
        <f t="shared" si="19"/>
        <v>202.04899777282853</v>
      </c>
    </row>
    <row r="92" spans="2:5" x14ac:dyDescent="0.25">
      <c r="B92" s="22">
        <v>2012</v>
      </c>
      <c r="C92" s="23">
        <v>45.9</v>
      </c>
      <c r="D92" s="5">
        <v>9048</v>
      </c>
      <c r="E92" s="24">
        <f t="shared" si="19"/>
        <v>197.12418300653596</v>
      </c>
    </row>
    <row r="93" spans="2:5" x14ac:dyDescent="0.25">
      <c r="B93" s="22">
        <v>2013</v>
      </c>
      <c r="C93" s="23">
        <v>46.4</v>
      </c>
      <c r="D93" s="5">
        <v>9022</v>
      </c>
      <c r="E93" s="24">
        <f t="shared" si="19"/>
        <v>194.43965517241381</v>
      </c>
    </row>
    <row r="94" spans="2:5" x14ac:dyDescent="0.25">
      <c r="B94" s="22">
        <v>2014</v>
      </c>
      <c r="C94" s="23">
        <v>47.2</v>
      </c>
      <c r="D94" s="5">
        <v>9625</v>
      </c>
      <c r="E94" s="24">
        <f t="shared" si="19"/>
        <v>203.91949152542372</v>
      </c>
    </row>
    <row r="95" spans="2:5" x14ac:dyDescent="0.25">
      <c r="B95" s="22">
        <v>2015</v>
      </c>
      <c r="C95" s="23">
        <v>47.5</v>
      </c>
      <c r="D95" s="5">
        <v>9062</v>
      </c>
      <c r="E95" s="24">
        <f t="shared" si="19"/>
        <v>190.77894736842106</v>
      </c>
    </row>
    <row r="96" spans="2:5" x14ac:dyDescent="0.25">
      <c r="B96" s="22">
        <v>2016</v>
      </c>
      <c r="C96" s="23">
        <v>42.9</v>
      </c>
      <c r="D96" s="5">
        <v>8442</v>
      </c>
      <c r="E96" s="24">
        <f t="shared" si="19"/>
        <v>196.7832167832168</v>
      </c>
    </row>
  </sheetData>
  <sortState ref="A15:Q22">
    <sortCondition descending="1" ref="Q1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34076-C8D9-4FB1-9CB8-7E2B60CCF7A1}">
  <dimension ref="A1:M21"/>
  <sheetViews>
    <sheetView workbookViewId="0">
      <selection activeCell="F35" sqref="F35"/>
    </sheetView>
  </sheetViews>
  <sheetFormatPr defaultRowHeight="15" x14ac:dyDescent="0.25"/>
  <cols>
    <col min="1" max="1" width="31.42578125" bestFit="1" customWidth="1"/>
  </cols>
  <sheetData>
    <row r="1" spans="1:13" x14ac:dyDescent="0.25">
      <c r="B1" s="22">
        <v>2007</v>
      </c>
      <c r="C1" s="22">
        <v>2008</v>
      </c>
      <c r="D1" s="22">
        <v>2009</v>
      </c>
      <c r="E1" s="22">
        <v>2010</v>
      </c>
      <c r="F1" s="22">
        <v>2011</v>
      </c>
      <c r="G1" s="22">
        <v>2012</v>
      </c>
      <c r="H1" s="22">
        <v>2013</v>
      </c>
      <c r="I1" s="22">
        <v>2014</v>
      </c>
      <c r="J1">
        <v>2015</v>
      </c>
      <c r="K1">
        <v>2016</v>
      </c>
    </row>
    <row r="2" spans="1:13" x14ac:dyDescent="0.25">
      <c r="A2" t="s">
        <v>33</v>
      </c>
      <c r="B2" s="5">
        <v>4330</v>
      </c>
      <c r="C2" s="5">
        <v>4247</v>
      </c>
      <c r="D2" s="5">
        <v>5076</v>
      </c>
      <c r="E2" s="5">
        <v>4935</v>
      </c>
      <c r="F2" s="5">
        <v>5082</v>
      </c>
      <c r="G2" s="5">
        <v>5468</v>
      </c>
      <c r="H2" s="5">
        <v>5431</v>
      </c>
      <c r="I2" s="5">
        <v>5666</v>
      </c>
      <c r="J2" s="5">
        <v>5917</v>
      </c>
      <c r="K2" s="5">
        <v>6247</v>
      </c>
      <c r="M2" s="13">
        <f>SUM(C2:K2)/SUM(B2:J2)-1</f>
        <v>4.1536661466458735E-2</v>
      </c>
    </row>
    <row r="3" spans="1:13" x14ac:dyDescent="0.25">
      <c r="A3" t="s">
        <v>34</v>
      </c>
      <c r="B3" s="5">
        <v>3704</v>
      </c>
      <c r="C3" s="5">
        <v>3531</v>
      </c>
      <c r="D3" s="5">
        <v>2659</v>
      </c>
      <c r="E3" s="5">
        <v>2628</v>
      </c>
      <c r="F3" s="5">
        <v>2550</v>
      </c>
      <c r="G3" s="5">
        <v>2365</v>
      </c>
      <c r="H3" s="5">
        <v>2348</v>
      </c>
      <c r="I3" s="5">
        <v>2327</v>
      </c>
      <c r="J3" s="5">
        <v>2135</v>
      </c>
      <c r="K3" s="5">
        <v>1958</v>
      </c>
      <c r="M3" s="13">
        <f>SUM(C3:K3)/SUM(B3:J3)-1</f>
        <v>-7.2008908318554887E-2</v>
      </c>
    </row>
    <row r="4" spans="1:13" s="22" customFormat="1" x14ac:dyDescent="0.25">
      <c r="B4" s="22">
        <f>B3/SUM(B2:B3)</f>
        <v>0.46104057754543193</v>
      </c>
      <c r="K4" s="22">
        <f>K3/SUM(K2:K3)</f>
        <v>0.23863497867154174</v>
      </c>
    </row>
    <row r="5" spans="1:13" s="22" customFormat="1" x14ac:dyDescent="0.25">
      <c r="A5" s="22" t="s">
        <v>42</v>
      </c>
      <c r="B5" s="5"/>
      <c r="C5" s="5"/>
      <c r="D5" s="5"/>
      <c r="E5" s="5"/>
      <c r="F5" s="5"/>
      <c r="G5" s="5">
        <v>200</v>
      </c>
      <c r="H5" s="5">
        <v>100</v>
      </c>
      <c r="I5" s="5">
        <v>261</v>
      </c>
      <c r="J5" s="5">
        <v>230</v>
      </c>
      <c r="K5" s="5">
        <v>230</v>
      </c>
      <c r="L5" s="5">
        <v>60</v>
      </c>
    </row>
    <row r="6" spans="1:13" s="22" customFormat="1" x14ac:dyDescent="0.25">
      <c r="B6" s="5"/>
      <c r="C6" s="5"/>
      <c r="D6" s="5"/>
      <c r="E6" s="5"/>
      <c r="F6" s="5"/>
      <c r="G6" s="5">
        <f>F2+G5</f>
        <v>5282</v>
      </c>
      <c r="H6" s="5">
        <f>G2+H5</f>
        <v>5568</v>
      </c>
      <c r="I6" s="5">
        <f>H2+I5</f>
        <v>5692</v>
      </c>
      <c r="J6" s="5">
        <f>I2+J5</f>
        <v>5896</v>
      </c>
      <c r="K6" s="5"/>
    </row>
    <row r="7" spans="1:13" s="22" customFormat="1" x14ac:dyDescent="0.25">
      <c r="A7" s="22" t="s">
        <v>43</v>
      </c>
      <c r="G7" s="5">
        <f>G2-G6</f>
        <v>186</v>
      </c>
      <c r="H7" s="5">
        <f>H2-H6</f>
        <v>-137</v>
      </c>
      <c r="I7" s="5">
        <f>I2-I6</f>
        <v>-26</v>
      </c>
      <c r="J7" s="5">
        <f>J2-J6</f>
        <v>21</v>
      </c>
      <c r="K7" s="5"/>
    </row>
    <row r="8" spans="1:13" s="22" customFormat="1" x14ac:dyDescent="0.25">
      <c r="A8" s="22" t="s">
        <v>41</v>
      </c>
      <c r="B8" s="5"/>
      <c r="C8" s="5"/>
      <c r="D8" s="5"/>
      <c r="E8" s="5"/>
      <c r="F8" s="5">
        <v>490</v>
      </c>
      <c r="G8" s="5">
        <v>850</v>
      </c>
      <c r="H8" s="5">
        <v>575</v>
      </c>
      <c r="I8" s="5">
        <f>8463-I14</f>
        <v>470</v>
      </c>
      <c r="J8" s="5">
        <v>1400</v>
      </c>
      <c r="K8" s="5"/>
    </row>
    <row r="9" spans="1:13" s="22" customFormat="1" x14ac:dyDescent="0.25">
      <c r="B9" s="5"/>
      <c r="C9" s="5"/>
      <c r="D9" s="5"/>
      <c r="E9" s="5"/>
      <c r="F9" s="5"/>
      <c r="G9" s="5"/>
      <c r="H9" s="5"/>
      <c r="I9" s="5"/>
      <c r="J9" s="5"/>
      <c r="K9" s="5"/>
    </row>
    <row r="10" spans="1:13" s="22" customFormat="1" x14ac:dyDescent="0.25">
      <c r="A10" s="22" t="s">
        <v>17</v>
      </c>
      <c r="B10" s="5">
        <v>16283</v>
      </c>
      <c r="C10" s="5">
        <v>17970</v>
      </c>
      <c r="D10" s="5">
        <v>14143</v>
      </c>
      <c r="E10" s="5">
        <v>16965</v>
      </c>
      <c r="F10" s="5">
        <v>19557</v>
      </c>
      <c r="G10" s="5">
        <v>20926</v>
      </c>
      <c r="H10" s="5">
        <v>21963</v>
      </c>
      <c r="I10" s="5">
        <v>23988</v>
      </c>
      <c r="J10" s="5">
        <v>21813</v>
      </c>
      <c r="K10" s="5">
        <v>19941</v>
      </c>
    </row>
    <row r="11" spans="1:13" s="22" customFormat="1" x14ac:dyDescent="0.25">
      <c r="A11" s="22" t="s">
        <v>44</v>
      </c>
      <c r="B11" s="5">
        <v>-1423</v>
      </c>
      <c r="C11" s="5">
        <v>-1326</v>
      </c>
      <c r="D11" s="5">
        <v>-1180</v>
      </c>
      <c r="E11" s="5">
        <v>-1142</v>
      </c>
      <c r="F11" s="5">
        <v>-1167</v>
      </c>
      <c r="G11" s="5">
        <v>-1197</v>
      </c>
      <c r="H11" s="5">
        <v>-1235</v>
      </c>
      <c r="I11" s="5">
        <v>-1234</v>
      </c>
      <c r="J11" s="5">
        <v>-1230</v>
      </c>
      <c r="K11" s="5">
        <v>-1137</v>
      </c>
    </row>
    <row r="12" spans="1:13" s="22" customFormat="1" x14ac:dyDescent="0.25">
      <c r="A12" s="22" t="s">
        <v>45</v>
      </c>
      <c r="B12" s="25">
        <f>-B11/B10</f>
        <v>8.7391758275502052E-2</v>
      </c>
      <c r="C12" s="25">
        <f t="shared" ref="C12:K12" si="0">-C11/C10</f>
        <v>7.3789649415692826E-2</v>
      </c>
      <c r="D12" s="25">
        <f t="shared" si="0"/>
        <v>8.3433500671710389E-2</v>
      </c>
      <c r="E12" s="25">
        <f t="shared" si="0"/>
        <v>6.7315060418508696E-2</v>
      </c>
      <c r="F12" s="25">
        <f t="shared" si="0"/>
        <v>5.9671728792759629E-2</v>
      </c>
      <c r="G12" s="25">
        <f t="shared" si="0"/>
        <v>5.72015674280799E-2</v>
      </c>
      <c r="H12" s="25">
        <f t="shared" si="0"/>
        <v>5.6230933843281886E-2</v>
      </c>
      <c r="I12" s="25">
        <f t="shared" si="0"/>
        <v>5.1442387860596968E-2</v>
      </c>
      <c r="J12" s="25">
        <f t="shared" si="0"/>
        <v>5.6388392243157753E-2</v>
      </c>
      <c r="K12" s="25">
        <f t="shared" si="0"/>
        <v>5.7018203700917709E-2</v>
      </c>
    </row>
    <row r="13" spans="1:13" s="22" customFormat="1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3" s="22" customFormat="1" x14ac:dyDescent="0.25">
      <c r="A14" s="22" t="s">
        <v>40</v>
      </c>
      <c r="B14" s="5">
        <f t="shared" ref="B14:K14" si="1">SUM(B2:B3)</f>
        <v>8034</v>
      </c>
      <c r="C14" s="5">
        <f t="shared" si="1"/>
        <v>7778</v>
      </c>
      <c r="D14" s="5">
        <f t="shared" si="1"/>
        <v>7735</v>
      </c>
      <c r="E14" s="5">
        <f t="shared" si="1"/>
        <v>7563</v>
      </c>
      <c r="F14" s="5">
        <f t="shared" si="1"/>
        <v>7632</v>
      </c>
      <c r="G14" s="5">
        <f t="shared" si="1"/>
        <v>7833</v>
      </c>
      <c r="H14" s="5">
        <f t="shared" si="1"/>
        <v>7779</v>
      </c>
      <c r="I14" s="5">
        <f t="shared" si="1"/>
        <v>7993</v>
      </c>
      <c r="J14" s="5">
        <f t="shared" si="1"/>
        <v>8052</v>
      </c>
      <c r="K14" s="5">
        <f t="shared" si="1"/>
        <v>8205</v>
      </c>
      <c r="M14" s="13">
        <f>SUM(C14:K14)/SUM(B14:J14)-1</f>
        <v>2.4290117757355123E-3</v>
      </c>
    </row>
    <row r="15" spans="1:13" x14ac:dyDescent="0.25">
      <c r="A15" s="22"/>
      <c r="B15" s="5"/>
      <c r="C15" s="5"/>
      <c r="D15" s="5"/>
      <c r="E15" s="5"/>
      <c r="F15" s="5"/>
      <c r="G15" s="5"/>
      <c r="H15" s="5"/>
      <c r="I15" s="5"/>
      <c r="J15" s="5"/>
      <c r="K15" s="5"/>
      <c r="L15" s="22"/>
      <c r="M15" s="22"/>
    </row>
    <row r="16" spans="1:13" x14ac:dyDescent="0.25">
      <c r="A16" t="s">
        <v>35</v>
      </c>
      <c r="B16" s="23">
        <v>14.8</v>
      </c>
      <c r="C16" s="23">
        <v>14.6</v>
      </c>
      <c r="D16" s="23">
        <v>15.1</v>
      </c>
      <c r="E16" s="23">
        <v>15.9</v>
      </c>
      <c r="F16" s="23">
        <v>16.8</v>
      </c>
      <c r="G16" s="23">
        <v>17.3</v>
      </c>
      <c r="H16" s="23">
        <v>18</v>
      </c>
      <c r="I16" s="23">
        <v>18.399999999999999</v>
      </c>
      <c r="J16" s="23">
        <v>18.7</v>
      </c>
      <c r="K16" s="23">
        <v>19.2</v>
      </c>
    </row>
    <row r="18" spans="1:11" x14ac:dyDescent="0.25">
      <c r="A18" t="s">
        <v>36</v>
      </c>
      <c r="B18" s="10">
        <f t="shared" ref="B18:K18" si="2">B3/B2</f>
        <v>0.85542725173210166</v>
      </c>
      <c r="C18" s="10">
        <f t="shared" si="2"/>
        <v>0.83141040734636218</v>
      </c>
      <c r="D18" s="10">
        <f t="shared" si="2"/>
        <v>0.52383766745468874</v>
      </c>
      <c r="E18" s="10">
        <f t="shared" si="2"/>
        <v>0.53252279635258359</v>
      </c>
      <c r="F18" s="10">
        <f t="shared" si="2"/>
        <v>0.50177095631641089</v>
      </c>
      <c r="G18" s="10">
        <f t="shared" si="2"/>
        <v>0.43251645940014632</v>
      </c>
      <c r="H18" s="10">
        <f t="shared" si="2"/>
        <v>0.43233290370097588</v>
      </c>
      <c r="I18" s="10">
        <f t="shared" si="2"/>
        <v>0.41069537592657962</v>
      </c>
      <c r="J18" s="10">
        <f t="shared" si="2"/>
        <v>0.36082474226804123</v>
      </c>
      <c r="K18" s="10">
        <f t="shared" si="2"/>
        <v>0.31343044661437491</v>
      </c>
    </row>
    <row r="19" spans="1:11" x14ac:dyDescent="0.25">
      <c r="A19" t="s">
        <v>37</v>
      </c>
      <c r="B19" s="5">
        <v>5</v>
      </c>
      <c r="C19" s="5">
        <v>5</v>
      </c>
      <c r="D19" s="5">
        <v>5</v>
      </c>
      <c r="E19" s="5">
        <v>5</v>
      </c>
      <c r="F19" s="5">
        <v>5</v>
      </c>
      <c r="G19" s="5">
        <v>5</v>
      </c>
      <c r="H19" s="5">
        <v>5</v>
      </c>
      <c r="I19" s="5">
        <v>5</v>
      </c>
      <c r="J19" s="5">
        <v>5</v>
      </c>
      <c r="K19" s="5">
        <v>5</v>
      </c>
    </row>
    <row r="20" spans="1:11" x14ac:dyDescent="0.25">
      <c r="A20" t="s">
        <v>38</v>
      </c>
      <c r="B20" s="23">
        <f>B16/(B19*B18)/(1-B18)</f>
        <v>23.934380585016463</v>
      </c>
      <c r="C20" s="23">
        <f t="shared" ref="C20:K20" si="3">C16/(C19*C18)/(1-C18)</f>
        <v>20.832271817533137</v>
      </c>
      <c r="D20" s="23">
        <f t="shared" si="3"/>
        <v>12.107519636123902</v>
      </c>
      <c r="E20" s="23">
        <f t="shared" si="3"/>
        <v>12.77404608368812</v>
      </c>
      <c r="F20" s="23">
        <f t="shared" si="3"/>
        <v>13.440168608865347</v>
      </c>
      <c r="G20" s="23">
        <f t="shared" si="3"/>
        <v>14.096788695928852</v>
      </c>
      <c r="H20" s="23">
        <f t="shared" si="3"/>
        <v>14.668661578221172</v>
      </c>
      <c r="I20" s="23">
        <f t="shared" si="3"/>
        <v>15.205060646578515</v>
      </c>
      <c r="J20" s="23">
        <f t="shared" si="3"/>
        <v>16.216433179723502</v>
      </c>
      <c r="K20" s="23">
        <f t="shared" si="3"/>
        <v>17.844545976106776</v>
      </c>
    </row>
    <row r="21" spans="1:11" x14ac:dyDescent="0.25">
      <c r="A21" t="s">
        <v>39</v>
      </c>
      <c r="B21" s="5">
        <v>263</v>
      </c>
      <c r="C21" s="5">
        <v>164</v>
      </c>
      <c r="D21" s="5">
        <v>272</v>
      </c>
      <c r="E21" s="5">
        <v>330</v>
      </c>
      <c r="F21" s="5">
        <v>675</v>
      </c>
      <c r="G21" s="5">
        <v>875</v>
      </c>
      <c r="H21" s="5">
        <v>580</v>
      </c>
      <c r="I21" s="5">
        <v>1067</v>
      </c>
      <c r="J21" s="5">
        <v>1436</v>
      </c>
      <c r="K21" s="5">
        <v>854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84291-89F2-47CE-BEA7-0E28D5D538CB}">
  <dimension ref="A1:U89"/>
  <sheetViews>
    <sheetView tabSelected="1" workbookViewId="0">
      <pane xSplit="1" ySplit="1" topLeftCell="B8" activePane="bottomRight" state="frozen"/>
      <selection activeCell="N88" sqref="N88:Q88"/>
      <selection pane="topRight" activeCell="N88" sqref="N88:Q88"/>
      <selection pane="bottomLeft" activeCell="N88" sqref="N88:Q88"/>
      <selection pane="bottomRight" activeCell="Q33" sqref="Q33"/>
    </sheetView>
  </sheetViews>
  <sheetFormatPr defaultRowHeight="15" x14ac:dyDescent="0.25"/>
  <cols>
    <col min="1" max="1" width="22.85546875" bestFit="1" customWidth="1"/>
    <col min="3" max="10" width="9.140625" style="22"/>
    <col min="12" max="14" width="9.140625" style="22"/>
    <col min="17" max="17" width="9" customWidth="1"/>
  </cols>
  <sheetData>
    <row r="1" spans="1:21" x14ac:dyDescent="0.25">
      <c r="B1" s="22">
        <v>2001</v>
      </c>
      <c r="C1" s="22">
        <v>2002</v>
      </c>
      <c r="D1" s="22">
        <v>2003</v>
      </c>
      <c r="E1" s="22">
        <v>2004</v>
      </c>
      <c r="F1" s="22">
        <v>2005</v>
      </c>
      <c r="G1" s="22">
        <v>2006</v>
      </c>
      <c r="H1" s="22">
        <v>2007</v>
      </c>
      <c r="I1" s="22">
        <v>2008</v>
      </c>
      <c r="J1" s="22">
        <v>2009</v>
      </c>
      <c r="K1" s="22">
        <v>2010</v>
      </c>
      <c r="L1" s="22">
        <v>2011</v>
      </c>
      <c r="M1" s="22">
        <v>2012</v>
      </c>
      <c r="N1" s="22">
        <v>2013</v>
      </c>
      <c r="O1">
        <v>2014</v>
      </c>
      <c r="P1">
        <v>2015</v>
      </c>
      <c r="Q1">
        <v>2016</v>
      </c>
    </row>
    <row r="2" spans="1:21" x14ac:dyDescent="0.25">
      <c r="A2" t="s">
        <v>17</v>
      </c>
      <c r="B2" s="5">
        <v>9208</v>
      </c>
      <c r="C2" s="5">
        <v>8979</v>
      </c>
      <c r="D2" s="5">
        <v>9413</v>
      </c>
      <c r="E2" s="5">
        <v>10946</v>
      </c>
      <c r="F2" s="5">
        <v>12987</v>
      </c>
      <c r="G2" s="5">
        <v>14985</v>
      </c>
      <c r="H2" s="5">
        <v>15802</v>
      </c>
      <c r="I2" s="5">
        <v>18018</v>
      </c>
      <c r="J2" s="5">
        <v>14016</v>
      </c>
      <c r="K2" s="5">
        <f>1791+15059</f>
        <v>16850</v>
      </c>
      <c r="L2" s="5">
        <v>20835</v>
      </c>
      <c r="M2" s="5">
        <v>22014</v>
      </c>
      <c r="N2" s="5">
        <v>23239</v>
      </c>
      <c r="O2" s="5">
        <v>23239</v>
      </c>
      <c r="P2" s="5">
        <v>21967</v>
      </c>
      <c r="Q2" s="5">
        <v>19829</v>
      </c>
    </row>
    <row r="3" spans="1:21" s="22" customFormat="1" x14ac:dyDescent="0.2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21" x14ac:dyDescent="0.25">
      <c r="A4" t="s">
        <v>24</v>
      </c>
      <c r="B4" s="5">
        <v>2197</v>
      </c>
      <c r="C4" s="5">
        <v>2106</v>
      </c>
      <c r="D4" s="5">
        <v>2285</v>
      </c>
      <c r="E4" s="5">
        <v>2377</v>
      </c>
      <c r="F4" s="5">
        <v>2609</v>
      </c>
      <c r="G4" s="5">
        <v>3108</v>
      </c>
      <c r="H4" s="5">
        <v>3492</v>
      </c>
      <c r="I4" s="5">
        <v>3977</v>
      </c>
      <c r="J4" s="5">
        <v>3413</v>
      </c>
      <c r="K4" s="5">
        <f>64+4350</f>
        <v>4414</v>
      </c>
      <c r="L4" s="5">
        <v>5433</v>
      </c>
      <c r="M4" s="5">
        <v>5762</v>
      </c>
      <c r="N4" s="5">
        <v>6581</v>
      </c>
      <c r="O4" s="5">
        <v>6581</v>
      </c>
      <c r="P4" s="5">
        <v>7175</v>
      </c>
      <c r="Q4" s="5">
        <v>6925</v>
      </c>
    </row>
    <row r="5" spans="1:21" x14ac:dyDescent="0.25">
      <c r="A5" t="s">
        <v>63</v>
      </c>
      <c r="B5" s="5">
        <v>909</v>
      </c>
      <c r="C5" s="5">
        <v>931</v>
      </c>
      <c r="D5" s="5">
        <v>910</v>
      </c>
      <c r="E5" s="5">
        <v>1012</v>
      </c>
      <c r="F5" s="5">
        <v>1075</v>
      </c>
      <c r="G5" s="5">
        <v>1130</v>
      </c>
      <c r="H5" s="5">
        <v>1293</v>
      </c>
      <c r="I5" s="5">
        <v>1397</v>
      </c>
      <c r="J5" s="5">
        <v>1537</v>
      </c>
      <c r="K5" s="5">
        <f>192+1532</f>
        <v>1724</v>
      </c>
      <c r="L5" s="5">
        <v>1889</v>
      </c>
      <c r="M5" s="5">
        <v>1973</v>
      </c>
      <c r="N5" s="5">
        <v>2123</v>
      </c>
      <c r="O5" s="5">
        <v>2123</v>
      </c>
      <c r="P5" s="5">
        <v>2001</v>
      </c>
      <c r="Q5" s="5">
        <v>2128</v>
      </c>
    </row>
    <row r="6" spans="1:21" x14ac:dyDescent="0.25">
      <c r="A6" t="s">
        <v>72</v>
      </c>
      <c r="B6" s="10">
        <v>1.6036655211913109E-2</v>
      </c>
      <c r="C6" s="10">
        <v>2.4802705749718212E-2</v>
      </c>
      <c r="D6" s="10">
        <v>2.0352035203520247E-2</v>
      </c>
      <c r="E6" s="10">
        <v>3.3423180592991875E-2</v>
      </c>
      <c r="F6" s="10">
        <v>3.3385498174230532E-2</v>
      </c>
      <c r="G6" s="10">
        <v>2.5239777889954462E-2</v>
      </c>
      <c r="H6" s="10">
        <v>4.1088133924175319E-2</v>
      </c>
      <c r="I6" s="10">
        <v>-2.2228002553859039E-4</v>
      </c>
      <c r="J6" s="10">
        <v>2.8141231232083674E-2</v>
      </c>
      <c r="K6" s="10">
        <v>1.421689740369092E-2</v>
      </c>
      <c r="L6" s="10">
        <v>3.019456806253018E-2</v>
      </c>
      <c r="M6" s="10">
        <v>1.7640349988771176E-2</v>
      </c>
      <c r="N6" s="10">
        <v>1.5569085110710201E-2</v>
      </c>
      <c r="O6" s="10">
        <v>7.5288563552153853E-3</v>
      </c>
      <c r="P6" s="10">
        <v>5.8444414371743303E-3</v>
      </c>
      <c r="Q6" s="10">
        <v>2.0916895806530222E-2</v>
      </c>
    </row>
    <row r="7" spans="1:21" x14ac:dyDescent="0.25">
      <c r="A7" s="26" t="s">
        <v>73</v>
      </c>
      <c r="B7" s="15">
        <f t="shared" ref="B7:N7" si="0">-(B5*(1+B6))</f>
        <v>-923.57731958762906</v>
      </c>
      <c r="C7" s="15">
        <f t="shared" si="0"/>
        <v>-954.09131905298761</v>
      </c>
      <c r="D7" s="15">
        <f t="shared" si="0"/>
        <v>-928.52035203520347</v>
      </c>
      <c r="E7" s="15">
        <f t="shared" si="0"/>
        <v>-1045.8242587601078</v>
      </c>
      <c r="F7" s="15">
        <f t="shared" si="0"/>
        <v>-1110.8894105372979</v>
      </c>
      <c r="G7" s="15">
        <f t="shared" si="0"/>
        <v>-1158.5209490156485</v>
      </c>
      <c r="H7" s="15">
        <f t="shared" si="0"/>
        <v>-1346.1269571639587</v>
      </c>
      <c r="I7" s="15">
        <f t="shared" si="0"/>
        <v>-1396.6894748043226</v>
      </c>
      <c r="J7" s="15">
        <f t="shared" ref="J7" si="1">-(J5*(1+J6))</f>
        <v>-1580.2530724037126</v>
      </c>
      <c r="K7" s="15">
        <f t="shared" ref="K7" si="2">-(K5*(1+K6))</f>
        <v>-1748.509931123963</v>
      </c>
      <c r="L7" s="15">
        <f t="shared" si="0"/>
        <v>-1946.0375390701195</v>
      </c>
      <c r="M7" s="15">
        <f t="shared" si="0"/>
        <v>-2007.8044105278454</v>
      </c>
      <c r="N7" s="15">
        <f t="shared" si="0"/>
        <v>-2156.0531676900378</v>
      </c>
      <c r="O7" s="15">
        <f>-(O5*(1+O6))</f>
        <v>-2138.9837620421222</v>
      </c>
      <c r="P7" s="15">
        <f t="shared" ref="P7:Q7" si="3">-(P5*(1+P6))</f>
        <v>-2012.6947273157859</v>
      </c>
      <c r="Q7" s="15">
        <f t="shared" si="3"/>
        <v>-2172.5111542762961</v>
      </c>
      <c r="U7">
        <v>3.4360189573459543E-2</v>
      </c>
    </row>
    <row r="8" spans="1:21" x14ac:dyDescent="0.25">
      <c r="A8" t="s">
        <v>25</v>
      </c>
      <c r="B8" s="5">
        <f t="shared" ref="B8:N8" si="4">B4+B7</f>
        <v>1273.4226804123709</v>
      </c>
      <c r="C8" s="5">
        <f t="shared" si="4"/>
        <v>1151.9086809470123</v>
      </c>
      <c r="D8" s="5">
        <f t="shared" si="4"/>
        <v>1356.4796479647966</v>
      </c>
      <c r="E8" s="5">
        <f t="shared" si="4"/>
        <v>1331.1757412398922</v>
      </c>
      <c r="F8" s="5">
        <f t="shared" si="4"/>
        <v>1498.1105894627021</v>
      </c>
      <c r="G8" s="5">
        <f t="shared" si="4"/>
        <v>1949.4790509843515</v>
      </c>
      <c r="H8" s="5">
        <f t="shared" si="4"/>
        <v>2145.8730428360413</v>
      </c>
      <c r="I8" s="5">
        <f t="shared" si="4"/>
        <v>2580.3105251956777</v>
      </c>
      <c r="J8" s="5">
        <f t="shared" ref="J8" si="5">J4+J7</f>
        <v>1832.7469275962874</v>
      </c>
      <c r="K8" s="5">
        <f t="shared" ref="K8" si="6">K4+K7</f>
        <v>2665.4900688760372</v>
      </c>
      <c r="L8" s="5">
        <f t="shared" si="4"/>
        <v>3486.9624609298808</v>
      </c>
      <c r="M8" s="5">
        <f t="shared" si="4"/>
        <v>3754.1955894721546</v>
      </c>
      <c r="N8" s="5">
        <f t="shared" si="4"/>
        <v>4424.9468323099627</v>
      </c>
      <c r="O8" s="5">
        <f>O4+O7</f>
        <v>4442.0162379578778</v>
      </c>
      <c r="P8" s="5">
        <f t="shared" ref="P8:Q8" si="7">P4+P7</f>
        <v>5162.3052726842143</v>
      </c>
      <c r="Q8" s="5">
        <f t="shared" si="7"/>
        <v>4752.4888457237039</v>
      </c>
      <c r="U8">
        <v>1.6036655211913109E-2</v>
      </c>
    </row>
    <row r="9" spans="1:21" x14ac:dyDescent="0.25">
      <c r="A9" t="s">
        <v>26</v>
      </c>
      <c r="B9" s="10">
        <f t="shared" ref="B9:N9" si="8">B8/B2</f>
        <v>0.13829525199960588</v>
      </c>
      <c r="C9" s="10">
        <f t="shared" si="8"/>
        <v>0.12828919489330798</v>
      </c>
      <c r="D9" s="10">
        <f t="shared" si="8"/>
        <v>0.14410704854613796</v>
      </c>
      <c r="E9" s="10">
        <f t="shared" si="8"/>
        <v>0.12161298567877693</v>
      </c>
      <c r="F9" s="10">
        <f t="shared" si="8"/>
        <v>0.1153546307432588</v>
      </c>
      <c r="G9" s="10">
        <f t="shared" si="8"/>
        <v>0.13009536543105449</v>
      </c>
      <c r="H9" s="10">
        <f t="shared" si="8"/>
        <v>0.13579755998203022</v>
      </c>
      <c r="I9" s="10">
        <f t="shared" si="8"/>
        <v>0.14320737735573746</v>
      </c>
      <c r="J9" s="10">
        <f t="shared" si="8"/>
        <v>0.13076105362416435</v>
      </c>
      <c r="K9" s="10">
        <f t="shared" si="8"/>
        <v>0.15818932159501706</v>
      </c>
      <c r="L9" s="10">
        <f t="shared" si="8"/>
        <v>0.16736080925989349</v>
      </c>
      <c r="M9" s="10">
        <f t="shared" si="8"/>
        <v>0.17053673069283887</v>
      </c>
      <c r="N9" s="10">
        <f t="shared" si="8"/>
        <v>0.19041038049442588</v>
      </c>
      <c r="O9" s="10">
        <f>O8/O2</f>
        <v>0.19114489599199094</v>
      </c>
      <c r="P9" s="10">
        <f t="shared" ref="P9:Q9" si="9">P8/P2</f>
        <v>0.23500274378313898</v>
      </c>
      <c r="Q9" s="10">
        <f t="shared" si="9"/>
        <v>0.2396736520108782</v>
      </c>
      <c r="U9">
        <v>2.4802705749718212E-2</v>
      </c>
    </row>
    <row r="10" spans="1:21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U10">
        <v>2.0352035203520247E-2</v>
      </c>
    </row>
    <row r="11" spans="1:21" x14ac:dyDescent="0.25">
      <c r="A11" t="s">
        <v>74</v>
      </c>
      <c r="B11" s="5">
        <v>-1459</v>
      </c>
      <c r="C11" s="5">
        <v>-1358</v>
      </c>
      <c r="D11" s="5">
        <v>-1726</v>
      </c>
      <c r="E11" s="5">
        <v>-1527</v>
      </c>
      <c r="F11" s="5">
        <v>-1750</v>
      </c>
      <c r="G11" s="5">
        <v>-2014</v>
      </c>
      <c r="H11" s="5">
        <f>-2248-745</f>
        <v>-2993</v>
      </c>
      <c r="I11" s="5">
        <f>-2167-949</f>
        <v>-3116</v>
      </c>
      <c r="J11" s="5">
        <f>-1991-733</f>
        <v>-2724</v>
      </c>
      <c r="K11" s="5">
        <f>-137-67-1829-445</f>
        <v>-2478</v>
      </c>
      <c r="L11" s="5">
        <f>-2726-763</f>
        <v>-3489</v>
      </c>
      <c r="M11" s="5">
        <f>-2596-952</f>
        <v>-3548</v>
      </c>
      <c r="N11" s="5">
        <f>-2975-943</f>
        <v>-3918</v>
      </c>
      <c r="O11" s="5">
        <f>-3734-1509</f>
        <v>-5243</v>
      </c>
      <c r="P11" s="5">
        <f>-4425-1226</f>
        <v>-5651</v>
      </c>
      <c r="Q11" s="5">
        <f>-3205-614</f>
        <v>-3819</v>
      </c>
      <c r="U11">
        <v>3.3423180592991875E-2</v>
      </c>
    </row>
    <row r="12" spans="1:21" x14ac:dyDescent="0.25">
      <c r="A12" t="s">
        <v>75</v>
      </c>
      <c r="B12" s="5">
        <f t="shared" ref="B12:N12" si="10">B11-B7</f>
        <v>-535.42268041237094</v>
      </c>
      <c r="C12" s="5">
        <f t="shared" si="10"/>
        <v>-403.90868094701239</v>
      </c>
      <c r="D12" s="5">
        <f t="shared" si="10"/>
        <v>-797.47964796479653</v>
      </c>
      <c r="E12" s="5">
        <f t="shared" si="10"/>
        <v>-481.1757412398922</v>
      </c>
      <c r="F12" s="5">
        <f t="shared" si="10"/>
        <v>-639.11058946270214</v>
      </c>
      <c r="G12" s="5">
        <f t="shared" si="10"/>
        <v>-855.47905098435149</v>
      </c>
      <c r="H12" s="5">
        <f t="shared" si="10"/>
        <v>-1646.8730428360413</v>
      </c>
      <c r="I12" s="5">
        <f t="shared" si="10"/>
        <v>-1719.3105251956774</v>
      </c>
      <c r="J12" s="5">
        <f t="shared" ref="J12" si="11">J11-J7</f>
        <v>-1143.7469275962874</v>
      </c>
      <c r="K12" s="5">
        <f t="shared" ref="K12" si="12">K11-K7</f>
        <v>-729.49006887603696</v>
      </c>
      <c r="L12" s="5">
        <f t="shared" si="10"/>
        <v>-1542.9624609298805</v>
      </c>
      <c r="M12" s="5">
        <f t="shared" si="10"/>
        <v>-1540.1955894721546</v>
      </c>
      <c r="N12" s="5">
        <f t="shared" si="10"/>
        <v>-1761.9468323099622</v>
      </c>
      <c r="O12" s="5">
        <f>O11-O7</f>
        <v>-3104.0162379578778</v>
      </c>
      <c r="P12" s="5">
        <f t="shared" ref="P12:Q12" si="13">P11-P7</f>
        <v>-3638.3052726842143</v>
      </c>
      <c r="Q12" s="5">
        <f t="shared" si="13"/>
        <v>-1646.4888457237039</v>
      </c>
      <c r="U12">
        <v>3.3385498174230532E-2</v>
      </c>
    </row>
    <row r="13" spans="1:21" x14ac:dyDescent="0.25">
      <c r="A13" t="s">
        <v>76</v>
      </c>
      <c r="B13" s="5"/>
      <c r="C13" s="5"/>
      <c r="D13" s="5"/>
      <c r="E13" s="5"/>
      <c r="F13" s="5"/>
      <c r="G13" s="5"/>
      <c r="H13" s="5">
        <v>778</v>
      </c>
      <c r="I13" s="5">
        <v>348</v>
      </c>
      <c r="J13" s="5">
        <v>368</v>
      </c>
      <c r="K13" s="5"/>
      <c r="L13" s="5"/>
      <c r="M13" s="5"/>
      <c r="N13" s="5"/>
      <c r="O13" s="5"/>
      <c r="P13" s="5"/>
      <c r="Q13" s="5"/>
      <c r="U13">
        <v>2.5239777889954462E-2</v>
      </c>
    </row>
    <row r="14" spans="1:21" x14ac:dyDescent="0.25">
      <c r="A14" t="s">
        <v>77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U14">
        <v>4.1088133924175319E-2</v>
      </c>
    </row>
    <row r="15" spans="1:21" x14ac:dyDescent="0.25">
      <c r="A15" t="s">
        <v>3</v>
      </c>
      <c r="B15" s="5"/>
      <c r="C15" s="5"/>
      <c r="D15" s="5"/>
      <c r="E15" s="5"/>
      <c r="F15" s="5"/>
      <c r="G15" s="5"/>
      <c r="H15" s="5">
        <v>-37</v>
      </c>
      <c r="I15" s="5">
        <v>-64</v>
      </c>
      <c r="J15" s="5">
        <v>-37</v>
      </c>
      <c r="K15" s="5">
        <v>-443</v>
      </c>
      <c r="L15" s="5">
        <v>0</v>
      </c>
      <c r="M15" s="5">
        <v>-130</v>
      </c>
      <c r="N15" s="5">
        <v>0</v>
      </c>
      <c r="O15" s="5">
        <v>0</v>
      </c>
      <c r="P15" s="5">
        <v>-36</v>
      </c>
      <c r="Q15" s="5">
        <v>0</v>
      </c>
      <c r="U15">
        <v>-2.2228002553859039E-4</v>
      </c>
    </row>
    <row r="16" spans="1:21" ht="15.75" thickBot="1" x14ac:dyDescent="0.3">
      <c r="A16" s="36" t="s">
        <v>27</v>
      </c>
      <c r="B16" s="37">
        <f t="shared" ref="B16:N16" si="14">B8+SUM(B12:B15)</f>
        <v>738</v>
      </c>
      <c r="C16" s="37">
        <f t="shared" si="14"/>
        <v>747.99999999999989</v>
      </c>
      <c r="D16" s="37">
        <f t="shared" si="14"/>
        <v>559.00000000000011</v>
      </c>
      <c r="E16" s="37">
        <f t="shared" si="14"/>
        <v>850</v>
      </c>
      <c r="F16" s="37">
        <f t="shared" si="14"/>
        <v>859</v>
      </c>
      <c r="G16" s="37">
        <f t="shared" si="14"/>
        <v>1094</v>
      </c>
      <c r="H16" s="37">
        <f t="shared" si="14"/>
        <v>1240</v>
      </c>
      <c r="I16" s="37">
        <f t="shared" si="14"/>
        <v>1145.0000000000002</v>
      </c>
      <c r="J16" s="37">
        <f t="shared" si="14"/>
        <v>1020</v>
      </c>
      <c r="K16" s="37">
        <f t="shared" si="14"/>
        <v>1493.0000000000002</v>
      </c>
      <c r="L16" s="37">
        <f t="shared" si="14"/>
        <v>1944.0000000000002</v>
      </c>
      <c r="M16" s="37">
        <f t="shared" si="14"/>
        <v>2084</v>
      </c>
      <c r="N16" s="37">
        <f t="shared" si="14"/>
        <v>2663.0000000000005</v>
      </c>
      <c r="O16" s="37">
        <f>O8+SUM(O12:O15)</f>
        <v>1338</v>
      </c>
      <c r="P16" s="37">
        <f t="shared" ref="P16:Q16" si="15">P8+SUM(P12:P15)</f>
        <v>1488</v>
      </c>
      <c r="Q16" s="37">
        <f t="shared" si="15"/>
        <v>3106</v>
      </c>
      <c r="U16">
        <v>2.8141231232083674E-2</v>
      </c>
    </row>
    <row r="17" spans="1:21" ht="15.75" thickTop="1" x14ac:dyDescent="0.25">
      <c r="B17" s="10">
        <f t="shared" ref="B17:N17" si="16">B16/B2</f>
        <v>8.0147697654213729E-2</v>
      </c>
      <c r="C17" s="10">
        <f t="shared" si="16"/>
        <v>8.3305490589152459E-2</v>
      </c>
      <c r="D17" s="10">
        <f t="shared" si="16"/>
        <v>5.9385955593328391E-2</v>
      </c>
      <c r="E17" s="10">
        <f t="shared" si="16"/>
        <v>7.7653937511419691E-2</v>
      </c>
      <c r="F17" s="10">
        <f t="shared" si="16"/>
        <v>6.6143066143066143E-2</v>
      </c>
      <c r="G17" s="10">
        <f t="shared" si="16"/>
        <v>7.3006339673006335E-2</v>
      </c>
      <c r="H17" s="10">
        <f t="shared" si="16"/>
        <v>7.8471079610175923E-2</v>
      </c>
      <c r="I17" s="10">
        <f t="shared" si="16"/>
        <v>6.3547563547563565E-2</v>
      </c>
      <c r="J17" s="10">
        <f t="shared" si="16"/>
        <v>7.2773972602739725E-2</v>
      </c>
      <c r="K17" s="10">
        <f t="shared" si="16"/>
        <v>8.8605341246290811E-2</v>
      </c>
      <c r="L17" s="10">
        <f t="shared" si="16"/>
        <v>9.3304535637149036E-2</v>
      </c>
      <c r="M17" s="10">
        <f t="shared" si="16"/>
        <v>9.4667030071772504E-2</v>
      </c>
      <c r="N17" s="10">
        <f t="shared" si="16"/>
        <v>0.11459184990748313</v>
      </c>
      <c r="O17" s="10">
        <f>O16/O2</f>
        <v>5.7575627178450016E-2</v>
      </c>
      <c r="P17" s="10">
        <f t="shared" ref="P17:Q17" si="17">P16/P2</f>
        <v>6.773797059225202E-2</v>
      </c>
      <c r="Q17" s="10">
        <f t="shared" si="17"/>
        <v>0.15663926572192244</v>
      </c>
      <c r="U17">
        <v>1.421689740369092E-2</v>
      </c>
    </row>
    <row r="18" spans="1:21" x14ac:dyDescent="0.25">
      <c r="U18">
        <v>3.019456806253018E-2</v>
      </c>
    </row>
    <row r="19" spans="1:21" x14ac:dyDescent="0.25">
      <c r="U19">
        <v>1.7640349988771176E-2</v>
      </c>
    </row>
    <row r="20" spans="1:21" s="22" customFormat="1" x14ac:dyDescent="0.25">
      <c r="B20" s="22">
        <v>2001</v>
      </c>
      <c r="C20" s="22">
        <v>2002</v>
      </c>
      <c r="D20" s="22">
        <v>2003</v>
      </c>
      <c r="E20" s="22">
        <v>2004</v>
      </c>
      <c r="F20" s="22">
        <v>2005</v>
      </c>
      <c r="G20" s="22">
        <v>2006</v>
      </c>
      <c r="H20" s="22">
        <v>2007</v>
      </c>
      <c r="I20" s="22">
        <v>2008</v>
      </c>
      <c r="J20" s="22">
        <v>2009</v>
      </c>
      <c r="K20" s="22">
        <v>2010</v>
      </c>
      <c r="L20" s="22">
        <v>2011</v>
      </c>
      <c r="M20" s="22">
        <v>2012</v>
      </c>
      <c r="N20" s="22">
        <v>2013</v>
      </c>
      <c r="O20" s="22">
        <v>2014</v>
      </c>
      <c r="P20" s="22">
        <v>2015</v>
      </c>
      <c r="Q20" s="22">
        <v>2016</v>
      </c>
      <c r="U20" s="22">
        <v>1.5569085110710201E-2</v>
      </c>
    </row>
    <row r="21" spans="1:21" x14ac:dyDescent="0.25">
      <c r="A21" t="s">
        <v>81</v>
      </c>
      <c r="B21" s="5">
        <v>740</v>
      </c>
      <c r="C21" s="5">
        <v>999</v>
      </c>
      <c r="D21" s="5">
        <v>1219</v>
      </c>
      <c r="E21" s="5">
        <v>929</v>
      </c>
      <c r="F21" s="5">
        <v>1123</v>
      </c>
      <c r="G21" s="5">
        <v>1393</v>
      </c>
      <c r="H21" s="5">
        <v>1578</v>
      </c>
      <c r="I21" s="5">
        <v>2196</v>
      </c>
      <c r="J21" s="5">
        <v>1477</v>
      </c>
      <c r="K21" s="5">
        <v>2302</v>
      </c>
      <c r="L21" s="5">
        <v>3794</v>
      </c>
      <c r="M21" s="5">
        <v>3956</v>
      </c>
      <c r="N21" s="5">
        <v>4508</v>
      </c>
      <c r="O21" s="5">
        <v>4978</v>
      </c>
      <c r="P21" s="5">
        <v>4855</v>
      </c>
      <c r="Q21" s="5">
        <v>4998</v>
      </c>
      <c r="U21">
        <v>7.5288563552153853E-3</v>
      </c>
    </row>
    <row r="22" spans="1:21" x14ac:dyDescent="0.25">
      <c r="A22" t="s">
        <v>78</v>
      </c>
      <c r="B22" s="10">
        <v>6.8328716528162511E-2</v>
      </c>
      <c r="C22" s="10">
        <v>8.9524150909579714E-2</v>
      </c>
      <c r="D22" s="10">
        <v>0.10553198857241797</v>
      </c>
      <c r="E22" s="10">
        <v>7.6054031927957427E-2</v>
      </c>
      <c r="F22" s="10">
        <v>8.2707320665782888E-2</v>
      </c>
      <c r="G22" s="10">
        <v>8.9420978302734627E-2</v>
      </c>
      <c r="H22" s="10">
        <v>9.6910888656881411E-2</v>
      </c>
      <c r="I22" s="10">
        <v>0.12220367278797997</v>
      </c>
      <c r="J22" s="10">
        <v>0.10443328855264088</v>
      </c>
      <c r="K22" s="10">
        <v>0.13569112879457706</v>
      </c>
      <c r="L22" s="10">
        <v>0.19399703430996573</v>
      </c>
      <c r="M22" s="10">
        <v>0.18904711841727995</v>
      </c>
      <c r="N22" s="10">
        <v>0.2052542913081091</v>
      </c>
      <c r="O22" s="10">
        <v>0.20752042688010672</v>
      </c>
      <c r="P22" s="10">
        <v>0.22257369458579745</v>
      </c>
      <c r="Q22" s="10">
        <v>0.2506393861892583</v>
      </c>
      <c r="U22">
        <v>5.8444414371743303E-3</v>
      </c>
    </row>
    <row r="23" spans="1:21" x14ac:dyDescent="0.25">
      <c r="A23" t="s">
        <v>80</v>
      </c>
      <c r="B23" s="5">
        <f>B8</f>
        <v>1273.4226804123709</v>
      </c>
      <c r="C23" s="5">
        <f t="shared" ref="C23:Q23" si="18">C8</f>
        <v>1151.9086809470123</v>
      </c>
      <c r="D23" s="5">
        <f t="shared" si="18"/>
        <v>1356.4796479647966</v>
      </c>
      <c r="E23" s="5">
        <f t="shared" si="18"/>
        <v>1331.1757412398922</v>
      </c>
      <c r="F23" s="5">
        <f t="shared" si="18"/>
        <v>1498.1105894627021</v>
      </c>
      <c r="G23" s="5">
        <f t="shared" si="18"/>
        <v>1949.4790509843515</v>
      </c>
      <c r="H23" s="5">
        <f t="shared" si="18"/>
        <v>2145.8730428360413</v>
      </c>
      <c r="I23" s="5">
        <f t="shared" si="18"/>
        <v>2580.3105251956777</v>
      </c>
      <c r="J23" s="5">
        <f t="shared" si="18"/>
        <v>1832.7469275962874</v>
      </c>
      <c r="K23" s="5">
        <f t="shared" si="18"/>
        <v>2665.4900688760372</v>
      </c>
      <c r="L23" s="5">
        <f t="shared" si="18"/>
        <v>3486.9624609298808</v>
      </c>
      <c r="M23" s="5">
        <f t="shared" si="18"/>
        <v>3754.1955894721546</v>
      </c>
      <c r="N23" s="5">
        <f t="shared" si="18"/>
        <v>4424.9468323099627</v>
      </c>
      <c r="O23" s="5">
        <f t="shared" si="18"/>
        <v>4442.0162379578778</v>
      </c>
      <c r="P23" s="5">
        <f t="shared" si="18"/>
        <v>5162.3052726842143</v>
      </c>
      <c r="Q23" s="5">
        <f t="shared" si="18"/>
        <v>4752.4888457237039</v>
      </c>
      <c r="U23">
        <v>2.0916895806530222E-2</v>
      </c>
    </row>
    <row r="24" spans="1:21" x14ac:dyDescent="0.25">
      <c r="A24" t="s">
        <v>79</v>
      </c>
      <c r="B24" s="38">
        <f>B9</f>
        <v>0.13829525199960588</v>
      </c>
      <c r="C24" s="38">
        <f t="shared" ref="C24:Q24" si="19">C9</f>
        <v>0.12828919489330798</v>
      </c>
      <c r="D24" s="38">
        <f t="shared" si="19"/>
        <v>0.14410704854613796</v>
      </c>
      <c r="E24" s="38">
        <f t="shared" si="19"/>
        <v>0.12161298567877693</v>
      </c>
      <c r="F24" s="38">
        <f t="shared" si="19"/>
        <v>0.1153546307432588</v>
      </c>
      <c r="G24" s="38">
        <f t="shared" si="19"/>
        <v>0.13009536543105449</v>
      </c>
      <c r="H24" s="38">
        <f t="shared" si="19"/>
        <v>0.13579755998203022</v>
      </c>
      <c r="I24" s="38">
        <f t="shared" si="19"/>
        <v>0.14320737735573746</v>
      </c>
      <c r="J24" s="38">
        <f t="shared" si="19"/>
        <v>0.13076105362416435</v>
      </c>
      <c r="K24" s="38">
        <f t="shared" si="19"/>
        <v>0.15818932159501706</v>
      </c>
      <c r="L24" s="38">
        <f t="shared" si="19"/>
        <v>0.16736080925989349</v>
      </c>
      <c r="M24" s="38">
        <f t="shared" si="19"/>
        <v>0.17053673069283887</v>
      </c>
      <c r="N24" s="38">
        <f t="shared" si="19"/>
        <v>0.19041038049442588</v>
      </c>
      <c r="O24" s="38">
        <f t="shared" si="19"/>
        <v>0.19114489599199094</v>
      </c>
      <c r="P24" s="38">
        <f t="shared" si="19"/>
        <v>0.23500274378313898</v>
      </c>
      <c r="Q24" s="38">
        <f t="shared" si="19"/>
        <v>0.2396736520108782</v>
      </c>
    </row>
    <row r="26" spans="1:21" x14ac:dyDescent="0.25">
      <c r="B26" s="22">
        <v>2001</v>
      </c>
      <c r="C26" s="22">
        <v>2002</v>
      </c>
      <c r="D26" s="22">
        <v>2003</v>
      </c>
      <c r="E26" s="22">
        <v>2004</v>
      </c>
      <c r="F26" s="22">
        <v>2005</v>
      </c>
      <c r="G26" s="22">
        <v>2006</v>
      </c>
      <c r="H26" s="22">
        <v>2007</v>
      </c>
      <c r="I26" s="22">
        <v>2008</v>
      </c>
      <c r="J26" s="22">
        <v>2009</v>
      </c>
      <c r="K26" s="22">
        <v>2010</v>
      </c>
      <c r="L26" s="22">
        <v>2011</v>
      </c>
      <c r="M26" s="22">
        <v>2012</v>
      </c>
      <c r="N26" s="22">
        <v>2013</v>
      </c>
      <c r="O26" s="22">
        <v>2014</v>
      </c>
      <c r="P26" s="22">
        <v>2015</v>
      </c>
      <c r="Q26" s="22">
        <v>2016</v>
      </c>
    </row>
    <row r="27" spans="1:21" x14ac:dyDescent="0.25">
      <c r="A27" s="22" t="s">
        <v>82</v>
      </c>
      <c r="B27" s="5">
        <v>169</v>
      </c>
      <c r="C27" s="5">
        <v>379</v>
      </c>
      <c r="D27" s="5">
        <v>503</v>
      </c>
      <c r="E27" s="5">
        <v>381</v>
      </c>
      <c r="F27" s="5">
        <v>426</v>
      </c>
      <c r="G27" s="5">
        <v>638</v>
      </c>
      <c r="H27" s="5">
        <v>862.89074795065994</v>
      </c>
      <c r="I27" s="5">
        <v>1289.26463817893</v>
      </c>
      <c r="J27" s="5">
        <v>761.97482539715998</v>
      </c>
      <c r="K27" s="5">
        <v>1687.50980952384</v>
      </c>
      <c r="L27" s="5">
        <v>2613.70658730173</v>
      </c>
      <c r="M27" s="5">
        <v>2390.9440755200003</v>
      </c>
      <c r="N27" s="5">
        <v>3256.1757130952001</v>
      </c>
      <c r="O27" s="5">
        <v>2935.7487137692001</v>
      </c>
      <c r="P27" s="5">
        <v>2763.6194047619101</v>
      </c>
      <c r="Q27" s="5">
        <v>3817.5156626984126</v>
      </c>
    </row>
    <row r="28" spans="1:21" x14ac:dyDescent="0.25">
      <c r="A28" s="22" t="s">
        <v>83</v>
      </c>
      <c r="B28" s="10">
        <v>1.5604801477377655E-2</v>
      </c>
      <c r="C28" s="10">
        <v>3.3963616811542252E-2</v>
      </c>
      <c r="D28" s="10">
        <v>4.3546013332179029E-2</v>
      </c>
      <c r="E28" s="10">
        <v>3.1191158411788784E-2</v>
      </c>
      <c r="F28" s="10">
        <v>3.1374281926646048E-2</v>
      </c>
      <c r="G28" s="10">
        <v>4.0955193221209399E-2</v>
      </c>
      <c r="H28" s="10">
        <v>5.2993351836311486E-2</v>
      </c>
      <c r="I28" s="10">
        <v>7.1745388880296607E-2</v>
      </c>
      <c r="J28" s="10">
        <v>5.3876463649661317E-2</v>
      </c>
      <c r="K28" s="10">
        <v>9.9470074242489825E-2</v>
      </c>
      <c r="L28" s="10">
        <v>0.13364557893857595</v>
      </c>
      <c r="M28" s="10">
        <v>0.11425710004396446</v>
      </c>
      <c r="N28" s="10">
        <v>0.14825732883008697</v>
      </c>
      <c r="O28" s="10">
        <v>0.12238405510126731</v>
      </c>
      <c r="P28" s="10">
        <v>0.12669597968009491</v>
      </c>
      <c r="Q28" s="10">
        <v>0.19144053270640451</v>
      </c>
    </row>
    <row r="29" spans="1:21" x14ac:dyDescent="0.25">
      <c r="A29" s="22" t="s">
        <v>84</v>
      </c>
      <c r="B29" s="5">
        <f>B16</f>
        <v>738</v>
      </c>
      <c r="C29" s="5">
        <f t="shared" ref="C29:Q29" si="20">C16</f>
        <v>747.99999999999989</v>
      </c>
      <c r="D29" s="5">
        <f t="shared" si="20"/>
        <v>559.00000000000011</v>
      </c>
      <c r="E29" s="5">
        <f t="shared" si="20"/>
        <v>850</v>
      </c>
      <c r="F29" s="5">
        <f t="shared" si="20"/>
        <v>859</v>
      </c>
      <c r="G29" s="5">
        <f t="shared" si="20"/>
        <v>1094</v>
      </c>
      <c r="H29" s="5">
        <f t="shared" si="20"/>
        <v>1240</v>
      </c>
      <c r="I29" s="5">
        <f t="shared" si="20"/>
        <v>1145.0000000000002</v>
      </c>
      <c r="J29" s="5">
        <f t="shared" si="20"/>
        <v>1020</v>
      </c>
      <c r="K29" s="5">
        <f t="shared" si="20"/>
        <v>1493.0000000000002</v>
      </c>
      <c r="L29" s="5">
        <f t="shared" si="20"/>
        <v>1944.0000000000002</v>
      </c>
      <c r="M29" s="5">
        <f t="shared" si="20"/>
        <v>2084</v>
      </c>
      <c r="N29" s="5">
        <f t="shared" si="20"/>
        <v>2663.0000000000005</v>
      </c>
      <c r="O29" s="5">
        <f t="shared" si="20"/>
        <v>1338</v>
      </c>
      <c r="P29" s="5">
        <f t="shared" si="20"/>
        <v>1488</v>
      </c>
      <c r="Q29" s="5">
        <f t="shared" si="20"/>
        <v>3106</v>
      </c>
    </row>
    <row r="30" spans="1:21" x14ac:dyDescent="0.25">
      <c r="A30" s="22" t="s">
        <v>85</v>
      </c>
      <c r="B30" s="10">
        <f>B17</f>
        <v>8.0147697654213729E-2</v>
      </c>
      <c r="C30" s="10">
        <f t="shared" ref="C30:Q30" si="21">C17</f>
        <v>8.3305490589152459E-2</v>
      </c>
      <c r="D30" s="10">
        <f t="shared" si="21"/>
        <v>5.9385955593328391E-2</v>
      </c>
      <c r="E30" s="10">
        <f t="shared" si="21"/>
        <v>7.7653937511419691E-2</v>
      </c>
      <c r="F30" s="10">
        <f t="shared" si="21"/>
        <v>6.6143066143066143E-2</v>
      </c>
      <c r="G30" s="10">
        <f t="shared" si="21"/>
        <v>7.3006339673006335E-2</v>
      </c>
      <c r="H30" s="10">
        <f t="shared" si="21"/>
        <v>7.8471079610175923E-2</v>
      </c>
      <c r="I30" s="10">
        <f t="shared" si="21"/>
        <v>6.3547563547563565E-2</v>
      </c>
      <c r="J30" s="10">
        <f t="shared" si="21"/>
        <v>7.2773972602739725E-2</v>
      </c>
      <c r="K30" s="10">
        <f t="shared" si="21"/>
        <v>8.8605341246290811E-2</v>
      </c>
      <c r="L30" s="10">
        <f t="shared" si="21"/>
        <v>9.3304535637149036E-2</v>
      </c>
      <c r="M30" s="10">
        <f t="shared" si="21"/>
        <v>9.4667030071772504E-2</v>
      </c>
      <c r="N30" s="10">
        <f t="shared" si="21"/>
        <v>0.11459184990748313</v>
      </c>
      <c r="O30" s="10">
        <f t="shared" si="21"/>
        <v>5.7575627178450016E-2</v>
      </c>
      <c r="P30" s="10">
        <f t="shared" si="21"/>
        <v>6.773797059225202E-2</v>
      </c>
      <c r="Q30" s="10">
        <f t="shared" si="21"/>
        <v>0.15663926572192244</v>
      </c>
    </row>
    <row r="32" spans="1:21" x14ac:dyDescent="0.25">
      <c r="A32" t="s">
        <v>147</v>
      </c>
      <c r="B32" s="10">
        <f>-B11/B2</f>
        <v>0.15844917463075586</v>
      </c>
      <c r="C32" s="10">
        <f t="shared" ref="C32:Q32" si="22">-C11/C2</f>
        <v>0.15124178639046665</v>
      </c>
      <c r="D32" s="10">
        <f t="shared" si="22"/>
        <v>0.18336343354934664</v>
      </c>
      <c r="E32" s="10">
        <f t="shared" si="22"/>
        <v>0.13950301479992691</v>
      </c>
      <c r="F32" s="10">
        <f t="shared" si="22"/>
        <v>0.13475013475013475</v>
      </c>
      <c r="G32" s="10">
        <f t="shared" si="22"/>
        <v>0.13440106773440108</v>
      </c>
      <c r="H32" s="10">
        <f t="shared" si="22"/>
        <v>0.18940640425262625</v>
      </c>
      <c r="I32" s="10">
        <f t="shared" si="22"/>
        <v>0.17293817293817293</v>
      </c>
      <c r="J32" s="10">
        <f t="shared" si="22"/>
        <v>0.19434931506849315</v>
      </c>
      <c r="K32" s="10">
        <f t="shared" si="22"/>
        <v>0.14706231454005936</v>
      </c>
      <c r="L32" s="10">
        <f t="shared" si="22"/>
        <v>0.16745860331173507</v>
      </c>
      <c r="M32" s="10">
        <f t="shared" si="22"/>
        <v>0.16117016444081039</v>
      </c>
      <c r="N32" s="10">
        <f t="shared" si="22"/>
        <v>0.16859589483196352</v>
      </c>
      <c r="O32" s="10">
        <f t="shared" si="22"/>
        <v>0.22561211756099661</v>
      </c>
      <c r="P32" s="10">
        <f t="shared" si="22"/>
        <v>0.25724951062958074</v>
      </c>
      <c r="Q32" s="10">
        <f t="shared" si="22"/>
        <v>0.19259670180039337</v>
      </c>
      <c r="S32" s="38">
        <f>AVERAGE(B32:J32)</f>
        <v>0.16204472267936937</v>
      </c>
      <c r="T32" s="38">
        <f>AVERAGE(K32:Q32)</f>
        <v>0.18853504387364842</v>
      </c>
    </row>
    <row r="33" spans="1:20" x14ac:dyDescent="0.25">
      <c r="A33" t="s">
        <v>148</v>
      </c>
      <c r="B33" s="38">
        <f>'Detailed OCP Calculations'!B44</f>
        <v>0.15660203139427517</v>
      </c>
      <c r="C33" s="38">
        <f>'Detailed OCP Calculations'!C44</f>
        <v>0.16309705170714223</v>
      </c>
      <c r="D33" s="38">
        <f>'Detailed OCP Calculations'!D44</f>
        <v>0.16795082676824519</v>
      </c>
      <c r="E33" s="38">
        <f>'Detailed OCP Calculations'!E44</f>
        <v>0.15358166189111747</v>
      </c>
      <c r="F33" s="38">
        <f>'Detailed OCP Calculations'!F44</f>
        <v>0.15974370304904995</v>
      </c>
      <c r="G33" s="38">
        <f>'Detailed OCP Calculations'!G44</f>
        <v>0.14392091410964181</v>
      </c>
      <c r="H33" s="38">
        <f>'Detailed OCP Calculations'!H44</f>
        <v>0.15328870601240557</v>
      </c>
      <c r="I33" s="38">
        <f>'Detailed OCP Calculations'!I44</f>
        <v>0.15325542570951586</v>
      </c>
      <c r="J33" s="38">
        <f>'Detailed OCP Calculations'!J44</f>
        <v>0.16644276320441206</v>
      </c>
      <c r="K33" s="38">
        <f>'Detailed OCP Calculations'!K44</f>
        <v>0.14630120837017388</v>
      </c>
      <c r="L33" s="38">
        <f>'Detailed OCP Calculations'!L44</f>
        <v>0.1623970956690699</v>
      </c>
      <c r="M33" s="38">
        <f>'Detailed OCP Calculations'!M44</f>
        <v>0.17862945617891618</v>
      </c>
      <c r="N33" s="38">
        <f>'Detailed OCP Calculations'!N44</f>
        <v>0.15917679734098256</v>
      </c>
      <c r="O33" s="38">
        <f>'Detailed OCP Calculations'!O44</f>
        <v>0.18117392029348006</v>
      </c>
      <c r="P33" s="38">
        <f>'Detailed OCP Calculations'!P44</f>
        <v>0.21317562921193783</v>
      </c>
      <c r="Q33" s="38">
        <f>'Detailed OCP Calculations'!Q44</f>
        <v>0.17576851712552027</v>
      </c>
      <c r="S33" s="38">
        <f>AVERAGE(B33:J33)</f>
        <v>0.15754256487175614</v>
      </c>
      <c r="T33" s="38">
        <f>AVERAGE(K33:Q33)</f>
        <v>0.17380323202715439</v>
      </c>
    </row>
    <row r="34" spans="1:20" s="22" customFormat="1" x14ac:dyDescent="0.25"/>
    <row r="35" spans="1:20" x14ac:dyDescent="0.25">
      <c r="A35" t="s">
        <v>86</v>
      </c>
      <c r="B35" s="5">
        <v>-1459</v>
      </c>
      <c r="C35" s="5">
        <v>-1358</v>
      </c>
      <c r="D35" s="5">
        <v>-1726</v>
      </c>
      <c r="E35" s="5">
        <v>-1527</v>
      </c>
      <c r="F35" s="5">
        <v>-1750</v>
      </c>
      <c r="G35" s="5">
        <v>-2014</v>
      </c>
      <c r="H35" s="5">
        <v>-2993</v>
      </c>
      <c r="I35" s="5">
        <v>-3116</v>
      </c>
      <c r="J35" s="5">
        <v>-2724</v>
      </c>
      <c r="K35" s="5">
        <v>-2478</v>
      </c>
      <c r="L35" s="5">
        <v>-3489</v>
      </c>
      <c r="M35" s="5">
        <v>-3548</v>
      </c>
      <c r="N35" s="5">
        <v>-3918</v>
      </c>
      <c r="O35" s="5">
        <v>-5243</v>
      </c>
      <c r="P35" s="5">
        <v>-5651</v>
      </c>
      <c r="Q35" s="5">
        <v>-3819</v>
      </c>
    </row>
    <row r="36" spans="1:20" x14ac:dyDescent="0.25">
      <c r="A36" t="s">
        <v>87</v>
      </c>
      <c r="B36" s="5">
        <v>-1696</v>
      </c>
      <c r="C36" s="5">
        <v>-1820</v>
      </c>
      <c r="D36" s="5">
        <v>-1940</v>
      </c>
      <c r="E36" s="5">
        <v>-1876</v>
      </c>
      <c r="F36" s="5">
        <v>-2169</v>
      </c>
      <c r="G36" s="5">
        <v>-2242</v>
      </c>
      <c r="H36" s="5">
        <v>-2496</v>
      </c>
      <c r="I36" s="5">
        <v>-2754</v>
      </c>
      <c r="J36" s="5">
        <v>-2354</v>
      </c>
      <c r="K36" s="5">
        <v>-2482</v>
      </c>
      <c r="L36" s="5">
        <v>-3176</v>
      </c>
      <c r="M36" s="5">
        <v>-3738</v>
      </c>
      <c r="N36" s="5">
        <v>-3496</v>
      </c>
      <c r="O36" s="5">
        <v>-4346</v>
      </c>
      <c r="P36" s="5">
        <v>-4650</v>
      </c>
      <c r="Q36" s="5">
        <v>-3505</v>
      </c>
    </row>
    <row r="38" spans="1:20" x14ac:dyDescent="0.25">
      <c r="A38" t="s">
        <v>88</v>
      </c>
      <c r="B38" s="22">
        <f t="shared" ref="B38:G38" si="23">B35-B36</f>
        <v>237</v>
      </c>
      <c r="C38" s="22">
        <f t="shared" si="23"/>
        <v>462</v>
      </c>
      <c r="D38" s="22">
        <f t="shared" si="23"/>
        <v>214</v>
      </c>
      <c r="E38" s="22">
        <f t="shared" si="23"/>
        <v>349</v>
      </c>
      <c r="F38" s="22">
        <f t="shared" si="23"/>
        <v>419</v>
      </c>
      <c r="G38" s="22">
        <f t="shared" si="23"/>
        <v>228</v>
      </c>
      <c r="H38" s="22">
        <f>H35-H36</f>
        <v>-497</v>
      </c>
      <c r="I38" s="22">
        <f t="shared" ref="I38:Q38" si="24">I35-I36</f>
        <v>-362</v>
      </c>
      <c r="J38" s="22">
        <f t="shared" si="24"/>
        <v>-370</v>
      </c>
      <c r="K38" s="22">
        <f t="shared" si="24"/>
        <v>4</v>
      </c>
      <c r="L38" s="22">
        <f t="shared" si="24"/>
        <v>-313</v>
      </c>
      <c r="M38" s="22">
        <f t="shared" si="24"/>
        <v>190</v>
      </c>
      <c r="N38" s="22">
        <f t="shared" si="24"/>
        <v>-422</v>
      </c>
      <c r="O38" s="22">
        <f t="shared" si="24"/>
        <v>-897</v>
      </c>
      <c r="P38" s="22">
        <f t="shared" si="24"/>
        <v>-1001</v>
      </c>
      <c r="Q38" s="22">
        <f t="shared" si="24"/>
        <v>-314</v>
      </c>
    </row>
    <row r="41" spans="1:20" x14ac:dyDescent="0.25">
      <c r="H41" s="22">
        <v>2007</v>
      </c>
      <c r="I41" s="22">
        <v>2008</v>
      </c>
      <c r="J41" s="22">
        <v>2009</v>
      </c>
      <c r="K41" s="22">
        <v>2010</v>
      </c>
      <c r="L41" s="22">
        <v>2011</v>
      </c>
      <c r="M41" s="22">
        <v>2012</v>
      </c>
      <c r="N41" s="22">
        <v>2013</v>
      </c>
      <c r="O41" s="22">
        <v>2014</v>
      </c>
      <c r="P41" s="22">
        <v>2015</v>
      </c>
      <c r="Q41" s="22">
        <v>2016</v>
      </c>
    </row>
    <row r="42" spans="1:20" x14ac:dyDescent="0.25">
      <c r="A42" t="s">
        <v>91</v>
      </c>
      <c r="G42" s="22" t="s">
        <v>91</v>
      </c>
      <c r="H42" s="5">
        <f>-2248</f>
        <v>-2248</v>
      </c>
      <c r="I42" s="5">
        <f>-2167</f>
        <v>-2167</v>
      </c>
      <c r="J42" s="5">
        <f>-1991</f>
        <v>-1991</v>
      </c>
      <c r="K42" s="5">
        <f>-137-1829</f>
        <v>-1966</v>
      </c>
      <c r="L42" s="5">
        <v>-2726</v>
      </c>
      <c r="M42" s="5">
        <v>-2596</v>
      </c>
      <c r="N42" s="5">
        <v>-2975</v>
      </c>
      <c r="O42" s="5">
        <f>-3734</f>
        <v>-3734</v>
      </c>
      <c r="P42" s="5">
        <f>-4425</f>
        <v>-4425</v>
      </c>
      <c r="Q42" s="5">
        <f>-3205</f>
        <v>-3205</v>
      </c>
    </row>
    <row r="43" spans="1:20" x14ac:dyDescent="0.25">
      <c r="A43" t="s">
        <v>90</v>
      </c>
      <c r="G43" s="22" t="s">
        <v>90</v>
      </c>
      <c r="H43" s="5">
        <v>-745</v>
      </c>
      <c r="I43" s="5">
        <v>-949</v>
      </c>
      <c r="J43" s="5">
        <v>-733</v>
      </c>
      <c r="K43" s="5">
        <f>-67-445</f>
        <v>-512</v>
      </c>
      <c r="L43" s="5">
        <v>-763</v>
      </c>
      <c r="M43" s="5">
        <v>-952</v>
      </c>
      <c r="N43" s="5">
        <v>-943</v>
      </c>
      <c r="O43" s="5">
        <v>-1509</v>
      </c>
      <c r="P43" s="5">
        <v>-1226</v>
      </c>
      <c r="Q43" s="5">
        <v>-614</v>
      </c>
    </row>
    <row r="44" spans="1:20" s="22" customFormat="1" x14ac:dyDescent="0.25">
      <c r="H44" s="10"/>
      <c r="I44" s="10"/>
      <c r="J44" s="10"/>
      <c r="K44" s="10"/>
      <c r="L44" s="10"/>
      <c r="M44" s="10"/>
      <c r="N44" s="10"/>
      <c r="O44" s="10"/>
      <c r="P44" s="10"/>
      <c r="Q44" s="10"/>
    </row>
    <row r="45" spans="1:20" x14ac:dyDescent="0.25">
      <c r="H45" s="10">
        <f>-H42/H2</f>
        <v>0.14226047335780281</v>
      </c>
      <c r="I45" s="10">
        <f>-I42/I2</f>
        <v>0.12026862026862027</v>
      </c>
      <c r="J45" s="10">
        <f>-J42/J2</f>
        <v>0.1420519406392694</v>
      </c>
      <c r="K45" s="10">
        <f>-K42/K2</f>
        <v>0.11667655786350148</v>
      </c>
      <c r="L45" s="10">
        <f>-L42/L2</f>
        <v>0.1308375329973602</v>
      </c>
      <c r="M45" s="10">
        <f>-M42/M2</f>
        <v>0.11792495684564368</v>
      </c>
      <c r="N45" s="10">
        <f>-N42/N2</f>
        <v>0.12801755669348938</v>
      </c>
      <c r="O45" s="10">
        <f>-O42/O2</f>
        <v>0.1606781703171393</v>
      </c>
      <c r="P45" s="10">
        <f>-P42/P2</f>
        <v>0.20143852141849136</v>
      </c>
      <c r="Q45" s="10">
        <f>-Q42/Q2</f>
        <v>0.16163195319985879</v>
      </c>
    </row>
    <row r="46" spans="1:20" x14ac:dyDescent="0.25">
      <c r="H46" s="10">
        <f>-H43/H2</f>
        <v>4.714593089482344E-2</v>
      </c>
      <c r="I46" s="10">
        <f>-I43/I2</f>
        <v>5.2669552669552672E-2</v>
      </c>
      <c r="J46" s="10">
        <f>-J43/J2</f>
        <v>5.2297374429223747E-2</v>
      </c>
      <c r="K46" s="10">
        <f>-K43/K2</f>
        <v>3.0385756676557865E-2</v>
      </c>
      <c r="L46" s="10">
        <f>-L43/L2</f>
        <v>3.6621070314374851E-2</v>
      </c>
      <c r="M46" s="10">
        <f>-M43/M2</f>
        <v>4.3245207595166715E-2</v>
      </c>
      <c r="N46" s="10">
        <f>-N43/N2</f>
        <v>4.057833813847412E-2</v>
      </c>
      <c r="O46" s="10">
        <f>-O43/O2</f>
        <v>6.4933947243857315E-2</v>
      </c>
      <c r="P46" s="10">
        <f>-P43/P2</f>
        <v>5.581098921108936E-2</v>
      </c>
      <c r="Q46" s="10">
        <f>-Q43/Q2</f>
        <v>3.096474860053457E-2</v>
      </c>
    </row>
    <row r="47" spans="1:20" x14ac:dyDescent="0.25">
      <c r="H47" s="38">
        <f t="shared" ref="H47:Q47" si="25">H46/H45</f>
        <v>0.33140569395017794</v>
      </c>
      <c r="I47" s="38">
        <f t="shared" si="25"/>
        <v>0.43793262574988462</v>
      </c>
      <c r="J47" s="38">
        <f t="shared" si="25"/>
        <v>0.36815670517327981</v>
      </c>
      <c r="K47" s="38">
        <f t="shared" si="25"/>
        <v>0.26042726347914552</v>
      </c>
      <c r="L47" s="38">
        <f t="shared" si="25"/>
        <v>0.27989728539985331</v>
      </c>
      <c r="M47" s="38">
        <f t="shared" si="25"/>
        <v>0.36671802773497691</v>
      </c>
      <c r="N47" s="38">
        <f t="shared" si="25"/>
        <v>0.31697478991596645</v>
      </c>
      <c r="O47" s="38">
        <f t="shared" si="25"/>
        <v>0.4041242635243707</v>
      </c>
      <c r="P47" s="38">
        <f t="shared" si="25"/>
        <v>0.27706214689265535</v>
      </c>
      <c r="Q47" s="38">
        <f t="shared" si="25"/>
        <v>0.19157566302652107</v>
      </c>
    </row>
    <row r="49" spans="1:17" x14ac:dyDescent="0.25">
      <c r="A49" s="22" t="s">
        <v>17</v>
      </c>
      <c r="B49" s="5"/>
      <c r="C49" s="5"/>
      <c r="D49" s="5"/>
      <c r="E49" s="5"/>
      <c r="F49" s="5"/>
      <c r="G49" s="5"/>
      <c r="H49" s="5"/>
      <c r="I49" s="5">
        <v>17787</v>
      </c>
      <c r="J49" s="5">
        <v>13848</v>
      </c>
      <c r="K49" s="5">
        <f>1768+14835</f>
        <v>16603</v>
      </c>
      <c r="L49" s="5">
        <v>19229</v>
      </c>
      <c r="M49" s="5">
        <v>20478</v>
      </c>
      <c r="N49" s="5">
        <v>21552</v>
      </c>
      <c r="O49" s="5">
        <v>22714</v>
      </c>
      <c r="P49" s="5">
        <v>21401</v>
      </c>
      <c r="Q49" s="5">
        <v>19278</v>
      </c>
    </row>
    <row r="50" spans="1:17" x14ac:dyDescent="0.25">
      <c r="A50" s="22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</row>
    <row r="51" spans="1:17" x14ac:dyDescent="0.25">
      <c r="A51" s="22" t="s">
        <v>24</v>
      </c>
      <c r="B51" s="5"/>
      <c r="C51" s="5"/>
      <c r="D51" s="5"/>
      <c r="E51" s="5"/>
      <c r="F51" s="5"/>
      <c r="G51" s="5"/>
      <c r="H51" s="5"/>
      <c r="I51" s="5">
        <v>4242</v>
      </c>
      <c r="J51" s="5">
        <v>3488</v>
      </c>
      <c r="K51" s="5">
        <f>51+4640</f>
        <v>4691</v>
      </c>
      <c r="L51" s="5">
        <v>6177</v>
      </c>
      <c r="M51" s="5">
        <v>5900</v>
      </c>
      <c r="N51" s="5">
        <v>6205</v>
      </c>
      <c r="O51" s="5">
        <v>7005</v>
      </c>
      <c r="P51" s="5">
        <v>7984</v>
      </c>
      <c r="Q51" s="5">
        <v>7638</v>
      </c>
    </row>
    <row r="52" spans="1:17" x14ac:dyDescent="0.25">
      <c r="A52" s="22" t="s">
        <v>63</v>
      </c>
      <c r="B52" s="5"/>
      <c r="C52" s="5"/>
      <c r="D52" s="5"/>
      <c r="E52" s="5"/>
      <c r="F52" s="5"/>
      <c r="G52" s="5"/>
      <c r="H52" s="5"/>
      <c r="I52" s="5">
        <v>1395</v>
      </c>
      <c r="J52" s="5">
        <v>1534</v>
      </c>
      <c r="K52" s="5">
        <f>192+1531</f>
        <v>1723</v>
      </c>
      <c r="L52" s="5">
        <v>1807</v>
      </c>
      <c r="M52" s="5">
        <v>1888</v>
      </c>
      <c r="N52" s="5">
        <v>1968</v>
      </c>
      <c r="O52" s="5">
        <v>2117</v>
      </c>
      <c r="P52" s="5">
        <v>1993</v>
      </c>
      <c r="Q52" s="5">
        <v>2115</v>
      </c>
    </row>
    <row r="53" spans="1:17" x14ac:dyDescent="0.25">
      <c r="A53" s="22" t="s">
        <v>72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>
        <f>O6</f>
        <v>7.5288563552153853E-3</v>
      </c>
      <c r="P53" s="38">
        <f>P6</f>
        <v>5.8444414371743303E-3</v>
      </c>
      <c r="Q53" s="38">
        <f>Q6</f>
        <v>2.0916895806530222E-2</v>
      </c>
    </row>
    <row r="54" spans="1:17" x14ac:dyDescent="0.25">
      <c r="A54" s="26" t="s">
        <v>73</v>
      </c>
      <c r="B54" s="15">
        <f t="shared" ref="B54:N54" si="26">-(B52*(1+B53))</f>
        <v>0</v>
      </c>
      <c r="C54" s="15">
        <f t="shared" si="26"/>
        <v>0</v>
      </c>
      <c r="D54" s="15">
        <f t="shared" si="26"/>
        <v>0</v>
      </c>
      <c r="E54" s="15">
        <f t="shared" si="26"/>
        <v>0</v>
      </c>
      <c r="F54" s="15">
        <f t="shared" si="26"/>
        <v>0</v>
      </c>
      <c r="G54" s="15">
        <f t="shared" si="26"/>
        <v>0</v>
      </c>
      <c r="H54" s="15">
        <f t="shared" si="26"/>
        <v>0</v>
      </c>
      <c r="I54" s="15">
        <f t="shared" si="26"/>
        <v>-1395</v>
      </c>
      <c r="J54" s="15">
        <f t="shared" si="26"/>
        <v>-1534</v>
      </c>
      <c r="K54" s="15">
        <f t="shared" si="26"/>
        <v>-1723</v>
      </c>
      <c r="L54" s="15">
        <f t="shared" si="26"/>
        <v>-1807</v>
      </c>
      <c r="M54" s="15">
        <f t="shared" si="26"/>
        <v>-1888</v>
      </c>
      <c r="N54" s="15">
        <f t="shared" si="26"/>
        <v>-1968</v>
      </c>
      <c r="O54" s="15">
        <f>-(O52*(1+O53))</f>
        <v>-2132.9385889039909</v>
      </c>
      <c r="P54" s="15">
        <f t="shared" ref="P54:Q54" si="27">-(P52*(1+P53))</f>
        <v>-2004.6479717842885</v>
      </c>
      <c r="Q54" s="15">
        <f t="shared" si="27"/>
        <v>-2159.2392346308116</v>
      </c>
    </row>
    <row r="55" spans="1:17" x14ac:dyDescent="0.25">
      <c r="A55" s="22" t="s">
        <v>25</v>
      </c>
      <c r="B55" s="5">
        <f t="shared" ref="B55:N55" si="28">B51+B54</f>
        <v>0</v>
      </c>
      <c r="C55" s="5">
        <f t="shared" si="28"/>
        <v>0</v>
      </c>
      <c r="D55" s="5">
        <f t="shared" si="28"/>
        <v>0</v>
      </c>
      <c r="E55" s="5">
        <f t="shared" si="28"/>
        <v>0</v>
      </c>
      <c r="F55" s="5">
        <f t="shared" si="28"/>
        <v>0</v>
      </c>
      <c r="G55" s="5">
        <f t="shared" si="28"/>
        <v>0</v>
      </c>
      <c r="H55" s="5">
        <f t="shared" si="28"/>
        <v>0</v>
      </c>
      <c r="I55" s="5">
        <f t="shared" si="28"/>
        <v>2847</v>
      </c>
      <c r="J55" s="5">
        <f t="shared" si="28"/>
        <v>1954</v>
      </c>
      <c r="K55" s="5">
        <f t="shared" si="28"/>
        <v>2968</v>
      </c>
      <c r="L55" s="5">
        <f t="shared" si="28"/>
        <v>4370</v>
      </c>
      <c r="M55" s="5">
        <f t="shared" si="28"/>
        <v>4012</v>
      </c>
      <c r="N55" s="5">
        <f t="shared" si="28"/>
        <v>4237</v>
      </c>
      <c r="O55" s="5">
        <f>O51+O54</f>
        <v>4872.0614110960087</v>
      </c>
      <c r="P55" s="5">
        <f t="shared" ref="P55:Q55" si="29">P51+P54</f>
        <v>5979.3520282157115</v>
      </c>
      <c r="Q55" s="5">
        <f t="shared" si="29"/>
        <v>5478.7607653691884</v>
      </c>
    </row>
    <row r="56" spans="1:17" x14ac:dyDescent="0.25">
      <c r="A56" s="22" t="s">
        <v>26</v>
      </c>
      <c r="B56" s="10" t="e">
        <f t="shared" ref="B56:N56" si="30">B55/B49</f>
        <v>#DIV/0!</v>
      </c>
      <c r="C56" s="10" t="e">
        <f t="shared" si="30"/>
        <v>#DIV/0!</v>
      </c>
      <c r="D56" s="10" t="e">
        <f t="shared" si="30"/>
        <v>#DIV/0!</v>
      </c>
      <c r="E56" s="10" t="e">
        <f t="shared" si="30"/>
        <v>#DIV/0!</v>
      </c>
      <c r="F56" s="10" t="e">
        <f t="shared" si="30"/>
        <v>#DIV/0!</v>
      </c>
      <c r="G56" s="10" t="e">
        <f t="shared" si="30"/>
        <v>#DIV/0!</v>
      </c>
      <c r="H56" s="10" t="e">
        <f t="shared" si="30"/>
        <v>#DIV/0!</v>
      </c>
      <c r="I56" s="10">
        <f t="shared" si="30"/>
        <v>0.16006071850227693</v>
      </c>
      <c r="J56" s="10">
        <f t="shared" si="30"/>
        <v>0.14110340843443098</v>
      </c>
      <c r="K56" s="10">
        <f t="shared" si="30"/>
        <v>0.17876287417936518</v>
      </c>
      <c r="L56" s="10">
        <f t="shared" si="30"/>
        <v>0.22726090800353632</v>
      </c>
      <c r="M56" s="10">
        <f t="shared" si="30"/>
        <v>0.19591757007520266</v>
      </c>
      <c r="N56" s="10">
        <f t="shared" si="30"/>
        <v>0.19659428359316999</v>
      </c>
      <c r="O56" s="10">
        <f>O55/O49</f>
        <v>0.21449596773338067</v>
      </c>
      <c r="P56" s="10">
        <f t="shared" ref="P56:Q56" si="31">P55/P49</f>
        <v>0.2793959173971175</v>
      </c>
      <c r="Q56" s="10">
        <f t="shared" si="31"/>
        <v>0.28419757056588796</v>
      </c>
    </row>
    <row r="57" spans="1:17" x14ac:dyDescent="0.25">
      <c r="A57" s="22"/>
      <c r="I57" s="10"/>
      <c r="J57" s="10"/>
      <c r="K57" s="10"/>
      <c r="L57" s="10"/>
      <c r="M57" s="10"/>
      <c r="N57" s="10"/>
      <c r="O57" s="10"/>
      <c r="P57" s="10"/>
      <c r="Q57" s="10"/>
    </row>
    <row r="58" spans="1:17" x14ac:dyDescent="0.25">
      <c r="A58" s="22" t="s">
        <v>74</v>
      </c>
      <c r="B58" s="5"/>
      <c r="C58" s="5"/>
      <c r="D58" s="5"/>
      <c r="E58" s="5"/>
      <c r="F58" s="5"/>
      <c r="G58" s="5"/>
      <c r="H58" s="5"/>
      <c r="I58" s="5">
        <f>-2165-949</f>
        <v>-3114</v>
      </c>
      <c r="J58" s="5">
        <f>-1988-733</f>
        <v>-2721</v>
      </c>
      <c r="K58" s="5">
        <f>-137-67-1829-445</f>
        <v>-2478</v>
      </c>
      <c r="L58" s="5">
        <f>-2726-763</f>
        <v>-3489</v>
      </c>
      <c r="M58" s="5">
        <f>-2596-952</f>
        <v>-3548</v>
      </c>
      <c r="N58" s="5">
        <f>-2975-943</f>
        <v>-3918</v>
      </c>
      <c r="O58" s="5">
        <f>-3734-1509</f>
        <v>-5243</v>
      </c>
      <c r="P58" s="5">
        <f>-4398-1226</f>
        <v>-5624</v>
      </c>
      <c r="Q58" s="5">
        <f>-3225-614</f>
        <v>-3839</v>
      </c>
    </row>
    <row r="59" spans="1:17" x14ac:dyDescent="0.25">
      <c r="A59" s="22" t="s">
        <v>75</v>
      </c>
      <c r="B59" s="5">
        <f t="shared" ref="B59:N59" si="32">B58-B54</f>
        <v>0</v>
      </c>
      <c r="C59" s="5">
        <f t="shared" si="32"/>
        <v>0</v>
      </c>
      <c r="D59" s="5">
        <f t="shared" si="32"/>
        <v>0</v>
      </c>
      <c r="E59" s="5">
        <f t="shared" si="32"/>
        <v>0</v>
      </c>
      <c r="F59" s="5">
        <f t="shared" si="32"/>
        <v>0</v>
      </c>
      <c r="G59" s="5">
        <f t="shared" si="32"/>
        <v>0</v>
      </c>
      <c r="H59" s="5">
        <f t="shared" si="32"/>
        <v>0</v>
      </c>
      <c r="I59" s="5">
        <f t="shared" si="32"/>
        <v>-1719</v>
      </c>
      <c r="J59" s="5">
        <f t="shared" si="32"/>
        <v>-1187</v>
      </c>
      <c r="K59" s="5">
        <f t="shared" si="32"/>
        <v>-755</v>
      </c>
      <c r="L59" s="5">
        <f t="shared" si="32"/>
        <v>-1682</v>
      </c>
      <c r="M59" s="5">
        <f t="shared" si="32"/>
        <v>-1660</v>
      </c>
      <c r="N59" s="5">
        <f t="shared" si="32"/>
        <v>-1950</v>
      </c>
      <c r="O59" s="5">
        <f>O58-O54</f>
        <v>-3110.0614110960091</v>
      </c>
      <c r="P59" s="5">
        <f t="shared" ref="P59:Q59" si="33">P58-P54</f>
        <v>-3619.3520282157115</v>
      </c>
      <c r="Q59" s="5">
        <f t="shared" si="33"/>
        <v>-1679.7607653691884</v>
      </c>
    </row>
    <row r="60" spans="1:17" x14ac:dyDescent="0.25">
      <c r="A60" s="22" t="s">
        <v>76</v>
      </c>
      <c r="B60" s="5"/>
      <c r="C60" s="5"/>
      <c r="D60" s="5"/>
      <c r="E60" s="5"/>
      <c r="F60" s="5"/>
      <c r="G60" s="5"/>
      <c r="H60" s="5"/>
      <c r="I60" s="5">
        <v>348</v>
      </c>
      <c r="J60" s="5">
        <v>368</v>
      </c>
      <c r="K60" s="5"/>
      <c r="L60" s="5"/>
      <c r="M60" s="5"/>
      <c r="N60" s="5"/>
      <c r="O60" s="5"/>
      <c r="P60" s="5"/>
      <c r="Q60" s="5"/>
    </row>
    <row r="61" spans="1:17" x14ac:dyDescent="0.25">
      <c r="A61" s="22" t="s">
        <v>77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</row>
    <row r="62" spans="1:17" x14ac:dyDescent="0.25">
      <c r="A62" s="22" t="s">
        <v>3</v>
      </c>
      <c r="B62" s="5"/>
      <c r="C62" s="5"/>
      <c r="D62" s="5"/>
      <c r="E62" s="5"/>
      <c r="F62" s="5"/>
      <c r="G62" s="5"/>
      <c r="H62" s="5"/>
      <c r="I62" s="5">
        <v>-64</v>
      </c>
      <c r="J62" s="5">
        <v>-37</v>
      </c>
      <c r="K62" s="5">
        <v>-443</v>
      </c>
      <c r="L62" s="5">
        <v>0</v>
      </c>
      <c r="M62" s="5">
        <v>-130</v>
      </c>
      <c r="N62" s="5">
        <v>0</v>
      </c>
      <c r="O62" s="5">
        <v>0</v>
      </c>
      <c r="P62" s="5">
        <v>-36</v>
      </c>
      <c r="Q62" s="5">
        <v>0</v>
      </c>
    </row>
    <row r="63" spans="1:17" ht="15.75" thickBot="1" x14ac:dyDescent="0.3">
      <c r="A63" s="36" t="s">
        <v>27</v>
      </c>
      <c r="B63" s="37">
        <f t="shared" ref="B63:N63" si="34">B55+SUM(B59:B62)</f>
        <v>0</v>
      </c>
      <c r="C63" s="37">
        <f t="shared" si="34"/>
        <v>0</v>
      </c>
      <c r="D63" s="37">
        <f t="shared" si="34"/>
        <v>0</v>
      </c>
      <c r="E63" s="37">
        <f t="shared" si="34"/>
        <v>0</v>
      </c>
      <c r="F63" s="37">
        <f t="shared" si="34"/>
        <v>0</v>
      </c>
      <c r="G63" s="37">
        <f t="shared" si="34"/>
        <v>0</v>
      </c>
      <c r="H63" s="37">
        <f t="shared" si="34"/>
        <v>0</v>
      </c>
      <c r="I63" s="37">
        <f t="shared" si="34"/>
        <v>1412</v>
      </c>
      <c r="J63" s="37">
        <f t="shared" si="34"/>
        <v>1098</v>
      </c>
      <c r="K63" s="37">
        <f t="shared" si="34"/>
        <v>1770</v>
      </c>
      <c r="L63" s="37">
        <f t="shared" si="34"/>
        <v>2688</v>
      </c>
      <c r="M63" s="37">
        <f t="shared" si="34"/>
        <v>2222</v>
      </c>
      <c r="N63" s="37">
        <f t="shared" si="34"/>
        <v>2287</v>
      </c>
      <c r="O63" s="37">
        <f>O55+SUM(O59:O62)</f>
        <v>1761.9999999999995</v>
      </c>
      <c r="P63" s="37">
        <f t="shared" ref="P63:Q63" si="35">P55+SUM(P59:P62)</f>
        <v>2324</v>
      </c>
      <c r="Q63" s="37">
        <f t="shared" si="35"/>
        <v>3799</v>
      </c>
    </row>
    <row r="64" spans="1:17" ht="15.75" thickTop="1" x14ac:dyDescent="0.25">
      <c r="B64" s="10" t="e">
        <f t="shared" ref="B64:N64" si="36">B63/B49</f>
        <v>#DIV/0!</v>
      </c>
      <c r="C64" s="10" t="e">
        <f t="shared" si="36"/>
        <v>#DIV/0!</v>
      </c>
      <c r="D64" s="10" t="e">
        <f t="shared" si="36"/>
        <v>#DIV/0!</v>
      </c>
      <c r="E64" s="10" t="e">
        <f t="shared" si="36"/>
        <v>#DIV/0!</v>
      </c>
      <c r="F64" s="10" t="e">
        <f t="shared" si="36"/>
        <v>#DIV/0!</v>
      </c>
      <c r="G64" s="10" t="e">
        <f t="shared" si="36"/>
        <v>#DIV/0!</v>
      </c>
      <c r="H64" s="10" t="e">
        <f t="shared" si="36"/>
        <v>#DIV/0!</v>
      </c>
      <c r="I64" s="10">
        <f t="shared" si="36"/>
        <v>7.9383819643559908E-2</v>
      </c>
      <c r="J64" s="10">
        <f t="shared" si="36"/>
        <v>7.9289428076256496E-2</v>
      </c>
      <c r="K64" s="10">
        <f t="shared" si="36"/>
        <v>0.10660723965548395</v>
      </c>
      <c r="L64" s="10">
        <f t="shared" si="36"/>
        <v>0.13978886057517292</v>
      </c>
      <c r="M64" s="10">
        <f t="shared" si="36"/>
        <v>0.10850669010645571</v>
      </c>
      <c r="N64" s="10">
        <f t="shared" si="36"/>
        <v>0.10611544172234595</v>
      </c>
      <c r="O64" s="10">
        <f>O63/O49</f>
        <v>7.7573302808840339E-2</v>
      </c>
      <c r="P64" s="10">
        <f t="shared" ref="P64:Q64" si="37">P63/P49</f>
        <v>0.10859305639923368</v>
      </c>
      <c r="Q64" s="10">
        <f t="shared" si="37"/>
        <v>0.19706401078950098</v>
      </c>
    </row>
    <row r="65" spans="1:17" x14ac:dyDescent="0.25">
      <c r="B65" s="22"/>
      <c r="K65" s="22"/>
    </row>
    <row r="66" spans="1:17" x14ac:dyDescent="0.25">
      <c r="A66" t="s">
        <v>89</v>
      </c>
      <c r="B66" s="10" t="e">
        <f t="shared" ref="B66:N66" si="38">-B58/B49</f>
        <v>#DIV/0!</v>
      </c>
      <c r="C66" s="10" t="e">
        <f t="shared" si="38"/>
        <v>#DIV/0!</v>
      </c>
      <c r="D66" s="10" t="e">
        <f t="shared" si="38"/>
        <v>#DIV/0!</v>
      </c>
      <c r="E66" s="10" t="e">
        <f t="shared" si="38"/>
        <v>#DIV/0!</v>
      </c>
      <c r="F66" s="10" t="e">
        <f t="shared" si="38"/>
        <v>#DIV/0!</v>
      </c>
      <c r="G66" s="10" t="e">
        <f t="shared" si="38"/>
        <v>#DIV/0!</v>
      </c>
      <c r="H66" s="10" t="e">
        <f t="shared" si="38"/>
        <v>#DIV/0!</v>
      </c>
      <c r="I66" s="10">
        <f t="shared" si="38"/>
        <v>0.17507168156518807</v>
      </c>
      <c r="J66" s="10">
        <f t="shared" si="38"/>
        <v>0.19649046793760833</v>
      </c>
      <c r="K66" s="10">
        <f t="shared" si="38"/>
        <v>0.14925013551767752</v>
      </c>
      <c r="L66" s="10">
        <f t="shared" si="38"/>
        <v>0.18144469291174789</v>
      </c>
      <c r="M66" s="10">
        <f t="shared" si="38"/>
        <v>0.17325910733470065</v>
      </c>
      <c r="N66" s="10">
        <f t="shared" si="38"/>
        <v>0.18179287305122493</v>
      </c>
      <c r="O66" s="10">
        <f>-O58/O49</f>
        <v>0.23082680285286608</v>
      </c>
      <c r="P66" s="10">
        <f t="shared" ref="P66:Q66" si="39">-P58/P49</f>
        <v>0.26279145834306811</v>
      </c>
      <c r="Q66" s="10">
        <f t="shared" si="39"/>
        <v>0.19913891482518933</v>
      </c>
    </row>
    <row r="69" spans="1:17" x14ac:dyDescent="0.25">
      <c r="I69" s="22">
        <v>2008</v>
      </c>
      <c r="J69" s="22">
        <v>2009</v>
      </c>
      <c r="K69" s="22">
        <v>2010</v>
      </c>
      <c r="L69" s="22">
        <v>2011</v>
      </c>
      <c r="M69" s="22">
        <v>2012</v>
      </c>
      <c r="N69" s="22">
        <v>2013</v>
      </c>
      <c r="O69" s="22">
        <v>2014</v>
      </c>
      <c r="P69" s="22">
        <v>2015</v>
      </c>
      <c r="Q69" s="22">
        <v>2016</v>
      </c>
    </row>
    <row r="70" spans="1:17" x14ac:dyDescent="0.25">
      <c r="H70" s="22" t="s">
        <v>81</v>
      </c>
      <c r="I70" s="5">
        <v>2196</v>
      </c>
      <c r="J70" s="5">
        <v>1477</v>
      </c>
      <c r="K70" s="5">
        <v>2302</v>
      </c>
      <c r="L70" s="5">
        <v>3794</v>
      </c>
      <c r="M70" s="5">
        <v>3956</v>
      </c>
      <c r="N70" s="5">
        <v>4508</v>
      </c>
      <c r="O70" s="5">
        <v>4978</v>
      </c>
      <c r="P70" s="5">
        <v>4855</v>
      </c>
      <c r="Q70" s="5">
        <v>4998</v>
      </c>
    </row>
    <row r="71" spans="1:17" x14ac:dyDescent="0.25">
      <c r="H71" s="22" t="s">
        <v>78</v>
      </c>
      <c r="I71" s="10">
        <v>0.12220367278797997</v>
      </c>
      <c r="J71" s="10">
        <v>0.10443328855264088</v>
      </c>
      <c r="K71" s="10">
        <v>0.13569112879457706</v>
      </c>
      <c r="L71" s="10">
        <v>0.19399703430996573</v>
      </c>
      <c r="M71" s="10">
        <v>0.18904711841727995</v>
      </c>
      <c r="N71" s="10">
        <v>0.2052542913081091</v>
      </c>
      <c r="O71" s="10">
        <v>0.20752042688010672</v>
      </c>
      <c r="P71" s="10">
        <v>0.22257369458579745</v>
      </c>
      <c r="Q71" s="10">
        <v>0.2506393861892583</v>
      </c>
    </row>
    <row r="72" spans="1:17" x14ac:dyDescent="0.25">
      <c r="H72" s="22" t="s">
        <v>92</v>
      </c>
      <c r="I72" s="5">
        <f>I55</f>
        <v>2847</v>
      </c>
      <c r="J72" s="5">
        <f t="shared" ref="J72:Q72" si="40">J55</f>
        <v>1954</v>
      </c>
      <c r="K72" s="5">
        <f t="shared" si="40"/>
        <v>2968</v>
      </c>
      <c r="L72" s="5">
        <f t="shared" si="40"/>
        <v>4370</v>
      </c>
      <c r="M72" s="5">
        <f t="shared" si="40"/>
        <v>4012</v>
      </c>
      <c r="N72" s="5">
        <f t="shared" si="40"/>
        <v>4237</v>
      </c>
      <c r="O72" s="5">
        <f t="shared" si="40"/>
        <v>4872.0614110960087</v>
      </c>
      <c r="P72" s="5">
        <f t="shared" si="40"/>
        <v>5979.3520282157115</v>
      </c>
      <c r="Q72" s="5">
        <f t="shared" si="40"/>
        <v>5478.7607653691884</v>
      </c>
    </row>
    <row r="73" spans="1:17" x14ac:dyDescent="0.25">
      <c r="H73" s="22" t="s">
        <v>93</v>
      </c>
      <c r="I73" s="38">
        <f>I56</f>
        <v>0.16006071850227693</v>
      </c>
      <c r="J73" s="38">
        <f t="shared" ref="J73:Q73" si="41">J56</f>
        <v>0.14110340843443098</v>
      </c>
      <c r="K73" s="38">
        <f t="shared" si="41"/>
        <v>0.17876287417936518</v>
      </c>
      <c r="L73" s="38">
        <f t="shared" si="41"/>
        <v>0.22726090800353632</v>
      </c>
      <c r="M73" s="38">
        <f t="shared" si="41"/>
        <v>0.19591757007520266</v>
      </c>
      <c r="N73" s="38">
        <f t="shared" si="41"/>
        <v>0.19659428359316999</v>
      </c>
      <c r="O73" s="38">
        <f t="shared" si="41"/>
        <v>0.21449596773338067</v>
      </c>
      <c r="P73" s="38">
        <f t="shared" si="41"/>
        <v>0.2793959173971175</v>
      </c>
      <c r="Q73" s="38">
        <f t="shared" si="41"/>
        <v>0.28419757056588796</v>
      </c>
    </row>
    <row r="76" spans="1:17" x14ac:dyDescent="0.25">
      <c r="I76" s="22">
        <v>2008</v>
      </c>
      <c r="J76" s="22">
        <v>2009</v>
      </c>
      <c r="K76" s="22">
        <v>2010</v>
      </c>
      <c r="L76" s="22">
        <v>2011</v>
      </c>
      <c r="M76" s="22">
        <v>2012</v>
      </c>
      <c r="N76" s="22">
        <v>2013</v>
      </c>
      <c r="O76" s="22">
        <v>2014</v>
      </c>
      <c r="P76" s="22">
        <v>2015</v>
      </c>
      <c r="Q76" s="22">
        <v>2016</v>
      </c>
    </row>
    <row r="77" spans="1:17" x14ac:dyDescent="0.25">
      <c r="H77" s="22" t="s">
        <v>82</v>
      </c>
      <c r="I77" s="5">
        <v>1289.26463817893</v>
      </c>
      <c r="J77" s="5">
        <v>761.97482539715998</v>
      </c>
      <c r="K77" s="5">
        <v>1687.50980952384</v>
      </c>
      <c r="L77" s="5">
        <v>2613.70658730173</v>
      </c>
      <c r="M77" s="5">
        <v>2390.9440755200003</v>
      </c>
      <c r="N77" s="5">
        <v>3256.1757130952001</v>
      </c>
      <c r="O77" s="5">
        <v>2935.7487137692001</v>
      </c>
      <c r="P77" s="5">
        <v>2763.6194047619101</v>
      </c>
      <c r="Q77" s="5">
        <v>3817.5156626984126</v>
      </c>
    </row>
    <row r="78" spans="1:17" x14ac:dyDescent="0.25">
      <c r="H78" s="22" t="s">
        <v>83</v>
      </c>
      <c r="I78" s="10">
        <v>7.1745388880296607E-2</v>
      </c>
      <c r="J78" s="10">
        <v>5.3876463649661317E-2</v>
      </c>
      <c r="K78" s="10">
        <v>9.9470074242489825E-2</v>
      </c>
      <c r="L78" s="10">
        <v>0.13364557893857595</v>
      </c>
      <c r="M78" s="10">
        <v>0.11425710004396446</v>
      </c>
      <c r="N78" s="10">
        <v>0.14825732883008697</v>
      </c>
      <c r="O78" s="10">
        <v>0.12238405510126731</v>
      </c>
      <c r="P78" s="10">
        <v>0.12669597968009491</v>
      </c>
      <c r="Q78" s="10">
        <v>0.19144053270640451</v>
      </c>
    </row>
    <row r="79" spans="1:17" x14ac:dyDescent="0.25">
      <c r="H79" s="22" t="s">
        <v>94</v>
      </c>
      <c r="I79" s="5">
        <f>I63</f>
        <v>1412</v>
      </c>
      <c r="J79" s="5">
        <f t="shared" ref="J79:Q79" si="42">J63</f>
        <v>1098</v>
      </c>
      <c r="K79" s="5">
        <f t="shared" si="42"/>
        <v>1770</v>
      </c>
      <c r="L79" s="5">
        <f t="shared" si="42"/>
        <v>2688</v>
      </c>
      <c r="M79" s="5">
        <f t="shared" si="42"/>
        <v>2222</v>
      </c>
      <c r="N79" s="5">
        <f t="shared" si="42"/>
        <v>2287</v>
      </c>
      <c r="O79" s="5">
        <f t="shared" si="42"/>
        <v>1761.9999999999995</v>
      </c>
      <c r="P79" s="5">
        <f t="shared" si="42"/>
        <v>2324</v>
      </c>
      <c r="Q79" s="5">
        <f t="shared" si="42"/>
        <v>3799</v>
      </c>
    </row>
    <row r="80" spans="1:17" x14ac:dyDescent="0.25">
      <c r="H80" s="22" t="s">
        <v>95</v>
      </c>
      <c r="I80" s="10">
        <f>I64</f>
        <v>7.9383819643559908E-2</v>
      </c>
      <c r="J80" s="10">
        <f t="shared" ref="J80:Q80" si="43">J64</f>
        <v>7.9289428076256496E-2</v>
      </c>
      <c r="K80" s="10">
        <f t="shared" si="43"/>
        <v>0.10660723965548395</v>
      </c>
      <c r="L80" s="10">
        <f t="shared" si="43"/>
        <v>0.13978886057517292</v>
      </c>
      <c r="M80" s="10">
        <f t="shared" si="43"/>
        <v>0.10850669010645571</v>
      </c>
      <c r="N80" s="10">
        <f t="shared" si="43"/>
        <v>0.10611544172234595</v>
      </c>
      <c r="O80" s="10">
        <f t="shared" si="43"/>
        <v>7.7573302808840339E-2</v>
      </c>
      <c r="P80" s="10">
        <f t="shared" si="43"/>
        <v>0.10859305639923368</v>
      </c>
      <c r="Q80" s="10">
        <f t="shared" si="43"/>
        <v>0.19706401078950098</v>
      </c>
    </row>
    <row r="83" spans="8:17" x14ac:dyDescent="0.25">
      <c r="H83" s="22" t="s">
        <v>96</v>
      </c>
      <c r="I83" s="5">
        <f>I58</f>
        <v>-3114</v>
      </c>
      <c r="J83" s="5">
        <f t="shared" ref="J83:Q83" si="44">J58</f>
        <v>-2721</v>
      </c>
      <c r="K83" s="5">
        <f t="shared" si="44"/>
        <v>-2478</v>
      </c>
      <c r="L83" s="5">
        <f t="shared" si="44"/>
        <v>-3489</v>
      </c>
      <c r="M83" s="5">
        <f t="shared" si="44"/>
        <v>-3548</v>
      </c>
      <c r="N83" s="5">
        <f t="shared" si="44"/>
        <v>-3918</v>
      </c>
      <c r="O83" s="5">
        <f t="shared" si="44"/>
        <v>-5243</v>
      </c>
      <c r="P83" s="5">
        <f t="shared" si="44"/>
        <v>-5624</v>
      </c>
      <c r="Q83" s="5">
        <f t="shared" si="44"/>
        <v>-3839</v>
      </c>
    </row>
    <row r="84" spans="8:17" x14ac:dyDescent="0.25">
      <c r="H84" s="22" t="s">
        <v>97</v>
      </c>
      <c r="I84" s="5">
        <f>I36</f>
        <v>-2754</v>
      </c>
      <c r="J84" s="5">
        <f t="shared" ref="J84:Q84" si="45">J36</f>
        <v>-2354</v>
      </c>
      <c r="K84" s="5">
        <f t="shared" si="45"/>
        <v>-2482</v>
      </c>
      <c r="L84" s="5">
        <f t="shared" si="45"/>
        <v>-3176</v>
      </c>
      <c r="M84" s="5">
        <f t="shared" si="45"/>
        <v>-3738</v>
      </c>
      <c r="N84" s="5">
        <f t="shared" si="45"/>
        <v>-3496</v>
      </c>
      <c r="O84" s="5">
        <f t="shared" si="45"/>
        <v>-4346</v>
      </c>
      <c r="P84" s="5">
        <f t="shared" si="45"/>
        <v>-4650</v>
      </c>
      <c r="Q84" s="5">
        <f t="shared" si="45"/>
        <v>-3505</v>
      </c>
    </row>
    <row r="86" spans="8:17" x14ac:dyDescent="0.25">
      <c r="I86" s="5">
        <f>I83-I84</f>
        <v>-360</v>
      </c>
      <c r="J86" s="5">
        <f t="shared" ref="J86:Q86" si="46">J83-J84</f>
        <v>-367</v>
      </c>
      <c r="K86" s="5">
        <f t="shared" si="46"/>
        <v>4</v>
      </c>
      <c r="L86" s="5">
        <f t="shared" si="46"/>
        <v>-313</v>
      </c>
      <c r="M86" s="5">
        <f t="shared" si="46"/>
        <v>190</v>
      </c>
      <c r="N86" s="5">
        <f t="shared" si="46"/>
        <v>-422</v>
      </c>
      <c r="O86" s="5">
        <f t="shared" si="46"/>
        <v>-897</v>
      </c>
      <c r="P86" s="5">
        <f t="shared" si="46"/>
        <v>-974</v>
      </c>
      <c r="Q86" s="5">
        <f t="shared" si="46"/>
        <v>-334</v>
      </c>
    </row>
    <row r="89" spans="8:17" x14ac:dyDescent="0.25">
      <c r="H89" s="22" t="s">
        <v>100</v>
      </c>
      <c r="N89" s="5">
        <f>N58*(0.46+0.04)</f>
        <v>-1959</v>
      </c>
      <c r="O89" s="5">
        <f>-2600-200</f>
        <v>-2800</v>
      </c>
      <c r="P89" s="5">
        <f>P58*(0.51+0.03)</f>
        <v>-3036.96</v>
      </c>
      <c r="Q89" s="5">
        <f>Q58*(0.67+0.05)</f>
        <v>-2764.0800000000004</v>
      </c>
    </row>
  </sheetData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972FA-9854-4096-9AFA-7B00947D544D}">
  <dimension ref="A1:Q17"/>
  <sheetViews>
    <sheetView workbookViewId="0">
      <selection activeCell="A18" sqref="A18"/>
    </sheetView>
  </sheetViews>
  <sheetFormatPr defaultRowHeight="15" x14ac:dyDescent="0.25"/>
  <cols>
    <col min="1" max="1" width="18" bestFit="1" customWidth="1"/>
  </cols>
  <sheetData>
    <row r="1" spans="1:17" s="22" customFormat="1" x14ac:dyDescent="0.25">
      <c r="A1" s="22" t="s">
        <v>134</v>
      </c>
      <c r="B1" s="38">
        <v>0.2</v>
      </c>
    </row>
    <row r="2" spans="1:17" s="22" customFormat="1" x14ac:dyDescent="0.25"/>
    <row r="3" spans="1:17" x14ac:dyDescent="0.25">
      <c r="B3" s="22">
        <v>2001</v>
      </c>
      <c r="C3" s="22">
        <v>2002</v>
      </c>
      <c r="D3" s="22">
        <v>2003</v>
      </c>
      <c r="E3" s="22">
        <v>2004</v>
      </c>
      <c r="F3" s="22">
        <v>2005</v>
      </c>
      <c r="G3" s="22">
        <v>2006</v>
      </c>
      <c r="H3" s="22">
        <v>2007</v>
      </c>
      <c r="I3" s="22">
        <v>2008</v>
      </c>
      <c r="J3" s="22">
        <v>2009</v>
      </c>
      <c r="K3" s="22">
        <v>2010</v>
      </c>
      <c r="L3" s="22">
        <v>2011</v>
      </c>
      <c r="M3" s="22">
        <v>2012</v>
      </c>
      <c r="N3" s="22">
        <v>2013</v>
      </c>
      <c r="O3" s="22">
        <v>2014</v>
      </c>
      <c r="P3" s="22">
        <v>2015</v>
      </c>
      <c r="Q3" s="22">
        <v>2016</v>
      </c>
    </row>
    <row r="4" spans="1:17" s="22" customFormat="1" x14ac:dyDescent="0.25">
      <c r="A4" s="22" t="s">
        <v>17</v>
      </c>
      <c r="B4" s="5">
        <v>10830</v>
      </c>
      <c r="C4" s="5">
        <v>11159</v>
      </c>
      <c r="D4" s="5">
        <v>11551</v>
      </c>
      <c r="E4" s="5">
        <v>12215</v>
      </c>
      <c r="F4" s="5">
        <v>13578</v>
      </c>
      <c r="G4" s="5">
        <v>15578</v>
      </c>
      <c r="H4" s="5">
        <v>16283</v>
      </c>
      <c r="I4" s="5">
        <v>17970</v>
      </c>
      <c r="J4" s="5">
        <v>14143</v>
      </c>
      <c r="K4" s="5">
        <v>16965</v>
      </c>
      <c r="L4" s="5">
        <v>19557</v>
      </c>
      <c r="M4" s="5">
        <v>20926</v>
      </c>
      <c r="N4" s="5">
        <v>21963</v>
      </c>
      <c r="O4" s="5">
        <v>23988</v>
      </c>
      <c r="P4" s="5">
        <v>21813</v>
      </c>
      <c r="Q4" s="5">
        <v>19941</v>
      </c>
    </row>
    <row r="5" spans="1:17" x14ac:dyDescent="0.25">
      <c r="A5" t="s">
        <v>133</v>
      </c>
      <c r="B5" s="5">
        <v>1479</v>
      </c>
      <c r="C5" s="5">
        <v>1945</v>
      </c>
      <c r="D5" s="5">
        <v>1637</v>
      </c>
      <c r="E5" s="5">
        <v>856</v>
      </c>
      <c r="F5" s="5">
        <v>1436</v>
      </c>
      <c r="G5" s="5">
        <v>2525</v>
      </c>
      <c r="H5" s="5">
        <v>3009</v>
      </c>
      <c r="I5" s="5">
        <v>3651</v>
      </c>
      <c r="J5" s="5">
        <v>2974</v>
      </c>
      <c r="K5" s="5">
        <v>4433</v>
      </c>
      <c r="L5" s="5">
        <v>5264</v>
      </c>
      <c r="M5" s="5">
        <v>6318</v>
      </c>
      <c r="N5" s="5">
        <v>7048</v>
      </c>
      <c r="O5" s="5">
        <v>8343</v>
      </c>
      <c r="P5" s="5">
        <v>7656</v>
      </c>
      <c r="Q5" s="5">
        <v>6766</v>
      </c>
    </row>
    <row r="6" spans="1:17" x14ac:dyDescent="0.25">
      <c r="A6" t="s">
        <v>132</v>
      </c>
      <c r="B6" s="5">
        <v>700</v>
      </c>
      <c r="C6" s="5">
        <v>632</v>
      </c>
      <c r="D6" s="5">
        <v>574</v>
      </c>
      <c r="E6" s="5">
        <v>527</v>
      </c>
      <c r="F6" s="5">
        <v>504</v>
      </c>
      <c r="G6" s="5">
        <v>477</v>
      </c>
      <c r="H6" s="5">
        <v>482</v>
      </c>
      <c r="I6" s="5">
        <v>511</v>
      </c>
      <c r="J6" s="5">
        <v>600</v>
      </c>
      <c r="K6" s="5">
        <v>602</v>
      </c>
      <c r="L6" s="5">
        <v>572</v>
      </c>
      <c r="M6" s="5">
        <v>535</v>
      </c>
      <c r="N6" s="5">
        <v>526</v>
      </c>
      <c r="O6" s="5">
        <v>561</v>
      </c>
      <c r="P6" s="5">
        <v>622</v>
      </c>
      <c r="Q6" s="5">
        <v>698</v>
      </c>
    </row>
    <row r="7" spans="1:17" s="22" customFormat="1" x14ac:dyDescent="0.25">
      <c r="A7" s="22" t="s">
        <v>135</v>
      </c>
      <c r="B7" s="5">
        <f t="shared" ref="B7:C7" si="0">B5+B6</f>
        <v>2179</v>
      </c>
      <c r="C7" s="5">
        <f t="shared" si="0"/>
        <v>2577</v>
      </c>
      <c r="D7" s="5">
        <f t="shared" ref="D7" si="1">D5+D6</f>
        <v>2211</v>
      </c>
      <c r="E7" s="5">
        <f t="shared" ref="E7" si="2">E5+E6</f>
        <v>1383</v>
      </c>
      <c r="F7" s="5">
        <f t="shared" ref="F7" si="3">F5+F6</f>
        <v>1940</v>
      </c>
      <c r="G7" s="5">
        <f t="shared" ref="G7" si="4">G5+G6</f>
        <v>3002</v>
      </c>
      <c r="H7" s="5">
        <f t="shared" ref="H7" si="5">H5+H6</f>
        <v>3491</v>
      </c>
      <c r="I7" s="5">
        <f t="shared" ref="I7" si="6">I5+I6</f>
        <v>4162</v>
      </c>
      <c r="J7" s="5">
        <f t="shared" ref="J7" si="7">J5+J6</f>
        <v>3574</v>
      </c>
      <c r="K7" s="5">
        <f t="shared" ref="K7" si="8">K5+K6</f>
        <v>5035</v>
      </c>
      <c r="L7" s="5">
        <f t="shared" ref="L7" si="9">L5+L6</f>
        <v>5836</v>
      </c>
      <c r="M7" s="5">
        <f t="shared" ref="M7" si="10">M5+M6</f>
        <v>6853</v>
      </c>
      <c r="N7" s="5">
        <f t="shared" ref="N7" si="11">N5+N6</f>
        <v>7574</v>
      </c>
      <c r="O7" s="5">
        <f t="shared" ref="O7:P7" si="12">O5+O6</f>
        <v>8904</v>
      </c>
      <c r="P7" s="5">
        <f t="shared" si="12"/>
        <v>8278</v>
      </c>
      <c r="Q7" s="5">
        <f>Q5+Q6</f>
        <v>7464</v>
      </c>
    </row>
    <row r="8" spans="1:17" s="22" customFormat="1" x14ac:dyDescent="0.25">
      <c r="A8" s="22" t="s">
        <v>136</v>
      </c>
      <c r="B8" s="5">
        <f t="shared" ref="B8:C8" si="13">B7*$B$1</f>
        <v>435.8</v>
      </c>
      <c r="C8" s="5">
        <f t="shared" si="13"/>
        <v>515.4</v>
      </c>
      <c r="D8" s="5">
        <f t="shared" ref="D8" si="14">D7*$B$1</f>
        <v>442.20000000000005</v>
      </c>
      <c r="E8" s="5">
        <f t="shared" ref="E8" si="15">E7*$B$1</f>
        <v>276.60000000000002</v>
      </c>
      <c r="F8" s="5">
        <f t="shared" ref="F8" si="16">F7*$B$1</f>
        <v>388</v>
      </c>
      <c r="G8" s="5">
        <f t="shared" ref="G8" si="17">G7*$B$1</f>
        <v>600.4</v>
      </c>
      <c r="H8" s="5">
        <f t="shared" ref="H8" si="18">H7*$B$1</f>
        <v>698.2</v>
      </c>
      <c r="I8" s="5">
        <f t="shared" ref="I8" si="19">I7*$B$1</f>
        <v>832.40000000000009</v>
      </c>
      <c r="J8" s="5">
        <f t="shared" ref="J8" si="20">J7*$B$1</f>
        <v>714.80000000000007</v>
      </c>
      <c r="K8" s="5">
        <f t="shared" ref="K8" si="21">K7*$B$1</f>
        <v>1007</v>
      </c>
      <c r="L8" s="5">
        <f t="shared" ref="L8" si="22">L7*$B$1</f>
        <v>1167.2</v>
      </c>
      <c r="M8" s="5">
        <f t="shared" ref="M8" si="23">M7*$B$1</f>
        <v>1370.6000000000001</v>
      </c>
      <c r="N8" s="5">
        <f t="shared" ref="N8" si="24">N7*$B$1</f>
        <v>1514.8000000000002</v>
      </c>
      <c r="O8" s="5">
        <f t="shared" ref="O8:P8" si="25">O7*$B$1</f>
        <v>1780.8000000000002</v>
      </c>
      <c r="P8" s="5">
        <f t="shared" si="25"/>
        <v>1655.6000000000001</v>
      </c>
      <c r="Q8" s="5">
        <f>Q7*$B$1</f>
        <v>1492.8000000000002</v>
      </c>
    </row>
    <row r="9" spans="1:17" x14ac:dyDescent="0.25">
      <c r="A9" t="s">
        <v>137</v>
      </c>
      <c r="B9" s="5">
        <v>51</v>
      </c>
      <c r="C9" s="5">
        <v>134</v>
      </c>
      <c r="D9" s="5">
        <v>51</v>
      </c>
      <c r="E9" s="5">
        <v>-187</v>
      </c>
      <c r="F9" s="5">
        <v>29</v>
      </c>
      <c r="G9" s="5">
        <v>549</v>
      </c>
      <c r="H9" s="5">
        <v>839</v>
      </c>
      <c r="I9" s="5">
        <v>699</v>
      </c>
      <c r="J9" s="5">
        <v>452</v>
      </c>
      <c r="K9" s="5">
        <v>936</v>
      </c>
      <c r="L9" s="5">
        <v>625</v>
      </c>
      <c r="M9" s="5">
        <v>1552</v>
      </c>
      <c r="N9" s="5">
        <v>1656</v>
      </c>
      <c r="O9" s="5">
        <v>2492</v>
      </c>
      <c r="P9" s="5">
        <v>2156</v>
      </c>
      <c r="Q9" s="5">
        <v>1347</v>
      </c>
    </row>
    <row r="11" spans="1:17" x14ac:dyDescent="0.25">
      <c r="A11" t="s">
        <v>138</v>
      </c>
      <c r="B11" s="5">
        <f>B9-B8</f>
        <v>-384.8</v>
      </c>
      <c r="C11" s="5">
        <f t="shared" ref="C11:Q11" si="26">C9-C8</f>
        <v>-381.4</v>
      </c>
      <c r="D11" s="5">
        <f t="shared" si="26"/>
        <v>-391.20000000000005</v>
      </c>
      <c r="E11" s="5">
        <f t="shared" si="26"/>
        <v>-463.6</v>
      </c>
      <c r="F11" s="5">
        <f t="shared" si="26"/>
        <v>-359</v>
      </c>
      <c r="G11" s="5">
        <f t="shared" si="26"/>
        <v>-51.399999999999977</v>
      </c>
      <c r="H11" s="5">
        <f t="shared" si="26"/>
        <v>140.79999999999995</v>
      </c>
      <c r="I11" s="5">
        <f t="shared" si="26"/>
        <v>-133.40000000000009</v>
      </c>
      <c r="J11" s="5">
        <f t="shared" si="26"/>
        <v>-262.80000000000007</v>
      </c>
      <c r="K11" s="5">
        <f t="shared" si="26"/>
        <v>-71</v>
      </c>
      <c r="L11" s="5">
        <f t="shared" si="26"/>
        <v>-542.20000000000005</v>
      </c>
      <c r="M11" s="5">
        <f t="shared" si="26"/>
        <v>181.39999999999986</v>
      </c>
      <c r="N11" s="5">
        <f t="shared" si="26"/>
        <v>141.19999999999982</v>
      </c>
      <c r="O11" s="5">
        <f t="shared" si="26"/>
        <v>711.19999999999982</v>
      </c>
      <c r="P11" s="5">
        <f t="shared" si="26"/>
        <v>500.39999999999986</v>
      </c>
      <c r="Q11" s="5">
        <f t="shared" si="26"/>
        <v>-145.80000000000018</v>
      </c>
    </row>
    <row r="12" spans="1:17" x14ac:dyDescent="0.25">
      <c r="A12" t="s">
        <v>139</v>
      </c>
      <c r="B12" s="5">
        <v>740</v>
      </c>
      <c r="C12" s="5">
        <v>999</v>
      </c>
      <c r="D12" s="5">
        <v>1219</v>
      </c>
      <c r="E12" s="5">
        <v>929</v>
      </c>
      <c r="F12" s="5">
        <v>1123</v>
      </c>
      <c r="G12" s="5">
        <v>1393</v>
      </c>
      <c r="H12" s="5">
        <v>1578</v>
      </c>
      <c r="I12" s="5">
        <v>2196</v>
      </c>
      <c r="J12" s="5">
        <v>1477</v>
      </c>
      <c r="K12" s="5">
        <v>2302</v>
      </c>
      <c r="L12" s="5">
        <v>3794</v>
      </c>
      <c r="M12" s="5">
        <v>3956</v>
      </c>
      <c r="N12" s="5">
        <v>4508</v>
      </c>
      <c r="O12" s="5">
        <v>4978</v>
      </c>
      <c r="P12" s="5">
        <v>4855</v>
      </c>
      <c r="Q12" s="5">
        <v>4998</v>
      </c>
    </row>
    <row r="13" spans="1:17" x14ac:dyDescent="0.25">
      <c r="A13" t="s">
        <v>140</v>
      </c>
      <c r="B13" s="5">
        <f>B12+B11</f>
        <v>355.2</v>
      </c>
      <c r="C13" s="5">
        <f t="shared" ref="C13:Q13" si="27">C12+C11</f>
        <v>617.6</v>
      </c>
      <c r="D13" s="5">
        <f t="shared" si="27"/>
        <v>827.8</v>
      </c>
      <c r="E13" s="5">
        <f t="shared" si="27"/>
        <v>465.4</v>
      </c>
      <c r="F13" s="5">
        <f t="shared" si="27"/>
        <v>764</v>
      </c>
      <c r="G13" s="5">
        <f t="shared" si="27"/>
        <v>1341.6</v>
      </c>
      <c r="H13" s="5">
        <f t="shared" si="27"/>
        <v>1718.8</v>
      </c>
      <c r="I13" s="5">
        <f t="shared" si="27"/>
        <v>2062.6</v>
      </c>
      <c r="J13" s="5">
        <f t="shared" si="27"/>
        <v>1214.1999999999998</v>
      </c>
      <c r="K13" s="5">
        <f t="shared" si="27"/>
        <v>2231</v>
      </c>
      <c r="L13" s="5">
        <f t="shared" si="27"/>
        <v>3251.8</v>
      </c>
      <c r="M13" s="5">
        <f t="shared" si="27"/>
        <v>4137.3999999999996</v>
      </c>
      <c r="N13" s="5">
        <f t="shared" si="27"/>
        <v>4649.2</v>
      </c>
      <c r="O13" s="5">
        <f t="shared" si="27"/>
        <v>5689.2</v>
      </c>
      <c r="P13" s="5">
        <f t="shared" si="27"/>
        <v>5355.4</v>
      </c>
      <c r="Q13" s="5">
        <f t="shared" si="27"/>
        <v>4852.2</v>
      </c>
    </row>
    <row r="15" spans="1:17" s="22" customFormat="1" x14ac:dyDescent="0.25">
      <c r="B15" s="22">
        <v>2001</v>
      </c>
      <c r="C15" s="22">
        <v>2002</v>
      </c>
      <c r="D15" s="22">
        <v>2003</v>
      </c>
      <c r="E15" s="22">
        <v>2004</v>
      </c>
      <c r="F15" s="22">
        <v>2005</v>
      </c>
      <c r="G15" s="22">
        <v>2006</v>
      </c>
      <c r="H15" s="22">
        <v>2007</v>
      </c>
      <c r="I15" s="22">
        <v>2008</v>
      </c>
      <c r="J15" s="22">
        <v>2009</v>
      </c>
      <c r="K15" s="22">
        <v>2010</v>
      </c>
      <c r="L15" s="22">
        <v>2011</v>
      </c>
      <c r="M15" s="22">
        <v>2012</v>
      </c>
      <c r="N15" s="22">
        <v>2013</v>
      </c>
      <c r="O15" s="22">
        <v>2014</v>
      </c>
      <c r="P15" s="22">
        <v>2015</v>
      </c>
      <c r="Q15" s="22">
        <v>2016</v>
      </c>
    </row>
    <row r="16" spans="1:17" x14ac:dyDescent="0.25">
      <c r="A16" t="s">
        <v>141</v>
      </c>
      <c r="B16" s="10">
        <f>B12/B$4</f>
        <v>6.8328716528162511E-2</v>
      </c>
      <c r="C16" s="10">
        <f t="shared" ref="C16:Q17" si="28">C12/C$4</f>
        <v>8.9524150909579714E-2</v>
      </c>
      <c r="D16" s="10">
        <f t="shared" si="28"/>
        <v>0.10553198857241797</v>
      </c>
      <c r="E16" s="10">
        <f t="shared" si="28"/>
        <v>7.6054031927957427E-2</v>
      </c>
      <c r="F16" s="10">
        <f t="shared" si="28"/>
        <v>8.2707320665782888E-2</v>
      </c>
      <c r="G16" s="10">
        <f t="shared" si="28"/>
        <v>8.9420978302734627E-2</v>
      </c>
      <c r="H16" s="10">
        <f t="shared" si="28"/>
        <v>9.6910888656881411E-2</v>
      </c>
      <c r="I16" s="10">
        <f t="shared" si="28"/>
        <v>0.12220367278797997</v>
      </c>
      <c r="J16" s="10">
        <f t="shared" si="28"/>
        <v>0.10443328855264088</v>
      </c>
      <c r="K16" s="10">
        <f t="shared" si="28"/>
        <v>0.13569112879457706</v>
      </c>
      <c r="L16" s="10">
        <f t="shared" si="28"/>
        <v>0.19399703430996573</v>
      </c>
      <c r="M16" s="10">
        <f t="shared" si="28"/>
        <v>0.18904711841727995</v>
      </c>
      <c r="N16" s="10">
        <f t="shared" si="28"/>
        <v>0.2052542913081091</v>
      </c>
      <c r="O16" s="10">
        <f t="shared" si="28"/>
        <v>0.20752042688010672</v>
      </c>
      <c r="P16" s="10">
        <f t="shared" si="28"/>
        <v>0.22257369458579745</v>
      </c>
      <c r="Q16" s="10">
        <f t="shared" si="28"/>
        <v>0.2506393861892583</v>
      </c>
    </row>
    <row r="17" spans="1:17" x14ac:dyDescent="0.25">
      <c r="A17" t="s">
        <v>142</v>
      </c>
      <c r="B17" s="10">
        <f>B13/B$4</f>
        <v>3.2797783933518003E-2</v>
      </c>
      <c r="C17" s="10">
        <f t="shared" si="28"/>
        <v>5.5345461062819248E-2</v>
      </c>
      <c r="D17" s="10">
        <f t="shared" si="28"/>
        <v>7.1664790927192454E-2</v>
      </c>
      <c r="E17" s="10">
        <f t="shared" si="28"/>
        <v>3.8100695865738846E-2</v>
      </c>
      <c r="F17" s="10">
        <f t="shared" si="28"/>
        <v>5.6267491530416852E-2</v>
      </c>
      <c r="G17" s="10">
        <f t="shared" si="28"/>
        <v>8.6121453331621509E-2</v>
      </c>
      <c r="H17" s="10">
        <f t="shared" si="28"/>
        <v>0.10555794386783762</v>
      </c>
      <c r="I17" s="10">
        <f t="shared" si="28"/>
        <v>0.11478018920422926</v>
      </c>
      <c r="J17" s="10">
        <f t="shared" si="28"/>
        <v>8.5851658064059949E-2</v>
      </c>
      <c r="K17" s="10">
        <f t="shared" si="28"/>
        <v>0.13150604185086945</v>
      </c>
      <c r="L17" s="10">
        <f t="shared" si="28"/>
        <v>0.16627294574832541</v>
      </c>
      <c r="M17" s="10">
        <f t="shared" si="28"/>
        <v>0.19771576029819363</v>
      </c>
      <c r="N17" s="10">
        <f t="shared" si="28"/>
        <v>0.21168328552565677</v>
      </c>
      <c r="O17" s="10">
        <f t="shared" si="28"/>
        <v>0.23716858429214607</v>
      </c>
      <c r="P17" s="10">
        <f t="shared" si="28"/>
        <v>0.2455141429422821</v>
      </c>
      <c r="Q17" s="10">
        <f t="shared" si="28"/>
        <v>0.24332781706032797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964DB-FDA1-4D64-AF36-B76E4DC0BCBE}">
  <dimension ref="A1:P24"/>
  <sheetViews>
    <sheetView workbookViewId="0">
      <selection activeCell="B19" sqref="B19"/>
    </sheetView>
  </sheetViews>
  <sheetFormatPr defaultRowHeight="15" x14ac:dyDescent="0.25"/>
  <cols>
    <col min="1" max="1" width="24.5703125" bestFit="1" customWidth="1"/>
    <col min="12" max="12" width="9.85546875" bestFit="1" customWidth="1"/>
  </cols>
  <sheetData>
    <row r="1" spans="1:16" x14ac:dyDescent="0.25">
      <c r="A1" s="39" t="s">
        <v>125</v>
      </c>
      <c r="B1" s="22">
        <v>2007</v>
      </c>
      <c r="C1" s="22">
        <v>2008</v>
      </c>
      <c r="D1" s="22">
        <v>2009</v>
      </c>
      <c r="E1" s="22">
        <v>2010</v>
      </c>
      <c r="F1" s="22">
        <v>2011</v>
      </c>
      <c r="G1" s="22">
        <v>2012</v>
      </c>
      <c r="H1" s="22">
        <v>2013</v>
      </c>
      <c r="I1" s="22">
        <v>2014</v>
      </c>
      <c r="J1" s="22">
        <v>2015</v>
      </c>
      <c r="K1" s="22">
        <v>2016</v>
      </c>
      <c r="L1" t="s">
        <v>143</v>
      </c>
      <c r="N1" t="s">
        <v>145</v>
      </c>
      <c r="P1">
        <v>2017</v>
      </c>
    </row>
    <row r="2" spans="1:16" x14ac:dyDescent="0.25">
      <c r="A2" s="22" t="s">
        <v>126</v>
      </c>
      <c r="B2" s="40">
        <v>80532</v>
      </c>
      <c r="C2" s="40">
        <v>88588</v>
      </c>
      <c r="D2" s="40">
        <v>81207</v>
      </c>
      <c r="E2" s="40">
        <v>88237</v>
      </c>
      <c r="F2" s="40">
        <v>88094</v>
      </c>
      <c r="G2" s="40">
        <v>81407</v>
      </c>
      <c r="H2" s="40">
        <v>80904</v>
      </c>
      <c r="I2" s="40">
        <v>94273</v>
      </c>
      <c r="J2" s="40">
        <v>89053</v>
      </c>
      <c r="K2" s="41">
        <v>92244</v>
      </c>
      <c r="L2" s="41">
        <f t="shared" ref="L2:L7" si="0">P2/0.75</f>
        <v>89988</v>
      </c>
      <c r="N2" s="13">
        <f>(L2/B2)^(1/10)-1</f>
        <v>1.1164028518285463E-2</v>
      </c>
      <c r="P2" s="41">
        <v>67491</v>
      </c>
    </row>
    <row r="3" spans="1:16" x14ac:dyDescent="0.25">
      <c r="A3" s="22" t="s">
        <v>127</v>
      </c>
      <c r="B3" s="40">
        <v>17482</v>
      </c>
      <c r="C3" s="40">
        <v>13982</v>
      </c>
      <c r="D3" s="40">
        <v>9740</v>
      </c>
      <c r="E3" s="40">
        <v>12542</v>
      </c>
      <c r="F3" s="40">
        <v>13004</v>
      </c>
      <c r="G3" s="40">
        <v>14942</v>
      </c>
      <c r="H3" s="40">
        <v>16169</v>
      </c>
      <c r="I3" s="40">
        <v>16797</v>
      </c>
      <c r="J3" s="40">
        <v>18193</v>
      </c>
      <c r="K3" s="41">
        <v>18192</v>
      </c>
      <c r="L3" s="41">
        <f t="shared" si="0"/>
        <v>18276</v>
      </c>
      <c r="N3" s="13">
        <f t="shared" ref="N3:N7" si="1">(L3/B3)^(1/10)-1</f>
        <v>4.4515732996444068E-3</v>
      </c>
      <c r="P3" s="41">
        <v>13707</v>
      </c>
    </row>
    <row r="4" spans="1:16" x14ac:dyDescent="0.25">
      <c r="A4" s="22" t="s">
        <v>128</v>
      </c>
      <c r="B4" s="40">
        <v>56521</v>
      </c>
      <c r="C4" s="40">
        <v>54807</v>
      </c>
      <c r="D4" s="40">
        <v>48055</v>
      </c>
      <c r="E4" s="40">
        <v>54233</v>
      </c>
      <c r="F4" s="40">
        <v>59542</v>
      </c>
      <c r="G4" s="40">
        <v>68095</v>
      </c>
      <c r="H4" s="40">
        <v>73963</v>
      </c>
      <c r="I4" s="40">
        <v>75519</v>
      </c>
      <c r="J4" s="40">
        <v>71707</v>
      </c>
      <c r="K4" s="41">
        <v>66964</v>
      </c>
      <c r="L4" s="41">
        <f t="shared" si="0"/>
        <v>65678.666666666672</v>
      </c>
      <c r="N4" s="13">
        <f t="shared" si="1"/>
        <v>1.5129500848385824E-2</v>
      </c>
      <c r="P4" s="41">
        <v>49259</v>
      </c>
    </row>
    <row r="5" spans="1:16" x14ac:dyDescent="0.25">
      <c r="A5" s="22" t="s">
        <v>129</v>
      </c>
      <c r="B5" s="40">
        <v>251408</v>
      </c>
      <c r="C5" s="40">
        <v>258362</v>
      </c>
      <c r="D5" s="40">
        <v>218227</v>
      </c>
      <c r="E5" s="40">
        <v>225583</v>
      </c>
      <c r="F5" s="40">
        <v>238567</v>
      </c>
      <c r="G5" s="40">
        <v>207466</v>
      </c>
      <c r="H5" s="40">
        <v>186902</v>
      </c>
      <c r="I5" s="40">
        <v>191359</v>
      </c>
      <c r="J5" s="40">
        <v>151110</v>
      </c>
      <c r="K5" s="41">
        <v>117101</v>
      </c>
      <c r="L5" s="41">
        <f t="shared" si="0"/>
        <v>129525.33333333333</v>
      </c>
      <c r="N5" s="13">
        <f t="shared" si="1"/>
        <v>-6.41687087340016E-2</v>
      </c>
      <c r="P5" s="41">
        <v>97144</v>
      </c>
    </row>
    <row r="6" spans="1:16" x14ac:dyDescent="0.25">
      <c r="A6" s="22" t="s">
        <v>130</v>
      </c>
      <c r="B6" s="40">
        <v>75109</v>
      </c>
      <c r="C6" s="40">
        <v>70714</v>
      </c>
      <c r="D6" s="40">
        <v>51873</v>
      </c>
      <c r="E6" s="40">
        <v>60347</v>
      </c>
      <c r="F6" s="40">
        <v>66823</v>
      </c>
      <c r="G6" s="40">
        <v>70924</v>
      </c>
      <c r="H6" s="40">
        <v>77760</v>
      </c>
      <c r="I6" s="40">
        <v>88054</v>
      </c>
      <c r="J6" s="40">
        <v>75902</v>
      </c>
      <c r="K6" s="41">
        <v>68579</v>
      </c>
      <c r="L6" s="41">
        <f t="shared" si="0"/>
        <v>82933.333333333328</v>
      </c>
      <c r="N6" s="13">
        <f t="shared" si="1"/>
        <v>9.9589313930865675E-3</v>
      </c>
      <c r="P6" s="41">
        <v>62200</v>
      </c>
    </row>
    <row r="7" spans="1:16" x14ac:dyDescent="0.25">
      <c r="A7" s="22" t="s">
        <v>131</v>
      </c>
      <c r="B7" s="40">
        <v>80793</v>
      </c>
      <c r="C7" s="40">
        <v>76178</v>
      </c>
      <c r="D7" s="40">
        <v>70086</v>
      </c>
      <c r="E7" s="40">
        <v>79458</v>
      </c>
      <c r="F7" s="40">
        <v>78367</v>
      </c>
      <c r="G7" s="40">
        <v>78277</v>
      </c>
      <c r="H7" s="40">
        <v>78574</v>
      </c>
      <c r="I7" s="40">
        <v>83627</v>
      </c>
      <c r="J7" s="40">
        <v>79070</v>
      </c>
      <c r="K7" s="41">
        <v>77059</v>
      </c>
      <c r="L7" s="41">
        <f t="shared" si="0"/>
        <v>77426.666666666672</v>
      </c>
      <c r="N7" s="13">
        <f t="shared" si="1"/>
        <v>-4.2468640866765162E-3</v>
      </c>
      <c r="P7" s="41">
        <v>58070</v>
      </c>
    </row>
    <row r="9" spans="1:16" x14ac:dyDescent="0.25">
      <c r="C9" s="22">
        <v>2008</v>
      </c>
      <c r="D9" s="22">
        <v>2009</v>
      </c>
      <c r="E9" s="22">
        <v>2010</v>
      </c>
      <c r="F9" s="22">
        <v>2011</v>
      </c>
      <c r="G9" s="22">
        <v>2012</v>
      </c>
      <c r="H9" s="22">
        <v>2013</v>
      </c>
      <c r="I9" s="22">
        <v>2014</v>
      </c>
      <c r="J9" s="22">
        <v>2015</v>
      </c>
      <c r="K9" s="22">
        <v>2016</v>
      </c>
      <c r="L9" s="22" t="s">
        <v>143</v>
      </c>
      <c r="N9" t="s">
        <v>144</v>
      </c>
    </row>
    <row r="10" spans="1:16" x14ac:dyDescent="0.25">
      <c r="B10" s="22" t="s">
        <v>126</v>
      </c>
      <c r="C10" s="10">
        <f t="shared" ref="C10:L10" si="2">C2/B2-1</f>
        <v>0.10003476878756268</v>
      </c>
      <c r="D10" s="10">
        <f t="shared" si="2"/>
        <v>-8.3318282385876241E-2</v>
      </c>
      <c r="E10" s="10">
        <f t="shared" si="2"/>
        <v>8.6568891844299056E-2</v>
      </c>
      <c r="F10" s="10">
        <f t="shared" si="2"/>
        <v>-1.6206353343835023E-3</v>
      </c>
      <c r="G10" s="10">
        <f t="shared" si="2"/>
        <v>-7.5907553295343599E-2</v>
      </c>
      <c r="H10" s="10">
        <f t="shared" si="2"/>
        <v>-6.1788298303585565E-3</v>
      </c>
      <c r="I10" s="10">
        <f t="shared" si="2"/>
        <v>0.16524522891327997</v>
      </c>
      <c r="J10" s="10">
        <f t="shared" si="2"/>
        <v>-5.5371103072990091E-2</v>
      </c>
      <c r="K10" s="10">
        <f t="shared" si="2"/>
        <v>3.5832594073192281E-2</v>
      </c>
      <c r="L10" s="10">
        <f t="shared" si="2"/>
        <v>-2.4456875243918264E-2</v>
      </c>
      <c r="N10" s="38">
        <f>AVERAGE(C10:L10)</f>
        <v>1.4082820445546373E-2</v>
      </c>
    </row>
    <row r="11" spans="1:16" x14ac:dyDescent="0.25">
      <c r="B11" s="22" t="s">
        <v>127</v>
      </c>
      <c r="C11" s="10">
        <f t="shared" ref="C11:L11" si="3">C3/B3-1</f>
        <v>-0.20020592609541243</v>
      </c>
      <c r="D11" s="10">
        <f t="shared" si="3"/>
        <v>-0.3033900729509369</v>
      </c>
      <c r="E11" s="10">
        <f t="shared" si="3"/>
        <v>0.28767967145790552</v>
      </c>
      <c r="F11" s="10">
        <f t="shared" si="3"/>
        <v>3.6836230266305225E-2</v>
      </c>
      <c r="G11" s="10">
        <f t="shared" si="3"/>
        <v>0.14903106736388794</v>
      </c>
      <c r="H11" s="10">
        <f t="shared" si="3"/>
        <v>8.2117521081515266E-2</v>
      </c>
      <c r="I11" s="10">
        <f t="shared" si="3"/>
        <v>3.8839755086894634E-2</v>
      </c>
      <c r="J11" s="10">
        <f t="shared" si="3"/>
        <v>8.3110079180806151E-2</v>
      </c>
      <c r="K11" s="10">
        <f t="shared" si="3"/>
        <v>-5.4966195789596384E-5</v>
      </c>
      <c r="L11" s="10">
        <f t="shared" si="3"/>
        <v>4.61741424802109E-3</v>
      </c>
      <c r="N11" s="38">
        <f t="shared" ref="N11:N15" si="4">AVERAGE(C11:L11)</f>
        <v>1.7858077344319691E-2</v>
      </c>
    </row>
    <row r="12" spans="1:16" x14ac:dyDescent="0.25">
      <c r="B12" s="22" t="s">
        <v>128</v>
      </c>
      <c r="C12" s="10">
        <f t="shared" ref="C12:L12" si="5">C4/B4-1</f>
        <v>-3.0325011942463842E-2</v>
      </c>
      <c r="D12" s="10">
        <f t="shared" si="5"/>
        <v>-0.12319594212418117</v>
      </c>
      <c r="E12" s="10">
        <f t="shared" si="5"/>
        <v>0.12856102382686507</v>
      </c>
      <c r="F12" s="10">
        <f t="shared" si="5"/>
        <v>9.7892427120019221E-2</v>
      </c>
      <c r="G12" s="10">
        <f t="shared" si="5"/>
        <v>0.1436465016291022</v>
      </c>
      <c r="H12" s="10">
        <f t="shared" si="5"/>
        <v>8.6173727880167306E-2</v>
      </c>
      <c r="I12" s="10">
        <f t="shared" si="5"/>
        <v>2.1037545799927004E-2</v>
      </c>
      <c r="J12" s="10">
        <f t="shared" si="5"/>
        <v>-5.0477363312543821E-2</v>
      </c>
      <c r="K12" s="10">
        <f t="shared" si="5"/>
        <v>-6.6144170025241644E-2</v>
      </c>
      <c r="L12" s="10">
        <f t="shared" si="5"/>
        <v>-1.9194393007187838E-2</v>
      </c>
      <c r="N12" s="38">
        <f t="shared" si="4"/>
        <v>1.879743458444625E-2</v>
      </c>
    </row>
    <row r="13" spans="1:16" x14ac:dyDescent="0.25">
      <c r="B13" s="22" t="s">
        <v>129</v>
      </c>
      <c r="C13" s="10">
        <f t="shared" ref="C13:L13" si="6">C5/B5-1</f>
        <v>2.7660217654171815E-2</v>
      </c>
      <c r="D13" s="10">
        <f t="shared" si="6"/>
        <v>-0.15534405214389113</v>
      </c>
      <c r="E13" s="10">
        <f t="shared" si="6"/>
        <v>3.3708019630934727E-2</v>
      </c>
      <c r="F13" s="10">
        <f t="shared" si="6"/>
        <v>5.7557528714486494E-2</v>
      </c>
      <c r="G13" s="10">
        <f t="shared" si="6"/>
        <v>-0.13036589301957102</v>
      </c>
      <c r="H13" s="10">
        <f t="shared" si="6"/>
        <v>-9.9119855783598276E-2</v>
      </c>
      <c r="I13" s="10">
        <f t="shared" si="6"/>
        <v>2.384672181143066E-2</v>
      </c>
      <c r="J13" s="10">
        <f t="shared" si="6"/>
        <v>-0.21033241185415896</v>
      </c>
      <c r="K13" s="10">
        <f t="shared" si="6"/>
        <v>-0.22506121368539478</v>
      </c>
      <c r="L13" s="10">
        <f t="shared" si="6"/>
        <v>0.10609929320273381</v>
      </c>
      <c r="N13" s="38">
        <f t="shared" si="4"/>
        <v>-5.7135164547285663E-2</v>
      </c>
    </row>
    <row r="14" spans="1:16" x14ac:dyDescent="0.25">
      <c r="B14" s="22" t="s">
        <v>130</v>
      </c>
      <c r="C14" s="10">
        <f t="shared" ref="C14:L14" si="7">C6/B6-1</f>
        <v>-5.8514958260661221E-2</v>
      </c>
      <c r="D14" s="10">
        <f t="shared" si="7"/>
        <v>-0.26643946036145605</v>
      </c>
      <c r="E14" s="10">
        <f t="shared" si="7"/>
        <v>0.1633605151041968</v>
      </c>
      <c r="F14" s="10">
        <f t="shared" si="7"/>
        <v>0.10731270817107719</v>
      </c>
      <c r="G14" s="10">
        <f t="shared" si="7"/>
        <v>6.1371084806129517E-2</v>
      </c>
      <c r="H14" s="10">
        <f t="shared" si="7"/>
        <v>9.6384862669900206E-2</v>
      </c>
      <c r="I14" s="10">
        <f t="shared" si="7"/>
        <v>0.13238168724279831</v>
      </c>
      <c r="J14" s="10">
        <f t="shared" si="7"/>
        <v>-0.13800622345378977</v>
      </c>
      <c r="K14" s="10">
        <f t="shared" si="7"/>
        <v>-9.6479671154910296E-2</v>
      </c>
      <c r="L14" s="10">
        <f t="shared" si="7"/>
        <v>0.20931091636409582</v>
      </c>
      <c r="N14" s="38">
        <f t="shared" si="4"/>
        <v>2.1068146112738051E-2</v>
      </c>
    </row>
    <row r="15" spans="1:16" x14ac:dyDescent="0.25">
      <c r="B15" s="22" t="s">
        <v>131</v>
      </c>
      <c r="C15" s="10">
        <f t="shared" ref="C15:L15" si="8">C7/B7-1</f>
        <v>-5.7121285259861598E-2</v>
      </c>
      <c r="D15" s="10">
        <f t="shared" si="8"/>
        <v>-7.9970595184961524E-2</v>
      </c>
      <c r="E15" s="10">
        <f t="shared" si="8"/>
        <v>0.13372142795993502</v>
      </c>
      <c r="F15" s="10">
        <f t="shared" si="8"/>
        <v>-1.3730524302147051E-2</v>
      </c>
      <c r="G15" s="10">
        <f t="shared" si="8"/>
        <v>-1.1484425842510637E-3</v>
      </c>
      <c r="H15" s="10">
        <f t="shared" si="8"/>
        <v>3.7942179695185096E-3</v>
      </c>
      <c r="I15" s="10">
        <f t="shared" si="8"/>
        <v>6.4308804439127343E-2</v>
      </c>
      <c r="J15" s="10">
        <f t="shared" si="8"/>
        <v>-5.4491970296674519E-2</v>
      </c>
      <c r="K15" s="10">
        <f t="shared" si="8"/>
        <v>-2.5433160490704432E-2</v>
      </c>
      <c r="L15" s="10">
        <f t="shared" si="8"/>
        <v>4.7712358928440057E-3</v>
      </c>
      <c r="N15" s="38">
        <f t="shared" si="4"/>
        <v>-2.5300291857175304E-3</v>
      </c>
    </row>
    <row r="18" spans="1:2" x14ac:dyDescent="0.25">
      <c r="B18" s="22" t="s">
        <v>146</v>
      </c>
    </row>
    <row r="19" spans="1:2" x14ac:dyDescent="0.25">
      <c r="A19" s="22" t="s">
        <v>126</v>
      </c>
      <c r="B19" s="13">
        <v>1.1164028518285463E-2</v>
      </c>
    </row>
    <row r="20" spans="1:2" x14ac:dyDescent="0.25">
      <c r="A20" s="22" t="s">
        <v>127</v>
      </c>
      <c r="B20" s="13">
        <v>4.4515732996444068E-3</v>
      </c>
    </row>
    <row r="21" spans="1:2" x14ac:dyDescent="0.25">
      <c r="A21" s="22" t="s">
        <v>128</v>
      </c>
      <c r="B21" s="13">
        <v>1.5129500848385824E-2</v>
      </c>
    </row>
    <row r="22" spans="1:2" x14ac:dyDescent="0.25">
      <c r="A22" s="22" t="s">
        <v>129</v>
      </c>
      <c r="B22" s="13">
        <v>-6.41687087340016E-2</v>
      </c>
    </row>
    <row r="23" spans="1:2" x14ac:dyDescent="0.25">
      <c r="A23" s="22" t="s">
        <v>130</v>
      </c>
      <c r="B23" s="13">
        <v>9.9589313930865675E-3</v>
      </c>
    </row>
    <row r="24" spans="1:2" x14ac:dyDescent="0.25">
      <c r="A24" s="22" t="s">
        <v>131</v>
      </c>
      <c r="B24" s="13">
        <v>-4.2468640866765162E-3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27</vt:i4>
      </vt:variant>
    </vt:vector>
  </HeadingPairs>
  <TitlesOfParts>
    <vt:vector size="33" baseType="lpstr">
      <vt:lpstr>Detailed OCP Calculations</vt:lpstr>
      <vt:lpstr>Capex Opex data</vt:lpstr>
      <vt:lpstr>Age of Locos</vt:lpstr>
      <vt:lpstr>BNSF OCP</vt:lpstr>
      <vt:lpstr>Taxes</vt:lpstr>
      <vt:lpstr>Revenue Ton-Miles</vt:lpstr>
      <vt:lpstr>Capex as Pct Revenues</vt:lpstr>
      <vt:lpstr>Op Profit - OCP Chart</vt:lpstr>
      <vt:lpstr>Revenue Ton-Mile CAGR</vt:lpstr>
      <vt:lpstr>Revenue Ton-Mile Chart</vt:lpstr>
      <vt:lpstr>OCP Tax Effect</vt:lpstr>
      <vt:lpstr>Tax Comparison</vt:lpstr>
      <vt:lpstr>Operating Ratio</vt:lpstr>
      <vt:lpstr>Surcharge and Diesel</vt:lpstr>
      <vt:lpstr>Surcharge pct Fuel Expense</vt:lpstr>
      <vt:lpstr>Carloads per Employee Chart</vt:lpstr>
      <vt:lpstr>Fuel Expense Chart</vt:lpstr>
      <vt:lpstr>Employee Number Chart</vt:lpstr>
      <vt:lpstr>Op Profit Walk Chart</vt:lpstr>
      <vt:lpstr>Detailed Capex Chart</vt:lpstr>
      <vt:lpstr>Long-term Capex Chart</vt:lpstr>
      <vt:lpstr>Old vs New OCP Chart</vt:lpstr>
      <vt:lpstr>Maint vs Growth Chart</vt:lpstr>
      <vt:lpstr>Leased vs Owned Chart</vt:lpstr>
      <vt:lpstr>LT OCP Chart</vt:lpstr>
      <vt:lpstr>MX as Pct of OCP and Rev</vt:lpstr>
      <vt:lpstr>MX as Pct of Rev</vt:lpstr>
      <vt:lpstr>MX Comparison Chart</vt:lpstr>
      <vt:lpstr>BNSF UNP OCP Chart</vt:lpstr>
      <vt:lpstr>BNSF UNP OCP Chart (2)</vt:lpstr>
      <vt:lpstr>BNSF UNP FCFO Chart</vt:lpstr>
      <vt:lpstr>BNSF UNP FCFO Chart (2)</vt:lpstr>
      <vt:lpstr>BNSF UNP Capex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Kobayashi-Solomon</dc:creator>
  <cp:lastModifiedBy>Erik Kobayashi-Solomon</cp:lastModifiedBy>
  <dcterms:created xsi:type="dcterms:W3CDTF">2017-11-20T13:42:04Z</dcterms:created>
  <dcterms:modified xsi:type="dcterms:W3CDTF">2017-12-02T09:44:30Z</dcterms:modified>
</cp:coreProperties>
</file>