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6.xml" ContentType="application/vnd.openxmlformats-officedocument.spreadsheetml.worksheet+xml"/>
  <Override PartName="/xl/chartsheets/sheet4.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6.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8.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9.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0.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1.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2.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1.xml" ContentType="application/vnd.openxmlformats-officedocument.themeOverride+xml"/>
  <Override PartName="/xl/drawings/drawing1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xml" ContentType="application/vnd.openxmlformats-officedocument.themeOverride+xml"/>
  <Override PartName="/xl/drawings/drawing16.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3.xml" ContentType="application/vnd.openxmlformats-officedocument.themeOverride+xml"/>
  <Override PartName="/xl/drawings/drawing17.xml" ContentType="application/vnd.openxmlformats-officedocument.drawing+xml"/>
  <Override PartName="/xl/charts/chart30.xml" ContentType="application/vnd.openxmlformats-officedocument.drawingml.chart+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625"/>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UNP - Union Pacific/Feb 2017 Update/"/>
    </mc:Choice>
  </mc:AlternateContent>
  <xr:revisionPtr revIDLastSave="11" documentId="71996D80C20636D54EC02CE7EA7D98EF0BCAB256" xr6:coauthVersionLast="24" xr6:coauthVersionMax="24" xr10:uidLastSave="{FEA027AD-D800-4986-BC2B-A617A6EBA141}"/>
  <bookViews>
    <workbookView xWindow="480" yWindow="60" windowWidth="20010" windowHeight="8025" tabRatio="825" xr2:uid="{00000000-000D-0000-FFFF-FFFF00000000}"/>
  </bookViews>
  <sheets>
    <sheet name="Valuation Model" sheetId="1" r:id="rId1"/>
    <sheet name="Company Analysis" sheetId="19" r:id="rId2"/>
    <sheet name="Segments" sheetId="32" r:id="rId3"/>
    <sheet name="Revenue Model" sheetId="33" r:id="rId4"/>
    <sheet name="Freight Revenue Comparisons" sheetId="37" r:id="rId5"/>
    <sheet name="Update Comparisons" sheetId="38" r:id="rId6"/>
    <sheet name="LT OCP Chart" sheetId="39" r:id="rId7"/>
    <sheet name="LT OCP Chart Details" sheetId="40" r:id="rId8"/>
    <sheet name="Profit Study" sheetId="41" r:id="rId9"/>
    <sheet name="LT CAGR Chart" sheetId="42" r:id="rId10"/>
    <sheet name="Profit Study (2)" sheetId="43" r:id="rId11"/>
    <sheet name="Graphing Data" sheetId="21" r:id="rId12"/>
    <sheet name="Revenue History" sheetId="35" r:id="rId13"/>
    <sheet name="Revenue Chart" sheetId="22" r:id="rId14"/>
    <sheet name="Profit History" sheetId="36" r:id="rId15"/>
    <sheet name="Profit Chart" sheetId="23" r:id="rId16"/>
    <sheet name="ECF to OCP Chart" sheetId="25" r:id="rId17"/>
    <sheet name="ECF Breakdown Chart" sheetId="26" r:id="rId18"/>
    <sheet name="FCFO Chart" sheetId="27" r:id="rId19"/>
    <sheet name="Investment Efficacy Chart" sheetId="28" r:id="rId20"/>
    <sheet name="Valuation Histogram" sheetId="16" r:id="rId21"/>
    <sheet name="Histogram Data" sheetId="17" r:id="rId22"/>
    <sheet name="GDP Data" sheetId="20" r:id="rId23"/>
    <sheet name="Disclaimer" sheetId="18" r:id="rId24"/>
    <sheet name="PSW_Sheet" sheetId="11" state="veryHidden" r:id="rId25"/>
    <sheet name="_SSC" sheetId="12" state="veryHidden" r:id="rId26"/>
    <sheet name="_Options" sheetId="13" state="veryHidden" r:id="rId27"/>
  </sheets>
  <externalReferences>
    <externalReference r:id="rId28"/>
    <externalReference r:id="rId29"/>
    <externalReference r:id="rId30"/>
    <externalReference r:id="rId31"/>
    <externalReference r:id="rId32"/>
    <externalReference r:id="rId33"/>
    <externalReference r:id="rId34"/>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localSheetId="10" hidden="1">#REF!</definedName>
    <definedName name="_Fill" localSheetId="2" hidden="1">#REF!</definedName>
    <definedName name="_Fill" hidden="1">#REF!</definedName>
    <definedName name="_xlnm._FilterDatabase" localSheetId="21"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 localSheetId="10">#REF!</definedName>
    <definedName name="YF_Attributes" localSheetId="2">#REF!</definedName>
    <definedName name="YF_Attributes">#REF!</definedName>
  </definedNames>
  <calcPr calcId="171027"/>
</workbook>
</file>

<file path=xl/calcChain.xml><?xml version="1.0" encoding="utf-8"?>
<calcChain xmlns="http://schemas.openxmlformats.org/spreadsheetml/2006/main">
  <c r="E24" i="43" l="1"/>
  <c r="E25" i="43" s="1"/>
  <c r="E26" i="43" s="1"/>
  <c r="E27" i="43" s="1"/>
  <c r="F23" i="43"/>
  <c r="F24" i="43" s="1"/>
  <c r="F25" i="43" s="1"/>
  <c r="F26" i="43" s="1"/>
  <c r="F27" i="43" s="1"/>
  <c r="E23" i="43"/>
  <c r="D23" i="43"/>
  <c r="D24" i="43" s="1"/>
  <c r="D25" i="43" s="1"/>
  <c r="D26" i="43" s="1"/>
  <c r="D27" i="43" s="1"/>
  <c r="C23" i="43"/>
  <c r="C24" i="43" s="1"/>
  <c r="C25" i="43" s="1"/>
  <c r="C26" i="43" s="1"/>
  <c r="C27" i="43" s="1"/>
  <c r="F22" i="43"/>
  <c r="E22" i="43"/>
  <c r="D22" i="43"/>
  <c r="C22" i="43"/>
  <c r="F21" i="43"/>
  <c r="C21" i="43"/>
  <c r="F20" i="43"/>
  <c r="C20" i="43"/>
  <c r="F19" i="43"/>
  <c r="C19" i="43"/>
  <c r="F18" i="43"/>
  <c r="C18" i="43"/>
  <c r="F17" i="43"/>
  <c r="C17" i="43"/>
  <c r="D22" i="41"/>
  <c r="D23" i="41" s="1"/>
  <c r="D24" i="41" s="1"/>
  <c r="D25" i="41" s="1"/>
  <c r="D26" i="41" s="1"/>
  <c r="D27" i="41" s="1"/>
  <c r="C22" i="41"/>
  <c r="C23" i="41" s="1"/>
  <c r="C24" i="41" s="1"/>
  <c r="C25" i="41" s="1"/>
  <c r="C26" i="41" s="1"/>
  <c r="C27" i="41" s="1"/>
  <c r="D21" i="41"/>
  <c r="C21" i="41"/>
  <c r="D20" i="41"/>
  <c r="C20" i="41"/>
  <c r="D19" i="41"/>
  <c r="C19" i="41"/>
  <c r="D18" i="41"/>
  <c r="C18" i="41"/>
  <c r="B76" i="38"/>
  <c r="B68" i="38"/>
  <c r="B70" i="38" s="1"/>
  <c r="F30" i="38"/>
  <c r="E30" i="38"/>
  <c r="F19" i="38"/>
  <c r="E19" i="38"/>
  <c r="F8" i="38"/>
  <c r="E8" i="38"/>
  <c r="C8" i="1"/>
  <c r="D31" i="43" l="1"/>
  <c r="D32" i="43"/>
  <c r="F32" i="43"/>
  <c r="F31" i="43"/>
  <c r="C32" i="43"/>
  <c r="C31" i="43"/>
  <c r="E32" i="43"/>
  <c r="E31" i="43"/>
  <c r="C31" i="41"/>
  <c r="C30" i="41"/>
  <c r="D31" i="41"/>
  <c r="D30" i="41"/>
  <c r="B75" i="38"/>
  <c r="B71" i="38"/>
  <c r="D8" i="1"/>
  <c r="C71" i="38" l="1"/>
  <c r="B77" i="38"/>
  <c r="B78" i="38" s="1"/>
  <c r="B72" i="38"/>
  <c r="C76" i="38"/>
  <c r="G150" i="33"/>
  <c r="F150" i="33"/>
  <c r="G153" i="33" s="1"/>
  <c r="H150" i="33"/>
  <c r="H153" i="33"/>
  <c r="I150" i="33"/>
  <c r="I153" i="33" s="1"/>
  <c r="J150" i="33"/>
  <c r="K150" i="33"/>
  <c r="K153" i="33" s="1"/>
  <c r="K154" i="33" s="1"/>
  <c r="E150" i="33"/>
  <c r="F153" i="33"/>
  <c r="D150" i="33"/>
  <c r="E153" i="33" s="1"/>
  <c r="I156" i="33" s="1"/>
  <c r="C150" i="33"/>
  <c r="D153" i="33" s="1"/>
  <c r="B150" i="33"/>
  <c r="C153" i="33"/>
  <c r="L95" i="33"/>
  <c r="M96" i="33"/>
  <c r="N96" i="33"/>
  <c r="O96" i="33" s="1"/>
  <c r="P96" i="33" s="1"/>
  <c r="K155" i="33"/>
  <c r="L78" i="33"/>
  <c r="M78" i="33"/>
  <c r="N78" i="33" s="1"/>
  <c r="N151" i="33" s="1"/>
  <c r="L151" i="33"/>
  <c r="L154" i="33"/>
  <c r="F19" i="32"/>
  <c r="G19" i="32"/>
  <c r="H19" i="32"/>
  <c r="I19" i="32"/>
  <c r="J19" i="32"/>
  <c r="K19" i="32"/>
  <c r="K146" i="33"/>
  <c r="J146" i="33"/>
  <c r="I146" i="33"/>
  <c r="H146" i="33"/>
  <c r="G146" i="33"/>
  <c r="F146" i="33"/>
  <c r="E146" i="33"/>
  <c r="D146" i="33"/>
  <c r="C146" i="33"/>
  <c r="B146" i="33"/>
  <c r="G139" i="33"/>
  <c r="F139" i="33"/>
  <c r="G142" i="33"/>
  <c r="H139" i="33"/>
  <c r="I139" i="33"/>
  <c r="J139" i="33"/>
  <c r="K139" i="33"/>
  <c r="E139" i="33"/>
  <c r="F142" i="33"/>
  <c r="D139" i="33"/>
  <c r="E142" i="33" s="1"/>
  <c r="C139" i="33"/>
  <c r="D142" i="33"/>
  <c r="B139" i="33"/>
  <c r="C142" i="33"/>
  <c r="C27" i="32"/>
  <c r="C35" i="32" s="1"/>
  <c r="D27" i="32"/>
  <c r="D35" i="32"/>
  <c r="E27" i="32"/>
  <c r="E35" i="32" s="1"/>
  <c r="F27" i="32"/>
  <c r="F35" i="32" s="1"/>
  <c r="G27" i="32"/>
  <c r="G35" i="32" s="1"/>
  <c r="B27" i="32"/>
  <c r="B35" i="32" s="1"/>
  <c r="H27" i="32"/>
  <c r="H35" i="32"/>
  <c r="I27" i="32"/>
  <c r="J27" i="32"/>
  <c r="J35" i="32" s="1"/>
  <c r="K27" i="32"/>
  <c r="K35" i="32"/>
  <c r="G67" i="32"/>
  <c r="H67" i="32"/>
  <c r="J67" i="32"/>
  <c r="K67" i="32"/>
  <c r="L67" i="32"/>
  <c r="L33" i="33" s="1"/>
  <c r="G132" i="33"/>
  <c r="G135" i="33" s="1"/>
  <c r="F132" i="33"/>
  <c r="H132" i="33"/>
  <c r="H135" i="33"/>
  <c r="I132" i="33"/>
  <c r="I135" i="33" s="1"/>
  <c r="J132" i="33"/>
  <c r="J135" i="33"/>
  <c r="K132" i="33"/>
  <c r="K135" i="33" s="1"/>
  <c r="K136" i="33" s="1"/>
  <c r="K137" i="33" s="1"/>
  <c r="E132" i="33"/>
  <c r="F135" i="33" s="1"/>
  <c r="D132" i="33"/>
  <c r="E135" i="33"/>
  <c r="C132" i="33"/>
  <c r="D135" i="33"/>
  <c r="B132" i="33"/>
  <c r="C135" i="33"/>
  <c r="C26" i="32"/>
  <c r="C34" i="32" s="1"/>
  <c r="D26" i="32"/>
  <c r="D34" i="32" s="1"/>
  <c r="E26" i="32"/>
  <c r="E34" i="32"/>
  <c r="F26" i="32"/>
  <c r="F34" i="32" s="1"/>
  <c r="G26" i="32"/>
  <c r="G34" i="32" s="1"/>
  <c r="B26" i="32"/>
  <c r="B34" i="32" s="1"/>
  <c r="H26" i="32"/>
  <c r="H34" i="32" s="1"/>
  <c r="I26" i="32"/>
  <c r="I34" i="32" s="1"/>
  <c r="J26" i="32"/>
  <c r="J34" i="32"/>
  <c r="K26" i="32"/>
  <c r="K34" i="32"/>
  <c r="G66" i="32"/>
  <c r="H66" i="32"/>
  <c r="J66" i="32"/>
  <c r="K66" i="32"/>
  <c r="G125" i="33"/>
  <c r="F125" i="33"/>
  <c r="H125" i="33"/>
  <c r="H128" i="33"/>
  <c r="I125" i="33"/>
  <c r="J125" i="33"/>
  <c r="K125" i="33"/>
  <c r="K128" i="33" s="1"/>
  <c r="K129" i="33" s="1"/>
  <c r="K130" i="33" s="1"/>
  <c r="E125" i="33"/>
  <c r="F128" i="33"/>
  <c r="D125" i="33"/>
  <c r="E128" i="33"/>
  <c r="C125" i="33"/>
  <c r="D128" i="33"/>
  <c r="B125" i="33"/>
  <c r="C128" i="33" s="1"/>
  <c r="C25" i="32"/>
  <c r="C33" i="32"/>
  <c r="D25" i="32"/>
  <c r="D33" i="32" s="1"/>
  <c r="E25" i="32"/>
  <c r="E33" i="32"/>
  <c r="F25" i="32"/>
  <c r="F33" i="32" s="1"/>
  <c r="G25" i="32"/>
  <c r="G33" i="32" s="1"/>
  <c r="B25" i="32"/>
  <c r="B33" i="32" s="1"/>
  <c r="H25" i="32"/>
  <c r="I25" i="32"/>
  <c r="I33" i="32" s="1"/>
  <c r="J25" i="32"/>
  <c r="J33" i="32"/>
  <c r="K25" i="32"/>
  <c r="K33" i="32" s="1"/>
  <c r="K85" i="32" s="1"/>
  <c r="G65" i="32"/>
  <c r="H65" i="32"/>
  <c r="L65" i="32" s="1"/>
  <c r="L31" i="33" s="1"/>
  <c r="J65" i="32"/>
  <c r="K65" i="32"/>
  <c r="M65" i="32"/>
  <c r="L23" i="33" s="1"/>
  <c r="G118" i="33"/>
  <c r="F118" i="33"/>
  <c r="F121" i="33" s="1"/>
  <c r="H118" i="33"/>
  <c r="H121" i="33"/>
  <c r="I118" i="33"/>
  <c r="J118" i="33"/>
  <c r="K118" i="33"/>
  <c r="K121" i="33" s="1"/>
  <c r="E118" i="33"/>
  <c r="D118" i="33"/>
  <c r="E121" i="33"/>
  <c r="C118" i="33"/>
  <c r="D121" i="33"/>
  <c r="B118" i="33"/>
  <c r="C121" i="33" s="1"/>
  <c r="C24" i="32"/>
  <c r="C32" i="32" s="1"/>
  <c r="D24" i="32"/>
  <c r="D32" i="32" s="1"/>
  <c r="E24" i="32"/>
  <c r="E32" i="32" s="1"/>
  <c r="F24" i="32"/>
  <c r="F32" i="32" s="1"/>
  <c r="G24" i="32"/>
  <c r="G32" i="32" s="1"/>
  <c r="B24" i="32"/>
  <c r="B32" i="32" s="1"/>
  <c r="H24" i="32"/>
  <c r="H32" i="32"/>
  <c r="I24" i="32"/>
  <c r="I32" i="32" s="1"/>
  <c r="J24" i="32"/>
  <c r="J32" i="32"/>
  <c r="K24" i="32"/>
  <c r="K32" i="32"/>
  <c r="G64" i="32"/>
  <c r="H64" i="32"/>
  <c r="J64" i="32"/>
  <c r="K64" i="32"/>
  <c r="K122" i="33"/>
  <c r="K123" i="33" s="1"/>
  <c r="K111" i="33"/>
  <c r="J111" i="33"/>
  <c r="K114" i="33"/>
  <c r="K115" i="33"/>
  <c r="K116" i="33" s="1"/>
  <c r="K119" i="33" s="1"/>
  <c r="G111" i="33"/>
  <c r="F111" i="33"/>
  <c r="H111" i="33"/>
  <c r="H114" i="33"/>
  <c r="I111" i="33"/>
  <c r="E111" i="33"/>
  <c r="D111" i="33"/>
  <c r="E114" i="33"/>
  <c r="C111" i="33"/>
  <c r="D114" i="33"/>
  <c r="B111" i="33"/>
  <c r="C114" i="33"/>
  <c r="C23" i="32"/>
  <c r="C31" i="32" s="1"/>
  <c r="D23" i="32"/>
  <c r="D31" i="32" s="1"/>
  <c r="E23" i="32"/>
  <c r="E31" i="32" s="1"/>
  <c r="F23" i="32"/>
  <c r="F31" i="32" s="1"/>
  <c r="G23" i="32"/>
  <c r="G31" i="32" s="1"/>
  <c r="B23" i="32"/>
  <c r="B31" i="32" s="1"/>
  <c r="H23" i="32"/>
  <c r="H31" i="32"/>
  <c r="I23" i="32"/>
  <c r="I31" i="32" s="1"/>
  <c r="J23" i="32"/>
  <c r="J31" i="32" s="1"/>
  <c r="K23" i="32"/>
  <c r="K31" i="32"/>
  <c r="L13" i="33"/>
  <c r="M29" i="33"/>
  <c r="M13" i="33"/>
  <c r="N13" i="33" s="1"/>
  <c r="O13" i="33" s="1"/>
  <c r="P13" i="33" s="1"/>
  <c r="N29" i="33"/>
  <c r="O29" i="33" s="1"/>
  <c r="P29" i="33"/>
  <c r="G63" i="32"/>
  <c r="H63" i="32"/>
  <c r="M63" i="32" s="1"/>
  <c r="L21" i="33" s="1"/>
  <c r="J63" i="32"/>
  <c r="K63" i="32"/>
  <c r="G104" i="33"/>
  <c r="F104" i="33"/>
  <c r="G107" i="33"/>
  <c r="H104" i="33"/>
  <c r="I104" i="33"/>
  <c r="J104" i="33"/>
  <c r="K104" i="33"/>
  <c r="E104" i="33"/>
  <c r="F107" i="33" s="1"/>
  <c r="D104" i="33"/>
  <c r="E107" i="33" s="1"/>
  <c r="C104" i="33"/>
  <c r="D107" i="33"/>
  <c r="B104" i="33"/>
  <c r="C107" i="33"/>
  <c r="G110" i="33"/>
  <c r="C22" i="32"/>
  <c r="C30" i="32" s="1"/>
  <c r="D22" i="32"/>
  <c r="D30" i="32" s="1"/>
  <c r="E22" i="32"/>
  <c r="E30" i="32" s="1"/>
  <c r="F22" i="32"/>
  <c r="G22" i="32"/>
  <c r="G30" i="32" s="1"/>
  <c r="B22" i="32"/>
  <c r="B30" i="32" s="1"/>
  <c r="H22" i="32"/>
  <c r="H30" i="32"/>
  <c r="I22" i="32"/>
  <c r="I30" i="32" s="1"/>
  <c r="J22" i="32"/>
  <c r="J30" i="32"/>
  <c r="K22" i="32"/>
  <c r="K30" i="32" s="1"/>
  <c r="K82" i="32" s="1"/>
  <c r="G62" i="32"/>
  <c r="H62" i="32"/>
  <c r="L62" i="32" s="1"/>
  <c r="L28" i="33" s="1"/>
  <c r="M28" i="33" s="1"/>
  <c r="N28" i="33" s="1"/>
  <c r="O28" i="33" s="1"/>
  <c r="P28" i="33" s="1"/>
  <c r="J62" i="32"/>
  <c r="M62" i="32" s="1"/>
  <c r="K62" i="32"/>
  <c r="L20" i="33"/>
  <c r="K98" i="33"/>
  <c r="K100" i="33"/>
  <c r="K101" i="33" s="1"/>
  <c r="J98" i="33"/>
  <c r="J100" i="33" s="1"/>
  <c r="J101" i="33" s="1"/>
  <c r="I98" i="33"/>
  <c r="I99" i="33" s="1"/>
  <c r="I100" i="33"/>
  <c r="H98" i="33"/>
  <c r="H100" i="33"/>
  <c r="I101" i="33"/>
  <c r="G98" i="33"/>
  <c r="G100" i="33"/>
  <c r="H101" i="33"/>
  <c r="F98" i="33"/>
  <c r="F100" i="33" s="1"/>
  <c r="E98" i="33"/>
  <c r="E99" i="33" s="1"/>
  <c r="E100" i="33"/>
  <c r="E101" i="33" s="1"/>
  <c r="D98" i="33"/>
  <c r="D100" i="33"/>
  <c r="C98" i="33"/>
  <c r="C100" i="33"/>
  <c r="D101" i="33"/>
  <c r="B98" i="33"/>
  <c r="B100" i="33" s="1"/>
  <c r="C101" i="33" s="1"/>
  <c r="K99" i="33"/>
  <c r="J99" i="33"/>
  <c r="H99" i="33"/>
  <c r="F99" i="33"/>
  <c r="D99" i="33"/>
  <c r="C99" i="33"/>
  <c r="K81" i="33"/>
  <c r="J81" i="33"/>
  <c r="J83" i="33"/>
  <c r="I81" i="33"/>
  <c r="I83" i="33"/>
  <c r="J84" i="33"/>
  <c r="H81" i="33"/>
  <c r="H83" i="33" s="1"/>
  <c r="G81" i="33"/>
  <c r="G82" i="33" s="1"/>
  <c r="G83" i="33"/>
  <c r="G84" i="33" s="1"/>
  <c r="F81" i="33"/>
  <c r="F83" i="33"/>
  <c r="E81" i="33"/>
  <c r="E83" i="33"/>
  <c r="F84" i="33"/>
  <c r="D81" i="33"/>
  <c r="D83" i="33" s="1"/>
  <c r="C81" i="33"/>
  <c r="B81" i="33"/>
  <c r="B83" i="33"/>
  <c r="J82" i="33"/>
  <c r="I82" i="33"/>
  <c r="F82" i="33"/>
  <c r="E82" i="33"/>
  <c r="K87" i="32"/>
  <c r="H87" i="32"/>
  <c r="G87" i="32"/>
  <c r="F87" i="32"/>
  <c r="E87" i="32"/>
  <c r="D87" i="32"/>
  <c r="C87" i="32"/>
  <c r="I86" i="32"/>
  <c r="H86" i="32"/>
  <c r="G86" i="32"/>
  <c r="F86" i="32"/>
  <c r="E86" i="32"/>
  <c r="D86" i="32"/>
  <c r="C86" i="32"/>
  <c r="J85" i="32"/>
  <c r="G85" i="32"/>
  <c r="F85" i="32"/>
  <c r="E85" i="32"/>
  <c r="D85" i="32"/>
  <c r="C85" i="32"/>
  <c r="K84" i="32"/>
  <c r="J84" i="32"/>
  <c r="I84" i="32"/>
  <c r="H84" i="32"/>
  <c r="G84" i="32"/>
  <c r="F84" i="32"/>
  <c r="E84" i="32"/>
  <c r="D84" i="32"/>
  <c r="C84" i="32"/>
  <c r="K83" i="32"/>
  <c r="J83" i="32"/>
  <c r="I83" i="32"/>
  <c r="H83" i="32"/>
  <c r="G83" i="32"/>
  <c r="F83" i="32"/>
  <c r="E83" i="32"/>
  <c r="D83" i="32"/>
  <c r="C83" i="32"/>
  <c r="K79" i="32"/>
  <c r="J79" i="32"/>
  <c r="I79" i="32"/>
  <c r="H79" i="32"/>
  <c r="G79" i="32"/>
  <c r="F79" i="32"/>
  <c r="E79" i="32"/>
  <c r="D79" i="32"/>
  <c r="C79" i="32"/>
  <c r="K78" i="32"/>
  <c r="J78" i="32"/>
  <c r="I78" i="32"/>
  <c r="H78" i="32"/>
  <c r="G78" i="32"/>
  <c r="F78" i="32"/>
  <c r="E78" i="32"/>
  <c r="D78" i="32"/>
  <c r="C78" i="32"/>
  <c r="K77" i="32"/>
  <c r="J77" i="32"/>
  <c r="I77" i="32"/>
  <c r="H77" i="32"/>
  <c r="G77" i="32"/>
  <c r="F77" i="32"/>
  <c r="E77" i="32"/>
  <c r="D77" i="32"/>
  <c r="C77" i="32"/>
  <c r="K76" i="32"/>
  <c r="J76" i="32"/>
  <c r="I76" i="32"/>
  <c r="H76" i="32"/>
  <c r="G76" i="32"/>
  <c r="F76" i="32"/>
  <c r="E76" i="32"/>
  <c r="D76" i="32"/>
  <c r="C76" i="32"/>
  <c r="K75" i="32"/>
  <c r="J75" i="32"/>
  <c r="I75" i="32"/>
  <c r="H75" i="32"/>
  <c r="G75" i="32"/>
  <c r="F75" i="32"/>
  <c r="E75" i="32"/>
  <c r="D75" i="32"/>
  <c r="C75" i="32"/>
  <c r="K74" i="32"/>
  <c r="J74" i="32"/>
  <c r="I74" i="32"/>
  <c r="H74" i="32"/>
  <c r="G74" i="32"/>
  <c r="F74" i="32"/>
  <c r="E74" i="32"/>
  <c r="D74" i="32"/>
  <c r="C74" i="32"/>
  <c r="K71" i="32"/>
  <c r="J71" i="32"/>
  <c r="I71" i="32"/>
  <c r="H71" i="32"/>
  <c r="G71" i="32"/>
  <c r="I67" i="32"/>
  <c r="I66" i="32"/>
  <c r="N65" i="32"/>
  <c r="I65" i="32"/>
  <c r="N64" i="32"/>
  <c r="I64" i="32"/>
  <c r="N63" i="32"/>
  <c r="L63" i="32"/>
  <c r="I63" i="32"/>
  <c r="N62" i="32"/>
  <c r="I62" i="32"/>
  <c r="C43" i="32"/>
  <c r="C51" i="32" s="1"/>
  <c r="D43" i="32"/>
  <c r="E43" i="32"/>
  <c r="F43" i="32"/>
  <c r="G43" i="32"/>
  <c r="H43" i="32"/>
  <c r="I43" i="32"/>
  <c r="K43" i="32"/>
  <c r="C42" i="32"/>
  <c r="C50" i="32"/>
  <c r="D50" i="32" s="1"/>
  <c r="D42" i="32"/>
  <c r="E42" i="32"/>
  <c r="F42" i="32"/>
  <c r="G42" i="32"/>
  <c r="H42" i="32"/>
  <c r="I42" i="32"/>
  <c r="J42" i="32"/>
  <c r="K42" i="32"/>
  <c r="C41" i="32"/>
  <c r="C49" i="32"/>
  <c r="D49" i="32" s="1"/>
  <c r="D41" i="32"/>
  <c r="E41" i="32"/>
  <c r="F41" i="32"/>
  <c r="G41" i="32"/>
  <c r="I41" i="32"/>
  <c r="J41" i="32"/>
  <c r="K41" i="32"/>
  <c r="C40" i="32"/>
  <c r="C48" i="32"/>
  <c r="D48" i="32" s="1"/>
  <c r="D40" i="32"/>
  <c r="E40" i="32"/>
  <c r="F40" i="32"/>
  <c r="G40" i="32"/>
  <c r="H40" i="32"/>
  <c r="I40" i="32"/>
  <c r="J40" i="32"/>
  <c r="K40" i="32"/>
  <c r="C39" i="32"/>
  <c r="C47" i="32"/>
  <c r="D39" i="32"/>
  <c r="D47" i="32"/>
  <c r="E47" i="32" s="1"/>
  <c r="E39" i="32"/>
  <c r="F39" i="32"/>
  <c r="G39" i="32"/>
  <c r="H39" i="32"/>
  <c r="I39" i="32"/>
  <c r="J39" i="32"/>
  <c r="K39" i="32"/>
  <c r="C38" i="32"/>
  <c r="C46" i="32" s="1"/>
  <c r="D38" i="32"/>
  <c r="E38" i="32"/>
  <c r="H38" i="32"/>
  <c r="I38" i="32"/>
  <c r="J38" i="32"/>
  <c r="O16" i="32"/>
  <c r="Q15" i="32"/>
  <c r="O15" i="32"/>
  <c r="O14" i="32"/>
  <c r="Q13" i="32"/>
  <c r="P13" i="32"/>
  <c r="O13" i="32"/>
  <c r="Q12" i="32"/>
  <c r="P12" i="32"/>
  <c r="O12" i="32"/>
  <c r="O11" i="32"/>
  <c r="C26" i="21"/>
  <c r="D26" i="21"/>
  <c r="E26" i="21"/>
  <c r="F26" i="21"/>
  <c r="G26" i="21"/>
  <c r="H26" i="21"/>
  <c r="I26" i="21"/>
  <c r="J26" i="21"/>
  <c r="K26" i="21"/>
  <c r="B26" i="21"/>
  <c r="G3" i="1"/>
  <c r="M34" i="21"/>
  <c r="N34" i="21"/>
  <c r="O34" i="21"/>
  <c r="P34" i="21"/>
  <c r="M35" i="21"/>
  <c r="N35" i="21"/>
  <c r="O35" i="21"/>
  <c r="P35" i="21"/>
  <c r="L35" i="21"/>
  <c r="L34" i="2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14" i="21"/>
  <c r="C2" i="21"/>
  <c r="D2" i="21"/>
  <c r="E2" i="21"/>
  <c r="E13" i="21" s="1"/>
  <c r="F2" i="21"/>
  <c r="G2" i="21"/>
  <c r="H2" i="21"/>
  <c r="I2" i="21"/>
  <c r="I5" i="21" s="1"/>
  <c r="J2" i="21"/>
  <c r="K2" i="21"/>
  <c r="B2" i="21"/>
  <c r="H5" i="21"/>
  <c r="D5" i="21"/>
  <c r="G5" i="21"/>
  <c r="C5" i="21"/>
  <c r="K5" i="21"/>
  <c r="C2" i="19"/>
  <c r="D2" i="19"/>
  <c r="D1" i="21" s="1"/>
  <c r="D9" i="21" s="1"/>
  <c r="D17" i="21" s="1"/>
  <c r="D21" i="21" s="1"/>
  <c r="E2" i="19"/>
  <c r="F2" i="19"/>
  <c r="F1" i="21" s="1"/>
  <c r="G2" i="19"/>
  <c r="H2" i="19"/>
  <c r="H1" i="21" s="1"/>
  <c r="I2" i="19"/>
  <c r="I38" i="19" s="1"/>
  <c r="I39" i="19" s="1"/>
  <c r="J2" i="19"/>
  <c r="J1" i="21" s="1"/>
  <c r="K2" i="19"/>
  <c r="B2" i="19"/>
  <c r="B1" i="21" s="1"/>
  <c r="K7" i="21"/>
  <c r="K6" i="21"/>
  <c r="J37" i="21"/>
  <c r="B37" i="21"/>
  <c r="K27" i="19"/>
  <c r="K27" i="21"/>
  <c r="J27" i="19"/>
  <c r="J27" i="21"/>
  <c r="I27" i="19"/>
  <c r="I27" i="21"/>
  <c r="H27" i="19"/>
  <c r="H27" i="21"/>
  <c r="G27" i="19"/>
  <c r="G27" i="21"/>
  <c r="F27" i="19"/>
  <c r="F27" i="21"/>
  <c r="E27" i="19"/>
  <c r="E27" i="21"/>
  <c r="D27" i="19"/>
  <c r="D27" i="21"/>
  <c r="C27" i="19"/>
  <c r="C27" i="21"/>
  <c r="B27" i="19"/>
  <c r="B27" i="21"/>
  <c r="K19" i="19"/>
  <c r="K28" i="19"/>
  <c r="J19" i="19"/>
  <c r="J28" i="19"/>
  <c r="I19" i="19"/>
  <c r="H19" i="19"/>
  <c r="H28" i="19" s="1"/>
  <c r="G19" i="19"/>
  <c r="G28" i="19"/>
  <c r="F19" i="19"/>
  <c r="F28" i="19"/>
  <c r="F19" i="21" s="1"/>
  <c r="E19" i="19"/>
  <c r="D19" i="19"/>
  <c r="D28" i="19" s="1"/>
  <c r="C19" i="19"/>
  <c r="C28" i="19"/>
  <c r="B19" i="19"/>
  <c r="B28" i="19"/>
  <c r="B19" i="21" s="1"/>
  <c r="H17" i="19"/>
  <c r="D17" i="19"/>
  <c r="K11" i="19"/>
  <c r="K10" i="21"/>
  <c r="K18" i="21" s="1"/>
  <c r="J11" i="19"/>
  <c r="I11" i="19"/>
  <c r="H11" i="19"/>
  <c r="I13" i="19" s="1"/>
  <c r="I41" i="19" s="1"/>
  <c r="G11" i="19"/>
  <c r="G10" i="21"/>
  <c r="G13" i="21" s="1"/>
  <c r="F11" i="19"/>
  <c r="J15" i="19" s="1"/>
  <c r="J45" i="19" s="1"/>
  <c r="E11" i="19"/>
  <c r="D11" i="19"/>
  <c r="D10" i="21" s="1"/>
  <c r="D18" i="21" s="1"/>
  <c r="C11" i="19"/>
  <c r="C10" i="21"/>
  <c r="C38" i="21" s="1"/>
  <c r="B11" i="19"/>
  <c r="K6" i="19"/>
  <c r="J6" i="19"/>
  <c r="I6" i="19"/>
  <c r="H6" i="19"/>
  <c r="G6" i="19"/>
  <c r="K5" i="19"/>
  <c r="J5" i="19"/>
  <c r="I5" i="19"/>
  <c r="H5" i="19"/>
  <c r="G5" i="19"/>
  <c r="F5" i="19"/>
  <c r="E5" i="19"/>
  <c r="K4" i="19"/>
  <c r="J4" i="19"/>
  <c r="I4" i="19"/>
  <c r="H4" i="19"/>
  <c r="G4" i="19"/>
  <c r="F4" i="19"/>
  <c r="E4" i="19"/>
  <c r="D4" i="19"/>
  <c r="C4" i="19"/>
  <c r="J38" i="19"/>
  <c r="J39" i="19" s="1"/>
  <c r="H31" i="19"/>
  <c r="F38" i="19"/>
  <c r="F39" i="19"/>
  <c r="D31" i="19"/>
  <c r="B38" i="19"/>
  <c r="B39" i="19" s="1"/>
  <c r="D22" i="21"/>
  <c r="E22" i="21"/>
  <c r="E28" i="19"/>
  <c r="E32" i="19"/>
  <c r="E30" i="21" s="1"/>
  <c r="E33" i="21" s="1"/>
  <c r="I22" i="21"/>
  <c r="I28" i="19"/>
  <c r="B22" i="21"/>
  <c r="F22" i="21"/>
  <c r="J19" i="21"/>
  <c r="J22" i="21"/>
  <c r="C18" i="21"/>
  <c r="G18" i="21"/>
  <c r="C19" i="21"/>
  <c r="C22" i="21"/>
  <c r="G19" i="21"/>
  <c r="G22" i="21"/>
  <c r="K19" i="21"/>
  <c r="K22" i="21"/>
  <c r="D13" i="21"/>
  <c r="G12" i="19"/>
  <c r="E10" i="21"/>
  <c r="E38" i="21"/>
  <c r="I10" i="21"/>
  <c r="I38" i="21"/>
  <c r="K12" i="19"/>
  <c r="B12" i="19"/>
  <c r="F12" i="19"/>
  <c r="J10" i="21"/>
  <c r="J38" i="21" s="1"/>
  <c r="H19" i="21"/>
  <c r="C12" i="19"/>
  <c r="F13" i="19"/>
  <c r="F41" i="19" s="1"/>
  <c r="D8" i="19"/>
  <c r="H8" i="19"/>
  <c r="D12" i="19"/>
  <c r="H12" i="19"/>
  <c r="C13" i="19"/>
  <c r="C41" i="19" s="1"/>
  <c r="K13" i="19"/>
  <c r="K41" i="19" s="1"/>
  <c r="E17" i="19"/>
  <c r="K31" i="19"/>
  <c r="D38" i="19"/>
  <c r="D39" i="19"/>
  <c r="H38" i="19"/>
  <c r="H39" i="19" s="1"/>
  <c r="E14" i="19"/>
  <c r="E43" i="19" s="1"/>
  <c r="H15" i="19"/>
  <c r="H45" i="19" s="1"/>
  <c r="B17" i="19"/>
  <c r="F17" i="19"/>
  <c r="J17" i="19"/>
  <c r="E38" i="19"/>
  <c r="E39" i="19" s="1"/>
  <c r="B31" i="19"/>
  <c r="F31" i="19"/>
  <c r="J31" i="19"/>
  <c r="E12" i="19"/>
  <c r="I12" i="19"/>
  <c r="D13" i="19"/>
  <c r="D41" i="19" s="1"/>
  <c r="H13" i="19"/>
  <c r="H41" i="19" s="1"/>
  <c r="B8" i="19"/>
  <c r="F8" i="19"/>
  <c r="J8" i="19"/>
  <c r="E13" i="19"/>
  <c r="E41" i="19"/>
  <c r="H7" i="17"/>
  <c r="H11" i="17"/>
  <c r="E11" i="17" s="1"/>
  <c r="H9" i="17"/>
  <c r="G9" i="17"/>
  <c r="G7" i="17"/>
  <c r="G11" i="17"/>
  <c r="G6" i="17"/>
  <c r="G10" i="17"/>
  <c r="G8" i="17"/>
  <c r="G12" i="17"/>
  <c r="G5" i="17"/>
  <c r="H5" i="17"/>
  <c r="C2" i="1"/>
  <c r="H6" i="17"/>
  <c r="H8" i="17"/>
  <c r="H10" i="17"/>
  <c r="H12" i="17"/>
  <c r="J7" i="17"/>
  <c r="J8" i="17" s="1"/>
  <c r="J9" i="17" s="1"/>
  <c r="J10" i="17" s="1"/>
  <c r="J11" i="17" s="1"/>
  <c r="J12" i="17" s="1"/>
  <c r="J13" i="17" s="1"/>
  <c r="G29" i="19"/>
  <c r="G32" i="19"/>
  <c r="G33" i="19" s="1"/>
  <c r="C32" i="19"/>
  <c r="J32" i="19"/>
  <c r="K29" i="19"/>
  <c r="K32" i="19"/>
  <c r="H32" i="19"/>
  <c r="C29" i="19"/>
  <c r="J29" i="19"/>
  <c r="I29" i="19"/>
  <c r="I19" i="21"/>
  <c r="E29" i="19"/>
  <c r="E19" i="21"/>
  <c r="I32" i="19"/>
  <c r="H29" i="19"/>
  <c r="D29" i="19"/>
  <c r="D19" i="21"/>
  <c r="J13" i="21"/>
  <c r="E18" i="21"/>
  <c r="I13" i="21"/>
  <c r="I18" i="21"/>
  <c r="D32" i="19"/>
  <c r="I40" i="19"/>
  <c r="E9" i="17"/>
  <c r="G30" i="21"/>
  <c r="G33" i="21" s="1"/>
  <c r="D30" i="21"/>
  <c r="D33" i="21" s="1"/>
  <c r="J14" i="17"/>
  <c r="J15" i="17" s="1"/>
  <c r="J16" i="17" s="1"/>
  <c r="J17" i="17" s="1"/>
  <c r="J18" i="17" s="1"/>
  <c r="J19" i="17" s="1"/>
  <c r="J20" i="17" s="1"/>
  <c r="J21" i="17" s="1"/>
  <c r="J22" i="17" s="1"/>
  <c r="J23" i="17" s="1"/>
  <c r="J24" i="17" s="1"/>
  <c r="J25" i="17" s="1"/>
  <c r="J26" i="17" s="1"/>
  <c r="J27" i="17" s="1"/>
  <c r="J28" i="17" s="1"/>
  <c r="J29" i="17" s="1"/>
  <c r="J30" i="17" s="1"/>
  <c r="J31" i="17" s="1"/>
  <c r="J32" i="17" s="1"/>
  <c r="J33" i="17" s="1"/>
  <c r="J34" i="17" s="1"/>
  <c r="J35" i="17" s="1"/>
  <c r="J36" i="17" s="1"/>
  <c r="J37" i="17" s="1"/>
  <c r="J38" i="17" s="1"/>
  <c r="J39" i="17" s="1"/>
  <c r="J40" i="17" s="1"/>
  <c r="J41" i="17" s="1"/>
  <c r="J42" i="17" s="1"/>
  <c r="J43" i="17" s="1"/>
  <c r="J44" i="17" s="1"/>
  <c r="J45" i="17" s="1"/>
  <c r="J46" i="17" s="1"/>
  <c r="J47" i="17" s="1"/>
  <c r="J48" i="17" s="1"/>
  <c r="J49" i="17" s="1"/>
  <c r="J50" i="17" s="1"/>
  <c r="J51" i="17" s="1"/>
  <c r="J52" i="17" s="1"/>
  <c r="J53" i="17" s="1"/>
  <c r="J54" i="17" s="1"/>
  <c r="J55" i="17" s="1"/>
  <c r="B51" i="1"/>
  <c r="B45" i="1"/>
  <c r="B46" i="1"/>
  <c r="C25" i="1"/>
  <c r="C42" i="1"/>
  <c r="D25" i="1"/>
  <c r="D42" i="1"/>
  <c r="E25" i="1"/>
  <c r="E42" i="1"/>
  <c r="F25" i="1"/>
  <c r="B47" i="1"/>
  <c r="B25" i="1"/>
  <c r="B42" i="1" s="1"/>
  <c r="B37" i="1"/>
  <c r="B38" i="1"/>
  <c r="B36" i="1"/>
  <c r="I11" i="1"/>
  <c r="D18" i="1"/>
  <c r="F107" i="1" s="1"/>
  <c r="D17" i="1"/>
  <c r="E21" i="1"/>
  <c r="F42" i="1"/>
  <c r="F140" i="1" l="1"/>
  <c r="F96" i="1"/>
  <c r="H33" i="19"/>
  <c r="H30" i="21"/>
  <c r="H33" i="21" s="1"/>
  <c r="H34" i="19"/>
  <c r="J35" i="19"/>
  <c r="C33" i="19"/>
  <c r="C30" i="21"/>
  <c r="C33" i="21" s="1"/>
  <c r="I34" i="19"/>
  <c r="I30" i="21"/>
  <c r="I33" i="21" s="1"/>
  <c r="I33" i="19"/>
  <c r="K30" i="21"/>
  <c r="K33" i="21" s="1"/>
  <c r="K34" i="19"/>
  <c r="J40" i="19"/>
  <c r="F129" i="1"/>
  <c r="B53" i="1"/>
  <c r="F85" i="1"/>
  <c r="F63" i="1"/>
  <c r="F74" i="1"/>
  <c r="F118" i="1"/>
  <c r="B48" i="1"/>
  <c r="K33" i="19"/>
  <c r="H44" i="19"/>
  <c r="B52" i="1"/>
  <c r="B54" i="1" s="1"/>
  <c r="K35" i="19"/>
  <c r="D34" i="19"/>
  <c r="J34" i="19"/>
  <c r="J30" i="21"/>
  <c r="J33" i="21" s="1"/>
  <c r="J33" i="19"/>
  <c r="E40" i="19"/>
  <c r="G42" i="19"/>
  <c r="F40" i="19"/>
  <c r="I40" i="21"/>
  <c r="F29" i="19"/>
  <c r="G15" i="19"/>
  <c r="G45" i="19" s="1"/>
  <c r="B10" i="21"/>
  <c r="B32" i="19"/>
  <c r="J12" i="19"/>
  <c r="J13" i="19"/>
  <c r="J41" i="19" s="1"/>
  <c r="J40" i="21" s="1"/>
  <c r="K14" i="19"/>
  <c r="K43" i="19" s="1"/>
  <c r="J14" i="19"/>
  <c r="J43" i="19" s="1"/>
  <c r="K1" i="21"/>
  <c r="K38" i="19"/>
  <c r="K39" i="19" s="1"/>
  <c r="K40" i="19" s="1"/>
  <c r="K8" i="19"/>
  <c r="K17" i="19"/>
  <c r="G1" i="21"/>
  <c r="G38" i="19"/>
  <c r="G39" i="19" s="1"/>
  <c r="J42" i="19" s="1"/>
  <c r="G8" i="19"/>
  <c r="G31" i="19"/>
  <c r="C1" i="21"/>
  <c r="C38" i="19"/>
  <c r="C39" i="19" s="1"/>
  <c r="D40" i="19" s="1"/>
  <c r="C8" i="19"/>
  <c r="C17" i="19"/>
  <c r="H33" i="32"/>
  <c r="J57" i="32" s="1"/>
  <c r="H41" i="32"/>
  <c r="Q14" i="32"/>
  <c r="L66" i="32"/>
  <c r="L32" i="33" s="1"/>
  <c r="M66" i="32"/>
  <c r="L24" i="33" s="1"/>
  <c r="N66" i="32"/>
  <c r="K86" i="32"/>
  <c r="P15" i="32"/>
  <c r="J86" i="32"/>
  <c r="M95" i="33"/>
  <c r="L152" i="33"/>
  <c r="L155" i="33" s="1"/>
  <c r="K156" i="33"/>
  <c r="D33" i="19"/>
  <c r="E33" i="19"/>
  <c r="B29" i="19"/>
  <c r="E8" i="17"/>
  <c r="E7" i="17"/>
  <c r="E6" i="17"/>
  <c r="C31" i="19"/>
  <c r="H14" i="19"/>
  <c r="H43" i="19" s="1"/>
  <c r="H22" i="21"/>
  <c r="J29" i="21"/>
  <c r="J9" i="21"/>
  <c r="J17" i="21" s="1"/>
  <c r="J21" i="21" s="1"/>
  <c r="F29" i="21"/>
  <c r="F37" i="21"/>
  <c r="F9" i="21"/>
  <c r="F17" i="21" s="1"/>
  <c r="F21" i="21" s="1"/>
  <c r="J5" i="21"/>
  <c r="M20" i="33"/>
  <c r="N20" i="33" s="1"/>
  <c r="O20" i="33" s="1"/>
  <c r="P20" i="33" s="1"/>
  <c r="L4" i="33"/>
  <c r="I124" i="33"/>
  <c r="K142" i="33"/>
  <c r="K143" i="33" s="1"/>
  <c r="K144" i="33" s="1"/>
  <c r="J142" i="33"/>
  <c r="I15" i="19"/>
  <c r="I45" i="19" s="1"/>
  <c r="F14" i="19"/>
  <c r="F43" i="19" s="1"/>
  <c r="F10" i="21"/>
  <c r="G14" i="19"/>
  <c r="G43" i="19" s="1"/>
  <c r="I1" i="21"/>
  <c r="I17" i="19"/>
  <c r="I8" i="19"/>
  <c r="I31" i="19"/>
  <c r="F5" i="21"/>
  <c r="E5" i="21"/>
  <c r="M31" i="33"/>
  <c r="N31" i="33" s="1"/>
  <c r="O31" i="33" s="1"/>
  <c r="P31" i="33" s="1"/>
  <c r="L15" i="33"/>
  <c r="E1" i="21"/>
  <c r="E31" i="19"/>
  <c r="F30" i="32"/>
  <c r="G82" i="32" s="1"/>
  <c r="F38" i="32"/>
  <c r="E34" i="19"/>
  <c r="J18" i="21"/>
  <c r="F32" i="19"/>
  <c r="G36" i="19" s="1"/>
  <c r="I14" i="19"/>
  <c r="I43" i="19" s="1"/>
  <c r="K15" i="19"/>
  <c r="K45" i="19" s="1"/>
  <c r="G13" i="19"/>
  <c r="G41" i="19" s="1"/>
  <c r="G17" i="19"/>
  <c r="E8" i="19"/>
  <c r="D38" i="21"/>
  <c r="B29" i="21"/>
  <c r="B9" i="21"/>
  <c r="B17" i="21" s="1"/>
  <c r="B21" i="21" s="1"/>
  <c r="H29" i="21"/>
  <c r="H37" i="21"/>
  <c r="H9" i="21"/>
  <c r="H17" i="21" s="1"/>
  <c r="H21" i="21" s="1"/>
  <c r="D37" i="21"/>
  <c r="D29" i="21"/>
  <c r="Q11" i="32"/>
  <c r="K38" i="32"/>
  <c r="G38" i="32"/>
  <c r="C83" i="33"/>
  <c r="C84" i="33" s="1"/>
  <c r="D82" i="33"/>
  <c r="C82" i="33"/>
  <c r="M21" i="33"/>
  <c r="N21" i="33" s="1"/>
  <c r="O21" i="33" s="1"/>
  <c r="P21" i="33" s="1"/>
  <c r="L5" i="33"/>
  <c r="L7" i="33"/>
  <c r="M23" i="33"/>
  <c r="N23" i="33" s="1"/>
  <c r="O23" i="33" s="1"/>
  <c r="P23" i="33" s="1"/>
  <c r="G138" i="33"/>
  <c r="I138" i="33"/>
  <c r="H138" i="33"/>
  <c r="L17" i="33"/>
  <c r="M33" i="33"/>
  <c r="N33" i="33" s="1"/>
  <c r="O33" i="33" s="1"/>
  <c r="P33" i="33" s="1"/>
  <c r="M67" i="32"/>
  <c r="L25" i="33" s="1"/>
  <c r="N67" i="32"/>
  <c r="I35" i="32"/>
  <c r="J43" i="32"/>
  <c r="Q16" i="32"/>
  <c r="K13" i="21"/>
  <c r="C13" i="21"/>
  <c r="G38" i="21"/>
  <c r="H10" i="21"/>
  <c r="K38" i="21"/>
  <c r="H82" i="33"/>
  <c r="E84" i="33"/>
  <c r="D84" i="33"/>
  <c r="K83" i="33"/>
  <c r="K84" i="33" s="1"/>
  <c r="K82" i="33"/>
  <c r="G99" i="33"/>
  <c r="K107" i="33"/>
  <c r="K108" i="33" s="1"/>
  <c r="K109" i="33" s="1"/>
  <c r="J107" i="33"/>
  <c r="J121" i="33"/>
  <c r="I121" i="33"/>
  <c r="G121" i="33"/>
  <c r="J124" i="33" s="1"/>
  <c r="H145" i="33"/>
  <c r="M19" i="32"/>
  <c r="L94" i="33" s="1"/>
  <c r="L19" i="32"/>
  <c r="L77" i="33" s="1"/>
  <c r="G156" i="33"/>
  <c r="I84" i="33"/>
  <c r="H84" i="33"/>
  <c r="G101" i="33"/>
  <c r="F101" i="33"/>
  <c r="J110" i="33"/>
  <c r="F114" i="33"/>
  <c r="I117" i="33" s="1"/>
  <c r="J138" i="33"/>
  <c r="K138" i="33"/>
  <c r="G145" i="33"/>
  <c r="I142" i="33"/>
  <c r="H142" i="33"/>
  <c r="O78" i="33"/>
  <c r="L12" i="33"/>
  <c r="M12" i="33" s="1"/>
  <c r="N12" i="33" s="1"/>
  <c r="O12" i="33" s="1"/>
  <c r="P12" i="33" s="1"/>
  <c r="H110" i="33"/>
  <c r="I107" i="33"/>
  <c r="H107" i="33"/>
  <c r="K110" i="33" s="1"/>
  <c r="J114" i="33"/>
  <c r="I114" i="33"/>
  <c r="G114" i="33"/>
  <c r="M64" i="32"/>
  <c r="L22" i="33" s="1"/>
  <c r="G124" i="33"/>
  <c r="J128" i="33"/>
  <c r="I128" i="33"/>
  <c r="J131" i="33" s="1"/>
  <c r="G128" i="33"/>
  <c r="G131" i="33" s="1"/>
  <c r="I145" i="33"/>
  <c r="H156" i="33"/>
  <c r="L64" i="32"/>
  <c r="L30" i="33" s="1"/>
  <c r="J153" i="33"/>
  <c r="J156" i="33" s="1"/>
  <c r="M151" i="33"/>
  <c r="E10" i="17"/>
  <c r="E5" i="17"/>
  <c r="E12" i="17"/>
  <c r="J82" i="32"/>
  <c r="I82" i="32"/>
  <c r="H82" i="32"/>
  <c r="C82" i="32"/>
  <c r="E49" i="32"/>
  <c r="F49" i="32" s="1"/>
  <c r="G49" i="32" s="1"/>
  <c r="H49" i="32" s="1"/>
  <c r="I49" i="32" s="1"/>
  <c r="J49" i="32" s="1"/>
  <c r="K49" i="32" s="1"/>
  <c r="D51" i="32"/>
  <c r="E51" i="32" s="1"/>
  <c r="F51" i="32" s="1"/>
  <c r="G51" i="32" s="1"/>
  <c r="H51" i="32" s="1"/>
  <c r="I51" i="32" s="1"/>
  <c r="J51" i="32" s="1"/>
  <c r="K51" i="32" s="1"/>
  <c r="E82" i="32"/>
  <c r="D46" i="32"/>
  <c r="E46" i="32" s="1"/>
  <c r="F46" i="32" s="1"/>
  <c r="F47" i="32"/>
  <c r="G47" i="32" s="1"/>
  <c r="H47" i="32" s="1"/>
  <c r="I47" i="32" s="1"/>
  <c r="J47" i="32" s="1"/>
  <c r="K47" i="32" s="1"/>
  <c r="E48" i="32"/>
  <c r="F48" i="32" s="1"/>
  <c r="G48" i="32" s="1"/>
  <c r="H48" i="32" s="1"/>
  <c r="I48" i="32" s="1"/>
  <c r="J48" i="32" s="1"/>
  <c r="K48" i="32" s="1"/>
  <c r="E50" i="32"/>
  <c r="F50" i="32" s="1"/>
  <c r="G50" i="32" s="1"/>
  <c r="H50" i="32" s="1"/>
  <c r="I50" i="32" s="1"/>
  <c r="J50" i="32" s="1"/>
  <c r="K50" i="32" s="1"/>
  <c r="D82" i="32"/>
  <c r="H55" i="32"/>
  <c r="H57" i="32"/>
  <c r="J58" i="32"/>
  <c r="I58" i="32"/>
  <c r="G59" i="32"/>
  <c r="K55" i="32"/>
  <c r="G55" i="32"/>
  <c r="K56" i="32"/>
  <c r="G57" i="32"/>
  <c r="I59" i="32"/>
  <c r="H59" i="32"/>
  <c r="M94" i="33"/>
  <c r="L148" i="33"/>
  <c r="J55" i="32"/>
  <c r="J56" i="32"/>
  <c r="G56" i="32"/>
  <c r="I57" i="32"/>
  <c r="K59" i="32"/>
  <c r="I55" i="32"/>
  <c r="I56" i="32"/>
  <c r="H56" i="32"/>
  <c r="K58" i="32"/>
  <c r="H58" i="32"/>
  <c r="G58" i="32"/>
  <c r="J59" i="32"/>
  <c r="M77" i="33"/>
  <c r="L147" i="33"/>
  <c r="D40" i="21" l="1"/>
  <c r="H41" i="21"/>
  <c r="F35" i="19"/>
  <c r="C37" i="21"/>
  <c r="C9" i="21"/>
  <c r="C17" i="21" s="1"/>
  <c r="C21" i="21" s="1"/>
  <c r="C29" i="21"/>
  <c r="M22" i="33"/>
  <c r="N22" i="33" s="1"/>
  <c r="O22" i="33" s="1"/>
  <c r="P22" i="33" s="1"/>
  <c r="L6" i="33"/>
  <c r="M6" i="33" s="1"/>
  <c r="N6" i="33" s="1"/>
  <c r="O6" i="33" s="1"/>
  <c r="P6" i="33" s="1"/>
  <c r="O151" i="33"/>
  <c r="O154" i="33" s="1"/>
  <c r="P78" i="33"/>
  <c r="P151" i="33" s="1"/>
  <c r="P154" i="33" s="1"/>
  <c r="J87" i="32"/>
  <c r="I87" i="32"/>
  <c r="P16" i="32"/>
  <c r="M17" i="33"/>
  <c r="N17" i="33" s="1"/>
  <c r="O17" i="33" s="1"/>
  <c r="P17" i="33" s="1"/>
  <c r="H117" i="33"/>
  <c r="I37" i="21"/>
  <c r="I29" i="21"/>
  <c r="I9" i="21"/>
  <c r="I17" i="21" s="1"/>
  <c r="I21" i="21" s="1"/>
  <c r="I36" i="19"/>
  <c r="M32" i="33"/>
  <c r="N32" i="33" s="1"/>
  <c r="O32" i="33" s="1"/>
  <c r="P32" i="33" s="1"/>
  <c r="L16" i="33"/>
  <c r="M16" i="33" s="1"/>
  <c r="N16" i="33" s="1"/>
  <c r="O16" i="33" s="1"/>
  <c r="P16" i="33" s="1"/>
  <c r="J41" i="21"/>
  <c r="B33" i="19"/>
  <c r="B30" i="21"/>
  <c r="B33" i="21" s="1"/>
  <c r="E40" i="21"/>
  <c r="F42" i="19"/>
  <c r="K42" i="19"/>
  <c r="K34" i="21"/>
  <c r="K35" i="21"/>
  <c r="L14" i="33"/>
  <c r="M14" i="33" s="1"/>
  <c r="N14" i="33" s="1"/>
  <c r="O14" i="33" s="1"/>
  <c r="P14" i="33" s="1"/>
  <c r="M30" i="33"/>
  <c r="N30" i="33" s="1"/>
  <c r="O30" i="33" s="1"/>
  <c r="P30" i="33" s="1"/>
  <c r="L8" i="33"/>
  <c r="M8" i="33" s="1"/>
  <c r="N8" i="33" s="1"/>
  <c r="O8" i="33" s="1"/>
  <c r="P8" i="33" s="1"/>
  <c r="M24" i="33"/>
  <c r="N24" i="33" s="1"/>
  <c r="O24" i="33" s="1"/>
  <c r="P24" i="33" s="1"/>
  <c r="G9" i="21"/>
  <c r="G17" i="21" s="1"/>
  <c r="G21" i="21" s="1"/>
  <c r="G29" i="21"/>
  <c r="G37" i="21"/>
  <c r="I35" i="19"/>
  <c r="J54" i="32"/>
  <c r="G54" i="32"/>
  <c r="N54" i="32" s="1"/>
  <c r="L61" i="33" s="1"/>
  <c r="K54" i="32"/>
  <c r="M54" i="32" s="1"/>
  <c r="L53" i="33" s="1"/>
  <c r="M154" i="33"/>
  <c r="N154" i="33"/>
  <c r="K117" i="33"/>
  <c r="J145" i="33"/>
  <c r="K145" i="33"/>
  <c r="K124" i="33"/>
  <c r="K14" i="21"/>
  <c r="K15" i="21"/>
  <c r="M7" i="33"/>
  <c r="N7" i="33" s="1"/>
  <c r="O7" i="33" s="1"/>
  <c r="P7" i="33" s="1"/>
  <c r="E9" i="21"/>
  <c r="E17" i="21" s="1"/>
  <c r="E21" i="21" s="1"/>
  <c r="E37" i="21"/>
  <c r="E29" i="21"/>
  <c r="G41" i="21"/>
  <c r="H124" i="33"/>
  <c r="K36" i="19"/>
  <c r="K41" i="21"/>
  <c r="B38" i="21"/>
  <c r="B39" i="21" s="1"/>
  <c r="B18" i="21"/>
  <c r="B13" i="21"/>
  <c r="C34" i="19"/>
  <c r="H35" i="19"/>
  <c r="F30" i="21"/>
  <c r="F33" i="21" s="1"/>
  <c r="F33" i="19"/>
  <c r="J36" i="19"/>
  <c r="F34" i="19"/>
  <c r="G34" i="19"/>
  <c r="F41" i="21"/>
  <c r="K57" i="32"/>
  <c r="H85" i="32"/>
  <c r="P14" i="32"/>
  <c r="I85" i="32"/>
  <c r="K29" i="21"/>
  <c r="K37" i="21"/>
  <c r="L1" i="21"/>
  <c r="K9" i="21"/>
  <c r="K17" i="21" s="1"/>
  <c r="K21" i="21" s="1"/>
  <c r="H36" i="19"/>
  <c r="I54" i="32"/>
  <c r="H54" i="32"/>
  <c r="G46" i="32"/>
  <c r="H46" i="32" s="1"/>
  <c r="I46" i="32" s="1"/>
  <c r="J46" i="32" s="1"/>
  <c r="K46" i="32" s="1"/>
  <c r="F82" i="32"/>
  <c r="P11" i="32"/>
  <c r="K131" i="33"/>
  <c r="I131" i="33"/>
  <c r="H131" i="33"/>
  <c r="J117" i="33"/>
  <c r="I110" i="33"/>
  <c r="H18" i="21"/>
  <c r="H38" i="21"/>
  <c r="H13" i="21"/>
  <c r="L9" i="33"/>
  <c r="M25" i="33"/>
  <c r="N25" i="33" s="1"/>
  <c r="O25" i="33" s="1"/>
  <c r="P25" i="33" s="1"/>
  <c r="M5" i="33"/>
  <c r="N5" i="33" s="1"/>
  <c r="O5" i="33" s="1"/>
  <c r="P5" i="33" s="1"/>
  <c r="M15" i="33"/>
  <c r="N15" i="33" s="1"/>
  <c r="O15" i="33" s="1"/>
  <c r="P15" i="33" s="1"/>
  <c r="G117" i="33"/>
  <c r="F38" i="21"/>
  <c r="F18" i="21"/>
  <c r="F13" i="21"/>
  <c r="M4" i="33"/>
  <c r="N4" i="33" s="1"/>
  <c r="O4" i="33" s="1"/>
  <c r="P4" i="33" s="1"/>
  <c r="G35" i="19"/>
  <c r="M152" i="33"/>
  <c r="M155" i="33" s="1"/>
  <c r="N95" i="33"/>
  <c r="C40" i="19"/>
  <c r="G44" i="19"/>
  <c r="E42" i="19"/>
  <c r="E41" i="21" s="1"/>
  <c r="G40" i="19"/>
  <c r="G40" i="21" s="1"/>
  <c r="J44" i="19"/>
  <c r="K44" i="19"/>
  <c r="H42" i="19"/>
  <c r="I42" i="19"/>
  <c r="I41" i="21" s="1"/>
  <c r="H40" i="19"/>
  <c r="I44" i="19"/>
  <c r="K40" i="21"/>
  <c r="F40" i="21"/>
  <c r="E35" i="19"/>
  <c r="M57" i="32"/>
  <c r="L56" i="33" s="1"/>
  <c r="N57" i="32"/>
  <c r="L64" i="33" s="1"/>
  <c r="L57" i="32"/>
  <c r="L54" i="32"/>
  <c r="M58" i="32"/>
  <c r="L57" i="33" s="1"/>
  <c r="N58" i="32"/>
  <c r="L65" i="33" s="1"/>
  <c r="L58" i="32"/>
  <c r="N56" i="32"/>
  <c r="L63" i="33" s="1"/>
  <c r="M56" i="32"/>
  <c r="L55" i="33" s="1"/>
  <c r="L56" i="32"/>
  <c r="M148" i="33"/>
  <c r="N94" i="33"/>
  <c r="N59" i="32"/>
  <c r="L66" i="33" s="1"/>
  <c r="M59" i="32"/>
  <c r="L58" i="33" s="1"/>
  <c r="L59" i="32"/>
  <c r="M50" i="32"/>
  <c r="M47" i="32"/>
  <c r="M51" i="32"/>
  <c r="M48" i="32"/>
  <c r="M49" i="32"/>
  <c r="M147" i="33"/>
  <c r="N77" i="33"/>
  <c r="N55" i="32"/>
  <c r="L62" i="33" s="1"/>
  <c r="M55" i="32"/>
  <c r="L54" i="33" s="1"/>
  <c r="L55" i="32"/>
  <c r="H40" i="21" l="1"/>
  <c r="M46" i="32"/>
  <c r="C39" i="21"/>
  <c r="D39" i="21" s="1"/>
  <c r="E39" i="21" s="1"/>
  <c r="F39" i="21" s="1"/>
  <c r="G39" i="21" s="1"/>
  <c r="H39" i="21" s="1"/>
  <c r="I39" i="21" s="1"/>
  <c r="J39" i="21" s="1"/>
  <c r="K39" i="21" s="1"/>
  <c r="C40" i="21"/>
  <c r="O95" i="33"/>
  <c r="N152" i="33"/>
  <c r="N155" i="33" s="1"/>
  <c r="M9" i="33"/>
  <c r="N9" i="33" s="1"/>
  <c r="O9" i="33" s="1"/>
  <c r="P9" i="33" s="1"/>
  <c r="L29" i="21"/>
  <c r="M1" i="21"/>
  <c r="L9" i="21"/>
  <c r="O77" i="33"/>
  <c r="N147" i="33"/>
  <c r="L42" i="33"/>
  <c r="M58" i="33"/>
  <c r="N58" i="33" s="1"/>
  <c r="O58" i="33" s="1"/>
  <c r="P58" i="33" s="1"/>
  <c r="L49" i="33"/>
  <c r="M65" i="33"/>
  <c r="N65" i="33" s="1"/>
  <c r="O65" i="33" s="1"/>
  <c r="P65" i="33" s="1"/>
  <c r="M53" i="33"/>
  <c r="N53" i="33" s="1"/>
  <c r="O53" i="33" s="1"/>
  <c r="P53" i="33" s="1"/>
  <c r="L37" i="33"/>
  <c r="M66" i="33"/>
  <c r="N66" i="33" s="1"/>
  <c r="O66" i="33" s="1"/>
  <c r="P66" i="33" s="1"/>
  <c r="L50" i="33"/>
  <c r="L39" i="33"/>
  <c r="M55" i="33"/>
  <c r="N55" i="33" s="1"/>
  <c r="O55" i="33" s="1"/>
  <c r="P55" i="33" s="1"/>
  <c r="L41" i="33"/>
  <c r="M57" i="33"/>
  <c r="N57" i="33" s="1"/>
  <c r="O57" i="33" s="1"/>
  <c r="P57" i="33" s="1"/>
  <c r="L38" i="33"/>
  <c r="M54" i="33"/>
  <c r="N54" i="33" s="1"/>
  <c r="O54" i="33" s="1"/>
  <c r="P54" i="33" s="1"/>
  <c r="O94" i="33"/>
  <c r="N148" i="33"/>
  <c r="L47" i="33"/>
  <c r="M63" i="33"/>
  <c r="N63" i="33" s="1"/>
  <c r="O63" i="33" s="1"/>
  <c r="P63" i="33" s="1"/>
  <c r="L45" i="33"/>
  <c r="M61" i="33"/>
  <c r="N61" i="33" s="1"/>
  <c r="O61" i="33" s="1"/>
  <c r="P61" i="33" s="1"/>
  <c r="L48" i="33"/>
  <c r="M64" i="33"/>
  <c r="N64" i="33" s="1"/>
  <c r="O64" i="33" s="1"/>
  <c r="P64" i="33" s="1"/>
  <c r="L46" i="33"/>
  <c r="M62" i="33"/>
  <c r="N62" i="33" s="1"/>
  <c r="O62" i="33" s="1"/>
  <c r="P62" i="33" s="1"/>
  <c r="M56" i="33"/>
  <c r="N56" i="33" s="1"/>
  <c r="O56" i="33" s="1"/>
  <c r="P56" i="33" s="1"/>
  <c r="L40" i="33"/>
  <c r="N1" i="21" l="1"/>
  <c r="M9" i="21"/>
  <c r="M29" i="21"/>
  <c r="O152" i="33"/>
  <c r="O155" i="33" s="1"/>
  <c r="P95" i="33"/>
  <c r="P152" i="33" s="1"/>
  <c r="M37" i="33"/>
  <c r="L70" i="33"/>
  <c r="L90" i="33"/>
  <c r="L127" i="33" s="1"/>
  <c r="L130" i="33" s="1"/>
  <c r="M48" i="33"/>
  <c r="M47" i="33"/>
  <c r="L89" i="33"/>
  <c r="L120" i="33" s="1"/>
  <c r="L123" i="33" s="1"/>
  <c r="M38" i="33"/>
  <c r="L71" i="33"/>
  <c r="L112" i="33" s="1"/>
  <c r="L115" i="33" s="1"/>
  <c r="L72" i="33"/>
  <c r="L119" i="33" s="1"/>
  <c r="L122" i="33" s="1"/>
  <c r="M39" i="33"/>
  <c r="L75" i="33"/>
  <c r="L140" i="33" s="1"/>
  <c r="L143" i="33" s="1"/>
  <c r="M42" i="33"/>
  <c r="M46" i="33"/>
  <c r="L88" i="33"/>
  <c r="L113" i="33" s="1"/>
  <c r="L116" i="33" s="1"/>
  <c r="M50" i="33"/>
  <c r="L92" i="33"/>
  <c r="L141" i="33" s="1"/>
  <c r="L144" i="33" s="1"/>
  <c r="M40" i="33"/>
  <c r="L73" i="33"/>
  <c r="L126" i="33" s="1"/>
  <c r="L129" i="33" s="1"/>
  <c r="L87" i="33"/>
  <c r="M45" i="33"/>
  <c r="P94" i="33"/>
  <c r="P148" i="33" s="1"/>
  <c r="O148" i="33"/>
  <c r="M41" i="33"/>
  <c r="L74" i="33"/>
  <c r="L133" i="33" s="1"/>
  <c r="L136" i="33" s="1"/>
  <c r="M49" i="33"/>
  <c r="L91" i="33"/>
  <c r="L134" i="33" s="1"/>
  <c r="L137" i="33" s="1"/>
  <c r="P77" i="33"/>
  <c r="P147" i="33" s="1"/>
  <c r="O147" i="33"/>
  <c r="P155" i="33" l="1"/>
  <c r="O1" i="21"/>
  <c r="N9" i="21"/>
  <c r="N29" i="21"/>
  <c r="N49" i="33"/>
  <c r="M91" i="33"/>
  <c r="M134" i="33" s="1"/>
  <c r="M137" i="33" s="1"/>
  <c r="M73" i="33"/>
  <c r="M126" i="33" s="1"/>
  <c r="M129" i="33" s="1"/>
  <c r="N40" i="33"/>
  <c r="N39" i="33"/>
  <c r="M72" i="33"/>
  <c r="M119" i="33" s="1"/>
  <c r="M122" i="33" s="1"/>
  <c r="N45" i="33"/>
  <c r="M87" i="33"/>
  <c r="M88" i="33"/>
  <c r="M113" i="33" s="1"/>
  <c r="M116" i="33" s="1"/>
  <c r="N46" i="33"/>
  <c r="N47" i="33"/>
  <c r="M89" i="33"/>
  <c r="M120" i="33" s="1"/>
  <c r="M123" i="33" s="1"/>
  <c r="N41" i="33"/>
  <c r="M74" i="33"/>
  <c r="M133" i="33" s="1"/>
  <c r="M136" i="33" s="1"/>
  <c r="L106" i="33"/>
  <c r="L109" i="33" s="1"/>
  <c r="L98" i="33"/>
  <c r="N42" i="33"/>
  <c r="M75" i="33"/>
  <c r="M140" i="33" s="1"/>
  <c r="M143" i="33" s="1"/>
  <c r="N48" i="33"/>
  <c r="M90" i="33"/>
  <c r="M127" i="33" s="1"/>
  <c r="M130" i="33" s="1"/>
  <c r="L105" i="33"/>
  <c r="L108" i="33" s="1"/>
  <c r="L81" i="33"/>
  <c r="N50" i="33"/>
  <c r="M92" i="33"/>
  <c r="M141" i="33" s="1"/>
  <c r="M144" i="33" s="1"/>
  <c r="N38" i="33"/>
  <c r="M71" i="33"/>
  <c r="M112" i="33" s="1"/>
  <c r="M115" i="33" s="1"/>
  <c r="M70" i="33"/>
  <c r="N37" i="33"/>
  <c r="P1" i="21" l="1"/>
  <c r="O9" i="21"/>
  <c r="O29" i="21"/>
  <c r="M105" i="33"/>
  <c r="M108" i="33" s="1"/>
  <c r="M81" i="33"/>
  <c r="N92" i="33"/>
  <c r="N141" i="33" s="1"/>
  <c r="N144" i="33" s="1"/>
  <c r="O50" i="33"/>
  <c r="N90" i="33"/>
  <c r="N127" i="33" s="1"/>
  <c r="N130" i="33" s="1"/>
  <c r="O48" i="33"/>
  <c r="M106" i="33"/>
  <c r="M109" i="33" s="1"/>
  <c r="M98" i="33"/>
  <c r="O40" i="33"/>
  <c r="N73" i="33"/>
  <c r="N126" i="33" s="1"/>
  <c r="N129" i="33" s="1"/>
  <c r="L83" i="33"/>
  <c r="L84" i="33" s="1"/>
  <c r="L82" i="33"/>
  <c r="O47" i="33"/>
  <c r="N89" i="33"/>
  <c r="N120" i="33" s="1"/>
  <c r="N123" i="33" s="1"/>
  <c r="N87" i="33"/>
  <c r="O45" i="33"/>
  <c r="O38" i="33"/>
  <c r="N71" i="33"/>
  <c r="N112" i="33" s="1"/>
  <c r="N115" i="33" s="1"/>
  <c r="O42" i="33"/>
  <c r="N75" i="33"/>
  <c r="N140" i="33" s="1"/>
  <c r="N143" i="33" s="1"/>
  <c r="O41" i="33"/>
  <c r="N74" i="33"/>
  <c r="N133" i="33" s="1"/>
  <c r="N136" i="33" s="1"/>
  <c r="O46" i="33"/>
  <c r="N88" i="33"/>
  <c r="N113" i="33" s="1"/>
  <c r="N116" i="33" s="1"/>
  <c r="O37" i="33"/>
  <c r="N70" i="33"/>
  <c r="L100" i="33"/>
  <c r="L101" i="33" s="1"/>
  <c r="C9" i="1" s="1"/>
  <c r="L99" i="33"/>
  <c r="O39" i="33"/>
  <c r="N72" i="33"/>
  <c r="N119" i="33" s="1"/>
  <c r="N122" i="33" s="1"/>
  <c r="N91" i="33"/>
  <c r="N134" i="33" s="1"/>
  <c r="N137" i="33" s="1"/>
  <c r="O49" i="33"/>
  <c r="L4" i="21" l="1"/>
  <c r="L7" i="21"/>
  <c r="B81" i="1"/>
  <c r="B58" i="1"/>
  <c r="B92" i="1"/>
  <c r="B70" i="1"/>
  <c r="B26" i="1"/>
  <c r="L6" i="21"/>
  <c r="L3" i="21"/>
  <c r="B125" i="1"/>
  <c r="B103" i="1"/>
  <c r="B136" i="1"/>
  <c r="B114" i="1"/>
  <c r="P29" i="21"/>
  <c r="P9" i="21"/>
  <c r="P46" i="33"/>
  <c r="P88" i="33" s="1"/>
  <c r="P113" i="33" s="1"/>
  <c r="O88" i="33"/>
  <c r="O113" i="33" s="1"/>
  <c r="O116" i="33" s="1"/>
  <c r="O75" i="33"/>
  <c r="O140" i="33" s="1"/>
  <c r="O143" i="33" s="1"/>
  <c r="P42" i="33"/>
  <c r="P75" i="33" s="1"/>
  <c r="P140" i="33" s="1"/>
  <c r="P143" i="33" s="1"/>
  <c r="P45" i="33"/>
  <c r="P87" i="33" s="1"/>
  <c r="O87" i="33"/>
  <c r="P48" i="33"/>
  <c r="P90" i="33" s="1"/>
  <c r="P127" i="33" s="1"/>
  <c r="O90" i="33"/>
  <c r="O127" i="33" s="1"/>
  <c r="O130" i="33" s="1"/>
  <c r="M82" i="33"/>
  <c r="M83" i="33"/>
  <c r="M84" i="33" s="1"/>
  <c r="M6" i="21" s="1"/>
  <c r="N105" i="33"/>
  <c r="N108" i="33" s="1"/>
  <c r="N81" i="33"/>
  <c r="N98" i="33"/>
  <c r="N106" i="33"/>
  <c r="N109" i="33" s="1"/>
  <c r="O73" i="33"/>
  <c r="O126" i="33" s="1"/>
  <c r="O129" i="33" s="1"/>
  <c r="P40" i="33"/>
  <c r="P73" i="33" s="1"/>
  <c r="P126" i="33" s="1"/>
  <c r="P39" i="33"/>
  <c r="P72" i="33" s="1"/>
  <c r="P119" i="33" s="1"/>
  <c r="O72" i="33"/>
  <c r="O119" i="33" s="1"/>
  <c r="O122" i="33" s="1"/>
  <c r="O70" i="33"/>
  <c r="P37" i="33"/>
  <c r="P70" i="33" s="1"/>
  <c r="O74" i="33"/>
  <c r="O133" i="33" s="1"/>
  <c r="O136" i="33" s="1"/>
  <c r="P41" i="33"/>
  <c r="P74" i="33" s="1"/>
  <c r="P133" i="33" s="1"/>
  <c r="P136" i="33" s="1"/>
  <c r="O71" i="33"/>
  <c r="O112" i="33" s="1"/>
  <c r="O115" i="33" s="1"/>
  <c r="P38" i="33"/>
  <c r="P71" i="33" s="1"/>
  <c r="P112" i="33" s="1"/>
  <c r="P115" i="33" s="1"/>
  <c r="M100" i="33"/>
  <c r="M101" i="33" s="1"/>
  <c r="D9" i="1" s="1"/>
  <c r="M7" i="21" s="1"/>
  <c r="M99" i="33"/>
  <c r="O92" i="33"/>
  <c r="O141" i="33" s="1"/>
  <c r="O144" i="33" s="1"/>
  <c r="P50" i="33"/>
  <c r="P92" i="33" s="1"/>
  <c r="P141" i="33" s="1"/>
  <c r="P144" i="33" s="1"/>
  <c r="P49" i="33"/>
  <c r="P91" i="33" s="1"/>
  <c r="P134" i="33" s="1"/>
  <c r="O91" i="33"/>
  <c r="O134" i="33" s="1"/>
  <c r="O137" i="33" s="1"/>
  <c r="O89" i="33"/>
  <c r="O120" i="33" s="1"/>
  <c r="O123" i="33" s="1"/>
  <c r="P47" i="33"/>
  <c r="P89" i="33" s="1"/>
  <c r="P120" i="33" s="1"/>
  <c r="P123" i="33" s="1"/>
  <c r="C103" i="1" l="1"/>
  <c r="B104" i="1"/>
  <c r="B105" i="1" s="1"/>
  <c r="B106" i="1" s="1"/>
  <c r="B71" i="1"/>
  <c r="B72" i="1" s="1"/>
  <c r="B73" i="1" s="1"/>
  <c r="C70" i="1"/>
  <c r="B27" i="1"/>
  <c r="B28" i="1" s="1"/>
  <c r="B29" i="1" s="1"/>
  <c r="C26" i="1"/>
  <c r="B93" i="1"/>
  <c r="B94" i="1" s="1"/>
  <c r="B95" i="1" s="1"/>
  <c r="C92" i="1"/>
  <c r="B82" i="1"/>
  <c r="B83" i="1" s="1"/>
  <c r="B84" i="1" s="1"/>
  <c r="C81" i="1"/>
  <c r="P129" i="33"/>
  <c r="C136" i="1"/>
  <c r="B137" i="1"/>
  <c r="B138" i="1" s="1"/>
  <c r="B139" i="1" s="1"/>
  <c r="C125" i="1"/>
  <c r="B126" i="1"/>
  <c r="B127" i="1" s="1"/>
  <c r="B128" i="1" s="1"/>
  <c r="C114" i="1"/>
  <c r="B115" i="1"/>
  <c r="B116" i="1" s="1"/>
  <c r="B117" i="1" s="1"/>
  <c r="L11" i="21"/>
  <c r="L31" i="21" s="1"/>
  <c r="M3" i="21"/>
  <c r="C58" i="1"/>
  <c r="B59" i="1"/>
  <c r="L12" i="21"/>
  <c r="L32" i="21" s="1"/>
  <c r="M4" i="21"/>
  <c r="P137" i="33"/>
  <c r="P122" i="33"/>
  <c r="P116" i="33"/>
  <c r="P105" i="33"/>
  <c r="P81" i="33"/>
  <c r="N83" i="33"/>
  <c r="N84" i="33" s="1"/>
  <c r="E8" i="1" s="1"/>
  <c r="N6" i="21" s="1"/>
  <c r="N82" i="33"/>
  <c r="N100" i="33"/>
  <c r="N101" i="33" s="1"/>
  <c r="E9" i="1" s="1"/>
  <c r="N7" i="21" s="1"/>
  <c r="N99" i="33"/>
  <c r="P106" i="33"/>
  <c r="P98" i="33"/>
  <c r="O105" i="33"/>
  <c r="O108" i="33" s="1"/>
  <c r="O81" i="33"/>
  <c r="P130" i="33"/>
  <c r="O106" i="33"/>
  <c r="O109" i="33" s="1"/>
  <c r="O98" i="33"/>
  <c r="P109" i="33" l="1"/>
  <c r="D58" i="1"/>
  <c r="C59" i="1"/>
  <c r="C137" i="1"/>
  <c r="C138" i="1" s="1"/>
  <c r="C139" i="1" s="1"/>
  <c r="D136" i="1"/>
  <c r="C93" i="1"/>
  <c r="C94" i="1" s="1"/>
  <c r="C95" i="1" s="1"/>
  <c r="D92" i="1"/>
  <c r="N4" i="21"/>
  <c r="M12" i="21"/>
  <c r="M32" i="21" s="1"/>
  <c r="M11" i="21"/>
  <c r="M31" i="21" s="1"/>
  <c r="N3" i="21"/>
  <c r="D114" i="1"/>
  <c r="C115" i="1"/>
  <c r="C116" i="1" s="1"/>
  <c r="C117" i="1" s="1"/>
  <c r="C126" i="1"/>
  <c r="C127" i="1" s="1"/>
  <c r="C128" i="1" s="1"/>
  <c r="D125" i="1"/>
  <c r="C82" i="1"/>
  <c r="C83" i="1" s="1"/>
  <c r="C84" i="1" s="1"/>
  <c r="D81" i="1"/>
  <c r="D26" i="1"/>
  <c r="C27" i="1"/>
  <c r="C28" i="1" s="1"/>
  <c r="C29" i="1" s="1"/>
  <c r="C43" i="1" s="1"/>
  <c r="D103" i="1"/>
  <c r="C104" i="1"/>
  <c r="C105" i="1" s="1"/>
  <c r="C106" i="1" s="1"/>
  <c r="B61" i="1"/>
  <c r="B62" i="1" s="1"/>
  <c r="B60" i="1"/>
  <c r="B43" i="1"/>
  <c r="D70" i="1"/>
  <c r="C71" i="1"/>
  <c r="C72" i="1" s="1"/>
  <c r="C73" i="1" s="1"/>
  <c r="O99" i="33"/>
  <c r="O100" i="33"/>
  <c r="O101" i="33" s="1"/>
  <c r="F9" i="1" s="1"/>
  <c r="O7" i="21" s="1"/>
  <c r="P108" i="33"/>
  <c r="P100" i="33"/>
  <c r="P99" i="33"/>
  <c r="O83" i="33"/>
  <c r="O84" i="33" s="1"/>
  <c r="F8" i="1" s="1"/>
  <c r="O6" i="21" s="1"/>
  <c r="O82" i="33"/>
  <c r="P82" i="33"/>
  <c r="P83" i="33"/>
  <c r="D71" i="1" l="1"/>
  <c r="D72" i="1" s="1"/>
  <c r="D73" i="1" s="1"/>
  <c r="E70" i="1"/>
  <c r="D27" i="1"/>
  <c r="D28" i="1" s="1"/>
  <c r="D29" i="1" s="1"/>
  <c r="D43" i="1" s="1"/>
  <c r="E26" i="1"/>
  <c r="O4" i="21"/>
  <c r="N12" i="21"/>
  <c r="N32" i="21" s="1"/>
  <c r="I9" i="1"/>
  <c r="B12" i="17" s="1"/>
  <c r="P84" i="33"/>
  <c r="G8" i="1" s="1"/>
  <c r="P6" i="21" s="1"/>
  <c r="E103" i="1"/>
  <c r="D104" i="1"/>
  <c r="D105" i="1" s="1"/>
  <c r="D106" i="1" s="1"/>
  <c r="D82" i="1"/>
  <c r="D83" i="1" s="1"/>
  <c r="D84" i="1" s="1"/>
  <c r="E81" i="1"/>
  <c r="E136" i="1"/>
  <c r="D137" i="1"/>
  <c r="D138" i="1" s="1"/>
  <c r="D139" i="1" s="1"/>
  <c r="C60" i="1"/>
  <c r="C61" i="1"/>
  <c r="C62" i="1" s="1"/>
  <c r="I6" i="1"/>
  <c r="B9" i="17" s="1"/>
  <c r="E114" i="1"/>
  <c r="D115" i="1"/>
  <c r="D116" i="1" s="1"/>
  <c r="D117" i="1" s="1"/>
  <c r="I8" i="1"/>
  <c r="B11" i="17" s="1"/>
  <c r="I7" i="1"/>
  <c r="B10" i="17" s="1"/>
  <c r="E58" i="1"/>
  <c r="D59" i="1"/>
  <c r="E125" i="1"/>
  <c r="D126" i="1"/>
  <c r="D127" i="1" s="1"/>
  <c r="D128" i="1" s="1"/>
  <c r="N11" i="21"/>
  <c r="N31" i="21" s="1"/>
  <c r="O3" i="21"/>
  <c r="E92" i="1"/>
  <c r="D93" i="1"/>
  <c r="D94" i="1" s="1"/>
  <c r="D95" i="1" s="1"/>
  <c r="I4" i="1"/>
  <c r="B7" i="17" s="1"/>
  <c r="P101" i="33"/>
  <c r="G9" i="1" s="1"/>
  <c r="P7" i="21" s="1"/>
  <c r="D61" i="1" l="1"/>
  <c r="D62" i="1" s="1"/>
  <c r="D60" i="1"/>
  <c r="F26" i="1"/>
  <c r="E27" i="1"/>
  <c r="E28" i="1" s="1"/>
  <c r="E29" i="1" s="1"/>
  <c r="F58" i="1"/>
  <c r="F59" i="1" s="1"/>
  <c r="E59" i="1"/>
  <c r="F114" i="1"/>
  <c r="F115" i="1" s="1"/>
  <c r="F116" i="1" s="1"/>
  <c r="E115" i="1"/>
  <c r="E116" i="1" s="1"/>
  <c r="E117" i="1" s="1"/>
  <c r="E82" i="1"/>
  <c r="E83" i="1" s="1"/>
  <c r="E84" i="1" s="1"/>
  <c r="F81" i="1"/>
  <c r="F82" i="1" s="1"/>
  <c r="F83" i="1" s="1"/>
  <c r="I2" i="1"/>
  <c r="B5" i="17" s="1"/>
  <c r="F70" i="1"/>
  <c r="F71" i="1" s="1"/>
  <c r="F72" i="1" s="1"/>
  <c r="E71" i="1"/>
  <c r="E72" i="1" s="1"/>
  <c r="E73" i="1" s="1"/>
  <c r="E137" i="1"/>
  <c r="E138" i="1" s="1"/>
  <c r="E139" i="1" s="1"/>
  <c r="F136" i="1"/>
  <c r="F137" i="1" s="1"/>
  <c r="F138" i="1" s="1"/>
  <c r="E104" i="1"/>
  <c r="E105" i="1" s="1"/>
  <c r="E106" i="1" s="1"/>
  <c r="F103" i="1"/>
  <c r="F104" i="1" s="1"/>
  <c r="F105" i="1" s="1"/>
  <c r="E93" i="1"/>
  <c r="E94" i="1" s="1"/>
  <c r="E95" i="1" s="1"/>
  <c r="F92" i="1"/>
  <c r="F93" i="1" s="1"/>
  <c r="F94" i="1" s="1"/>
  <c r="E126" i="1"/>
  <c r="E127" i="1" s="1"/>
  <c r="E128" i="1" s="1"/>
  <c r="F125" i="1"/>
  <c r="F126" i="1" s="1"/>
  <c r="F127" i="1" s="1"/>
  <c r="P3" i="21"/>
  <c r="P11" i="21" s="1"/>
  <c r="P31" i="21" s="1"/>
  <c r="O11" i="21"/>
  <c r="O31" i="21" s="1"/>
  <c r="I3" i="1"/>
  <c r="B6" i="17" s="1"/>
  <c r="I5" i="1"/>
  <c r="B8" i="17" s="1"/>
  <c r="O12" i="21"/>
  <c r="O32" i="21" s="1"/>
  <c r="P4" i="21"/>
  <c r="P12" i="21" s="1"/>
  <c r="P32" i="21" s="1"/>
  <c r="F117" i="1" l="1"/>
  <c r="F119" i="1"/>
  <c r="F120" i="1" s="1"/>
  <c r="G120" i="1" s="1"/>
  <c r="F27" i="1"/>
  <c r="F28" i="1" s="1"/>
  <c r="F29" i="1" s="1"/>
  <c r="L17" i="1" s="1"/>
  <c r="L16" i="1"/>
  <c r="F130" i="1"/>
  <c r="F131" i="1" s="1"/>
  <c r="G131" i="1" s="1"/>
  <c r="F128" i="1"/>
  <c r="F108" i="1"/>
  <c r="F109" i="1" s="1"/>
  <c r="G109" i="1" s="1"/>
  <c r="F106" i="1"/>
  <c r="F86" i="1"/>
  <c r="F87" i="1" s="1"/>
  <c r="G87" i="1" s="1"/>
  <c r="F84" i="1"/>
  <c r="E60" i="1"/>
  <c r="E61" i="1"/>
  <c r="E62" i="1" s="1"/>
  <c r="F61" i="1"/>
  <c r="F60" i="1"/>
  <c r="F97" i="1"/>
  <c r="F98" i="1" s="1"/>
  <c r="G98" i="1" s="1"/>
  <c r="F95" i="1"/>
  <c r="G96" i="1" s="1"/>
  <c r="F141" i="1"/>
  <c r="F142" i="1" s="1"/>
  <c r="G142" i="1" s="1"/>
  <c r="F139" i="1"/>
  <c r="G140" i="1" s="1"/>
  <c r="F75" i="1"/>
  <c r="F76" i="1" s="1"/>
  <c r="G76" i="1" s="1"/>
  <c r="F73" i="1"/>
  <c r="E43" i="1"/>
  <c r="F62" i="1" l="1"/>
  <c r="F64" i="1"/>
  <c r="F65" i="1" s="1"/>
  <c r="G65" i="1" s="1"/>
  <c r="G118" i="1"/>
  <c r="G117" i="1"/>
  <c r="G85" i="1"/>
  <c r="G84" i="1"/>
  <c r="G129" i="1"/>
  <c r="G128" i="1"/>
  <c r="G74" i="1"/>
  <c r="G73" i="1"/>
  <c r="G107" i="1"/>
  <c r="G106" i="1"/>
  <c r="G139" i="1"/>
  <c r="G143" i="1" s="1"/>
  <c r="G144" i="1" s="1"/>
  <c r="K9" i="1" s="1"/>
  <c r="C12" i="17" s="1"/>
  <c r="F43" i="1"/>
  <c r="C21" i="1" s="1"/>
  <c r="B49" i="1"/>
  <c r="B50" i="1" s="1"/>
  <c r="D21" i="1" s="1"/>
  <c r="G95" i="1"/>
  <c r="G99" i="1" s="1"/>
  <c r="G100" i="1" s="1"/>
  <c r="K5" i="1" s="1"/>
  <c r="C8" i="17" s="1"/>
  <c r="G132" i="1" l="1"/>
  <c r="G133" i="1" s="1"/>
  <c r="K8" i="1" s="1"/>
  <c r="C11" i="17" s="1"/>
  <c r="G121" i="1"/>
  <c r="G122" i="1" s="1"/>
  <c r="K7" i="1" s="1"/>
  <c r="C10" i="17" s="1"/>
  <c r="G88" i="1"/>
  <c r="G89" i="1" s="1"/>
  <c r="K4" i="1" s="1"/>
  <c r="C7" i="17" s="1"/>
  <c r="G77" i="1"/>
  <c r="G78" i="1" s="1"/>
  <c r="K3" i="1" s="1"/>
  <c r="C6" i="17" s="1"/>
  <c r="G110" i="1"/>
  <c r="G111" i="1" s="1"/>
  <c r="K6" i="1" s="1"/>
  <c r="C9" i="17" s="1"/>
  <c r="B21" i="1"/>
  <c r="G63" i="1"/>
  <c r="G62" i="1"/>
  <c r="G66" i="1" l="1"/>
  <c r="G67" i="1" s="1"/>
  <c r="K2" i="1" s="1"/>
  <c r="C5" i="17" s="1"/>
  <c r="B2" i="17" s="1"/>
  <c r="F21" i="1"/>
  <c r="B22" i="1" s="1"/>
  <c r="B1" i="17" l="1"/>
  <c r="K33" i="17" s="1"/>
  <c r="K46" i="17"/>
  <c r="K38" i="17"/>
  <c r="K32" i="17"/>
  <c r="K28" i="17"/>
  <c r="K39" i="17"/>
  <c r="K44" i="17"/>
  <c r="K40" i="17"/>
  <c r="K22" i="17"/>
  <c r="K35" i="17"/>
  <c r="K25" i="17"/>
  <c r="K29" i="17"/>
  <c r="K54" i="17"/>
  <c r="K31" i="17"/>
  <c r="K30" i="17"/>
  <c r="K34" i="17"/>
  <c r="K26" i="17"/>
  <c r="K23" i="17"/>
  <c r="K8" i="17"/>
  <c r="K12" i="17"/>
  <c r="K41" i="17"/>
  <c r="K43" i="17"/>
  <c r="K14" i="17"/>
  <c r="K36" i="17"/>
  <c r="K48" i="17"/>
  <c r="K9" i="17"/>
  <c r="K6" i="17"/>
  <c r="K47" i="17"/>
  <c r="K24" i="17"/>
  <c r="K13" i="17"/>
  <c r="K16" i="17"/>
  <c r="K17" i="17"/>
  <c r="K51" i="17"/>
  <c r="K49" i="17"/>
  <c r="K37" i="17"/>
  <c r="K11" i="17"/>
  <c r="K18" i="17"/>
  <c r="K19" i="17"/>
  <c r="K10" i="17"/>
  <c r="K52" i="17"/>
  <c r="K42" i="17"/>
  <c r="K45" i="17"/>
  <c r="K21" i="17"/>
  <c r="K50" i="17"/>
  <c r="K5" i="17"/>
  <c r="K7" i="17"/>
  <c r="K27" i="17"/>
  <c r="K55" i="17"/>
  <c r="K15" i="17"/>
  <c r="K53" i="17"/>
  <c r="K20" i="17"/>
  <c r="C22" i="1"/>
  <c r="E22" i="1"/>
  <c r="L18" i="1"/>
  <c r="I12" i="1"/>
  <c r="D22" i="1"/>
  <c r="N20" i="17" l="1"/>
  <c r="O20" i="17" s="1"/>
  <c r="N7" i="17"/>
  <c r="O7" i="17" s="1"/>
  <c r="N55" i="17"/>
  <c r="O55" i="17" s="1"/>
  <c r="N50" i="17"/>
  <c r="O50" i="17" s="1"/>
  <c r="N52" i="17"/>
  <c r="O52" i="17" s="1"/>
  <c r="N11" i="17"/>
  <c r="O11" i="17" s="1"/>
  <c r="N17" i="17"/>
  <c r="O17" i="17" s="1"/>
  <c r="N47" i="17"/>
  <c r="O47" i="17" s="1"/>
  <c r="N36" i="17"/>
  <c r="O36" i="17" s="1"/>
  <c r="N12" i="17"/>
  <c r="O12" i="17" s="1"/>
  <c r="N34" i="17"/>
  <c r="O34" i="17" s="1"/>
  <c r="N29" i="17"/>
  <c r="O29" i="17" s="1"/>
  <c r="N40" i="17"/>
  <c r="O40" i="17" s="1"/>
  <c r="N32" i="17"/>
  <c r="O32" i="17" s="1"/>
  <c r="N27" i="17"/>
  <c r="O27" i="17" s="1"/>
  <c r="N21" i="17"/>
  <c r="O21" i="17" s="1"/>
  <c r="N10" i="17"/>
  <c r="O10" i="17" s="1"/>
  <c r="N37" i="17"/>
  <c r="O37" i="17" s="1"/>
  <c r="N16" i="17"/>
  <c r="O16" i="17" s="1"/>
  <c r="N6" i="17"/>
  <c r="O6" i="17" s="1"/>
  <c r="N14" i="17"/>
  <c r="O14" i="17" s="1"/>
  <c r="N8" i="17"/>
  <c r="O8" i="17" s="1"/>
  <c r="N30" i="17"/>
  <c r="O30" i="17" s="1"/>
  <c r="D11" i="17"/>
  <c r="D7" i="17"/>
  <c r="D10" i="17"/>
  <c r="D8" i="17"/>
  <c r="D12" i="17"/>
  <c r="D6" i="17"/>
  <c r="D9" i="17"/>
  <c r="D5" i="17"/>
  <c r="N25" i="17"/>
  <c r="O25" i="17" s="1"/>
  <c r="N44" i="17"/>
  <c r="O44" i="17" s="1"/>
  <c r="N38" i="17"/>
  <c r="O38" i="17" s="1"/>
  <c r="N53" i="17"/>
  <c r="O53" i="17" s="1"/>
  <c r="N45" i="17"/>
  <c r="O45" i="17" s="1"/>
  <c r="N49" i="17"/>
  <c r="O49" i="17" s="1"/>
  <c r="N13" i="17"/>
  <c r="O13" i="17" s="1"/>
  <c r="N9" i="17"/>
  <c r="O9" i="17" s="1"/>
  <c r="N43" i="17"/>
  <c r="O43" i="17" s="1"/>
  <c r="N23" i="17"/>
  <c r="O23" i="17" s="1"/>
  <c r="N31" i="17"/>
  <c r="O31" i="17" s="1"/>
  <c r="N35" i="17"/>
  <c r="O35" i="17" s="1"/>
  <c r="N39" i="17"/>
  <c r="O39" i="17" s="1"/>
  <c r="N33" i="17"/>
  <c r="O33" i="17" s="1"/>
  <c r="N19" i="17"/>
  <c r="O19" i="17" s="1"/>
  <c r="N15" i="17"/>
  <c r="O15" i="17" s="1"/>
  <c r="N5" i="17"/>
  <c r="O5" i="17" s="1"/>
  <c r="N42" i="17"/>
  <c r="O42" i="17" s="1"/>
  <c r="N18" i="17"/>
  <c r="O18" i="17" s="1"/>
  <c r="N51" i="17"/>
  <c r="O51" i="17" s="1"/>
  <c r="N24" i="17"/>
  <c r="O24" i="17" s="1"/>
  <c r="N48" i="17"/>
  <c r="O48" i="17" s="1"/>
  <c r="N41" i="17"/>
  <c r="O41" i="17" s="1"/>
  <c r="N26" i="17"/>
  <c r="O26" i="17" s="1"/>
  <c r="N54" i="17"/>
  <c r="O54" i="17" s="1"/>
  <c r="N22" i="17"/>
  <c r="O22" i="17" s="1"/>
  <c r="N28" i="17"/>
  <c r="O28" i="17" s="1"/>
  <c r="N46" i="17"/>
  <c r="O46" i="17" s="1"/>
  <c r="M41" i="17" l="1"/>
  <c r="L33" i="17"/>
  <c r="M46" i="17"/>
  <c r="M39" i="17"/>
  <c r="L26" i="17"/>
  <c r="L48" i="17"/>
  <c r="L22" i="17"/>
  <c r="M42" i="17"/>
  <c r="M15" i="17"/>
  <c r="M31" i="17"/>
  <c r="M38" i="17"/>
  <c r="L28" i="17"/>
  <c r="L54" i="17"/>
  <c r="L24" i="17"/>
  <c r="M18" i="17"/>
  <c r="L5" i="17"/>
  <c r="M19" i="17"/>
  <c r="M51" i="17"/>
  <c r="L35" i="17"/>
  <c r="L23" i="17"/>
  <c r="L9" i="17"/>
  <c r="M49" i="17"/>
  <c r="L53" i="17"/>
  <c r="L43" i="17"/>
  <c r="M13" i="17"/>
  <c r="M45" i="17"/>
  <c r="L38" i="17"/>
  <c r="L46" i="17"/>
  <c r="M54" i="17"/>
  <c r="M26" i="17"/>
  <c r="M24" i="17"/>
  <c r="L51" i="17"/>
  <c r="M5" i="17"/>
  <c r="L15" i="17"/>
  <c r="L39" i="17"/>
  <c r="M35" i="17"/>
  <c r="M43" i="17"/>
  <c r="M9" i="17"/>
  <c r="L7" i="17"/>
  <c r="M28" i="17"/>
  <c r="M22" i="17"/>
  <c r="L41" i="17"/>
  <c r="M48" i="17"/>
  <c r="L18" i="17"/>
  <c r="L42" i="17"/>
  <c r="L19" i="17"/>
  <c r="M33" i="17"/>
  <c r="L31" i="17"/>
  <c r="M23" i="17"/>
  <c r="L13" i="17"/>
  <c r="M53" i="17"/>
  <c r="L25" i="17"/>
  <c r="M30" i="17"/>
  <c r="L6" i="17"/>
  <c r="L16" i="17"/>
  <c r="M21" i="17"/>
  <c r="L27" i="17"/>
  <c r="M29" i="17"/>
  <c r="M34" i="17"/>
  <c r="L47" i="17"/>
  <c r="M17" i="17"/>
  <c r="M50" i="17"/>
  <c r="M55" i="17"/>
  <c r="L49" i="17"/>
  <c r="L45" i="17"/>
  <c r="L44" i="17"/>
  <c r="M25" i="17"/>
  <c r="M14" i="17"/>
  <c r="M6" i="17"/>
  <c r="L10" i="17"/>
  <c r="L21" i="17"/>
  <c r="L40" i="17"/>
  <c r="L29" i="17"/>
  <c r="L36" i="17"/>
  <c r="M47" i="17"/>
  <c r="L52" i="17"/>
  <c r="L50" i="17"/>
  <c r="M20" i="17"/>
  <c r="M44" i="17"/>
  <c r="M8" i="17"/>
  <c r="L14" i="17"/>
  <c r="M37" i="17"/>
  <c r="M10" i="17"/>
  <c r="M32" i="17"/>
  <c r="M40" i="17"/>
  <c r="L12" i="17"/>
  <c r="M36" i="17"/>
  <c r="M11" i="17"/>
  <c r="M52" i="17"/>
  <c r="M7" i="17"/>
  <c r="L20" i="17"/>
  <c r="L30" i="17"/>
  <c r="L8" i="17"/>
  <c r="M16" i="17"/>
  <c r="L37" i="17"/>
  <c r="M27" i="17"/>
  <c r="L32" i="17"/>
  <c r="L34" i="17"/>
  <c r="M12" i="17"/>
  <c r="L17" i="17"/>
  <c r="L11" i="17"/>
  <c r="L5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G4" authorId="0" shapeId="0" xr:uid="{00000000-0006-0000-0000-000003000000}">
      <text>
        <r>
          <rPr>
            <b/>
            <sz val="9"/>
            <color indexed="81"/>
            <rFont val="Tahoma"/>
            <family val="2"/>
          </rPr>
          <t>Erik Kobayashi-Solomon:</t>
        </r>
        <r>
          <rPr>
            <sz val="9"/>
            <color indexed="81"/>
            <rFont val="Tahoma"/>
            <family val="2"/>
          </rPr>
          <t xml:space="preserve">
At Oct. 20, 2017 (10-Q)</t>
        </r>
      </text>
    </comment>
    <comment ref="A8" authorId="0" shapeId="0" xr:uid="{00000000-0006-0000-0000-000004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5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6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6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200-000001000000}">
      <text>
        <r>
          <rPr>
            <b/>
            <sz val="9"/>
            <color indexed="81"/>
            <rFont val="Tahoma"/>
            <family val="2"/>
          </rPr>
          <t>Erik Kobayashi-Solomon:</t>
        </r>
        <r>
          <rPr>
            <sz val="9"/>
            <color indexed="81"/>
            <rFont val="Tahoma"/>
            <family val="2"/>
          </rPr>
          <t xml:space="preserve">
These data are in quarterly earnings announcements.</t>
        </r>
      </text>
    </comment>
    <comment ref="A61" authorId="0" shapeId="0" xr:uid="{00000000-0006-0000-0200-000002000000}">
      <text>
        <r>
          <rPr>
            <b/>
            <sz val="9"/>
            <color indexed="81"/>
            <rFont val="Tahoma"/>
            <family val="2"/>
          </rPr>
          <t>Erik Kobayashi-Solomon:</t>
        </r>
        <r>
          <rPr>
            <sz val="9"/>
            <color indexed="81"/>
            <rFont val="Tahoma"/>
            <family val="2"/>
          </rPr>
          <t xml:space="preserve">
2014, five years after 2009 trough, gave notably higher numbers, so excluding that year from calculation of statistics.</t>
        </r>
      </text>
    </comment>
  </commentList>
</comments>
</file>

<file path=xl/sharedStrings.xml><?xml version="1.0" encoding="utf-8"?>
<sst xmlns="http://schemas.openxmlformats.org/spreadsheetml/2006/main" count="651" uniqueCount="266">
  <si>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</si>
  <si>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</si>
  <si>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</si>
  <si>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</si>
  <si>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</si>
  <si>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</si>
  <si>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</si>
  <si>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</si>
  <si>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</si>
  <si>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</si>
  <si>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</si>
  <si>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</si>
  <si>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</si>
  <si>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</si>
  <si>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</si>
  <si>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</si>
  <si>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</si>
  <si>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</si>
  <si>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</si>
  <si>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</si>
  <si>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</si>
  <si>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</si>
  <si>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</si>
  <si>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</si>
  <si>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</si>
  <si>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</si>
  <si>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</si>
  <si>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</si>
  <si>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</si>
  <si>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</si>
  <si>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</si>
  <si>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</si>
  <si>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</si>
  <si>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</si>
  <si>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</si>
  <si>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</si>
  <si>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</si>
  <si>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</si>
  <si>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</si>
  <si>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</si>
  <si>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</si>
  <si>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</si>
  <si>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</si>
  <si>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</si>
  <si>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</si>
  <si>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</si>
  <si>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</si>
  <si>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</si>
  <si>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</si>
  <si>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</si>
  <si>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</si>
  <si>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</si>
  <si>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</si>
  <si>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</si>
  <si>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</si>
  <si>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</si>
  <si>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</si>
  <si>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</si>
  <si>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</si>
  <si>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</si>
  <si>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</si>
  <si>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</si>
  <si>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</si>
  <si>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</si>
  <si>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</si>
  <si>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</si>
  <si>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</si>
  <si>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</si>
  <si>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</si>
  <si>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</si>
  <si>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</si>
  <si>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</si>
  <si>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</si>
  <si>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</si>
  <si>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</si>
  <si>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</si>
  <si>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</si>
  <si>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</si>
  <si>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</si>
  <si>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</si>
  <si>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</si>
  <si>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</si>
  <si>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</si>
  <si>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</si>
  <si>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</si>
  <si>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</si>
  <si>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</si>
  <si>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</si>
  <si>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</si>
  <si>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</si>
  <si>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</si>
  <si>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</si>
  <si>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</si>
  <si>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</si>
  <si>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</si>
  <si>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</si>
  <si>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</si>
  <si>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</si>
  <si>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</si>
  <si>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</si>
  <si>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</si>
  <si>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</si>
  <si>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</si>
  <si>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</si>
  <si>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</si>
  <si>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</si>
  <si>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</si>
  <si>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</si>
  <si>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</si>
  <si>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</si>
  <si>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</si>
  <si>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</si>
  <si>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</si>
  <si>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</si>
  <si>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</si>
  <si>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</si>
  <si>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</si>
  <si>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</si>
  <si>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</si>
  <si>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</si>
  <si>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</si>
  <si>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</si>
  <si>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</si>
  <si>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</si>
  <si>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</si>
  <si>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</si>
  <si>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</si>
  <si>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</si>
  <si>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</si>
  <si>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</si>
  <si>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</si>
  <si>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</si>
  <si>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</si>
  <si>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</si>
  <si>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</si>
  <si>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</si>
  <si>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</si>
  <si>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</si>
  <si>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</si>
  <si>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</si>
  <si>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</si>
  <si>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</si>
  <si>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</si>
  <si>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</si>
  <si>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</si>
  <si>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</si>
  <si>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</si>
  <si>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</si>
  <si>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</si>
  <si>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</si>
  <si>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</si>
  <si>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</si>
  <si>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</si>
  <si>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</si>
  <si>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</si>
  <si>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</si>
  <si>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</si>
  <si>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</si>
  <si>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</si>
  <si>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</si>
  <si>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</si>
  <si>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</si>
  <si>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</si>
  <si>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</si>
  <si>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</si>
  <si>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</si>
  <si>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</si>
  <si>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</si>
  <si>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</si>
  <si>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</si>
  <si>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</si>
  <si>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</si>
  <si>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</si>
  <si>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</si>
  <si>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</si>
  <si>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</si>
  <si>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</si>
  <si>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</si>
  <si>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</si>
  <si>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</si>
  <si>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</si>
  <si>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</si>
  <si>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</si>
  <si>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</si>
  <si>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</si>
  <si>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</si>
  <si>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</si>
  <si>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</si>
  <si>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</si>
  <si>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</si>
  <si>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Best Case</t>
  </si>
  <si>
    <t>Worst Case</t>
  </si>
  <si>
    <t>Capital Lease Payments</t>
  </si>
  <si>
    <t>Union Pacific</t>
  </si>
  <si>
    <t>UNP</t>
  </si>
  <si>
    <t>Freight Revenues</t>
  </si>
  <si>
    <t>Agricultural</t>
  </si>
  <si>
    <t>Automotive</t>
  </si>
  <si>
    <t>Chemicals</t>
  </si>
  <si>
    <t>Coal</t>
  </si>
  <si>
    <t>Industrial</t>
  </si>
  <si>
    <t>Intermodal</t>
  </si>
  <si>
    <t>Revenue Ton Miles (Millions)</t>
  </si>
  <si>
    <t>Revenue Ton-Miles</t>
  </si>
  <si>
    <t>Revenue / Ton-Miles</t>
  </si>
  <si>
    <t>Revenues Adjusted for Fuel Surcharge</t>
  </si>
  <si>
    <t>Fuel Surcharge</t>
  </si>
  <si>
    <t>max</t>
  </si>
  <si>
    <t>min</t>
  </si>
  <si>
    <t>Revenue / Ton Miles</t>
  </si>
  <si>
    <t>YoY Adjusted Revenue Change</t>
  </si>
  <si>
    <t>Indexed</t>
  </si>
  <si>
    <t>Period RGR</t>
  </si>
  <si>
    <t>Revenues / Ton Miles (5Y RGR)</t>
  </si>
  <si>
    <t>Median</t>
  </si>
  <si>
    <t>Revenue Ton Miles (5Y RGR)</t>
  </si>
  <si>
    <t>Other Revenue</t>
  </si>
  <si>
    <t>Subsidiaries, Commuter Rail, etc.</t>
  </si>
  <si>
    <t>Revenue Ton-Mile (YoY Change)</t>
  </si>
  <si>
    <t>Revenues / Ton-Mile (YoY Change)</t>
  </si>
  <si>
    <t>2016 Revenues</t>
  </si>
  <si>
    <t>Other Revenues</t>
  </si>
  <si>
    <t>Revenue Ton Miles: First step is to think about "volume". How much business will the company do?</t>
  </si>
  <si>
    <t>Using a flatter than historical due to assessment of cycle</t>
  </si>
  <si>
    <t>Adjusted Revenues / Ton Miles: Next step is to see how much pricing power the firm is likely to have</t>
  </si>
  <si>
    <t>Revenues: With volumes and prices, we've got all the requirements to generate revenue forecasts</t>
  </si>
  <si>
    <t>Best Case Freight Revenues</t>
  </si>
  <si>
    <t xml:space="preserve">Best Case </t>
  </si>
  <si>
    <t>Worst Case Freight Revenues</t>
  </si>
  <si>
    <t>Graphs</t>
  </si>
  <si>
    <t>Agricultural Revenues</t>
  </si>
  <si>
    <t>Change</t>
  </si>
  <si>
    <t>Best Case Change</t>
  </si>
  <si>
    <t>Worst Case Change</t>
  </si>
  <si>
    <t>Automotive Revenues</t>
  </si>
  <si>
    <t>Chemicals Revenues</t>
  </si>
  <si>
    <t>Coal Revenues</t>
  </si>
  <si>
    <t>Industrial Revenues</t>
  </si>
  <si>
    <t>Intermodal Revenues</t>
  </si>
  <si>
    <t>Worst-Case (Old)</t>
  </si>
  <si>
    <t>Actual</t>
  </si>
  <si>
    <t>Best-Case (Old)</t>
  </si>
  <si>
    <t>Worst-Case (New)</t>
  </si>
  <si>
    <t>Best-Case (New)</t>
  </si>
  <si>
    <t>FCFO (LHS)</t>
  </si>
  <si>
    <t>Original Graph</t>
  </si>
  <si>
    <t>Cash From Operations</t>
  </si>
  <si>
    <t>D&amp;A</t>
  </si>
  <si>
    <t>Inflation</t>
  </si>
  <si>
    <t>Estimate of Maint. Capex</t>
  </si>
  <si>
    <t>OCP</t>
  </si>
  <si>
    <t>Capex</t>
  </si>
  <si>
    <t>Capex in Excess</t>
  </si>
  <si>
    <t>Other</t>
  </si>
  <si>
    <t>Historical OCP</t>
  </si>
  <si>
    <t>Best-Case</t>
  </si>
  <si>
    <t>Worst-Case</t>
  </si>
  <si>
    <t>25-year</t>
  </si>
  <si>
    <t>10-year</t>
  </si>
  <si>
    <t>Best-Best</t>
  </si>
  <si>
    <t>Best-Worse</t>
  </si>
  <si>
    <t>Worst-Best</t>
  </si>
  <si>
    <t>Worst-Worst</t>
  </si>
  <si>
    <t>Best-Worst</t>
  </si>
  <si>
    <t>25-year CAGR</t>
  </si>
  <si>
    <t>10-year CAGR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</si>
</sst>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41" formatCode="_(* #,##0_);_(* \(#,##0\);_(* &quot;-&quot;_);_(@_)"/>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_(* #,##0.0000_);_(* \(#,##0.0000\);_(* &quot;-&quot;??_);_(@_)"/>
  </numFmts>
  <fonts count="54">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b/>
      <sz val="14"/>
      <color theme="0"/>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0046AD"/>
        <bgColor indexed="64"/>
      </patternFill>
    </fill>
    <fill>
      <patternFill patternType="solid">
        <fgColor theme="4" tint="0.3999755851924192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79998168889431442"/>
        <bgColor indexed="64"/>
      </patternFill>
    </fill>
  </fills>
  <borders count="26">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84">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9" borderId="0" xfId="0" applyFont="1" applyFill="1"/>
    <xf numFmtId="0" fontId="5" fillId="9" borderId="0" xfId="0" applyFont="1" applyFill="1"/>
    <xf numFmtId="167" fontId="0" fillId="0" borderId="0" xfId="3" applyNumberFormat="1" applyFont="1"/>
    <xf numFmtId="208" fontId="0" fillId="0" borderId="0" xfId="1" applyNumberFormat="1" applyFont="1"/>
    <xf numFmtId="0" fontId="4" fillId="10" borderId="0" xfId="0" applyFont="1" applyFill="1"/>
    <xf numFmtId="0" fontId="0" fillId="10" borderId="0" xfId="0" applyFill="1"/>
    <xf numFmtId="0" fontId="4" fillId="11" borderId="0" xfId="0" applyFont="1" applyFill="1"/>
    <xf numFmtId="0" fontId="0" fillId="11" borderId="0" xfId="0" applyFill="1"/>
    <xf numFmtId="9" fontId="0" fillId="12" borderId="0" xfId="3" applyFont="1" applyFill="1"/>
    <xf numFmtId="9" fontId="0" fillId="12" borderId="0" xfId="0" applyNumberFormat="1" applyFill="1"/>
    <xf numFmtId="165" fontId="0" fillId="12" borderId="0" xfId="0" applyNumberFormat="1" applyFill="1"/>
    <xf numFmtId="9" fontId="0" fillId="0" borderId="24" xfId="3" applyFont="1" applyBorder="1"/>
    <xf numFmtId="9" fontId="0" fillId="0" borderId="12" xfId="3" applyFont="1" applyBorder="1"/>
    <xf numFmtId="9" fontId="0" fillId="0" borderId="25" xfId="3" applyFont="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53" fillId="9" borderId="0" xfId="0" applyFont="1" applyFill="1" applyAlignment="1">
      <alignment horizontal="center"/>
    </xf>
    <xf numFmtId="0" fontId="0" fillId="0" borderId="0" xfId="0" applyFill="1" applyBorder="1"/>
    <xf numFmtId="41" fontId="0" fillId="0" borderId="0" xfId="0" applyNumberFormat="1"/>
    <xf numFmtId="41" fontId="0" fillId="13" borderId="0" xfId="0" applyNumberFormat="1" applyFill="1"/>
    <xf numFmtId="41" fontId="0" fillId="14" borderId="0" xfId="0" applyNumberFormat="1" applyFill="1"/>
    <xf numFmtId="41" fontId="0" fillId="12" borderId="0" xfId="0" applyNumberFormat="1" applyFill="1"/>
    <xf numFmtId="41" fontId="0" fillId="15" borderId="0" xfId="0" applyNumberFormat="1" applyFill="1"/>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5.xml"/><Relationship Id="rId18" Type="http://schemas.openxmlformats.org/officeDocument/2006/relationships/chartsheet" Target="chartsheets/sheet10.xml"/><Relationship Id="rId26"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chartsheet" Target="chartsheets/sheet13.xml"/><Relationship Id="rId34" Type="http://schemas.openxmlformats.org/officeDocument/2006/relationships/externalLink" Target="externalLinks/externalLink7.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chartsheet" Target="chartsheets/sheet9.xml"/><Relationship Id="rId25" Type="http://schemas.openxmlformats.org/officeDocument/2006/relationships/worksheet" Target="worksheets/sheet12.xml"/><Relationship Id="rId33" Type="http://schemas.openxmlformats.org/officeDocument/2006/relationships/externalLink" Target="externalLinks/externalLink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8.xml"/><Relationship Id="rId20" Type="http://schemas.openxmlformats.org/officeDocument/2006/relationships/chartsheet" Target="chartsheets/sheet12.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7.xml"/><Relationship Id="rId24" Type="http://schemas.openxmlformats.org/officeDocument/2006/relationships/worksheet" Target="worksheets/sheet11.xml"/><Relationship Id="rId32" Type="http://schemas.openxmlformats.org/officeDocument/2006/relationships/externalLink" Target="externalLinks/externalLink5.xml"/><Relationship Id="rId37" Type="http://schemas.openxmlformats.org/officeDocument/2006/relationships/sharedStrings" Target="sharedStrings.xml"/><Relationship Id="rId5" Type="http://schemas.openxmlformats.org/officeDocument/2006/relationships/chartsheet" Target="chartsheets/sheet1.xml"/><Relationship Id="rId15" Type="http://schemas.openxmlformats.org/officeDocument/2006/relationships/chartsheet" Target="chartsheets/sheet7.xml"/><Relationship Id="rId23" Type="http://schemas.openxmlformats.org/officeDocument/2006/relationships/worksheet" Target="worksheets/sheet10.xml"/><Relationship Id="rId28" Type="http://schemas.openxmlformats.org/officeDocument/2006/relationships/externalLink" Target="externalLinks/externalLink1.xml"/><Relationship Id="rId36" Type="http://schemas.openxmlformats.org/officeDocument/2006/relationships/styles" Target="styles.xml"/><Relationship Id="rId10" Type="http://schemas.openxmlformats.org/officeDocument/2006/relationships/chartsheet" Target="chartsheets/sheet4.xml"/><Relationship Id="rId19" Type="http://schemas.openxmlformats.org/officeDocument/2006/relationships/chartsheet" Target="chartsheets/sheet11.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6.xml"/><Relationship Id="rId14" Type="http://schemas.openxmlformats.org/officeDocument/2006/relationships/chartsheet" Target="chartsheets/sheet6.xml"/><Relationship Id="rId22" Type="http://schemas.openxmlformats.org/officeDocument/2006/relationships/worksheet" Target="worksheets/sheet9.xml"/><Relationship Id="rId27" Type="http://schemas.openxmlformats.org/officeDocument/2006/relationships/worksheet" Target="worksheets/sheet14.xml"/><Relationship Id="rId30" Type="http://schemas.openxmlformats.org/officeDocument/2006/relationships/externalLink" Target="externalLinks/externalLink3.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Segments!$A$74</c:f>
          <c:strCache>
            <c:ptCount val="1"/>
            <c:pt idx="0">
              <c:v>Agricultural</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Segments!$A$73</c:f>
              <c:strCache>
                <c:ptCount val="1"/>
                <c:pt idx="0">
                  <c:v>Revenue Ton-Mile (YoY Change)</c:v>
                </c:pt>
              </c:strCache>
            </c:strRef>
          </c:tx>
          <c:spPr>
            <a:solidFill>
              <a:srgbClr val="575A5D"/>
            </a:solidFill>
            <a:ln>
              <a:noFill/>
            </a:ln>
            <a:effectLst/>
          </c:spPr>
          <c:invertIfNegative val="0"/>
          <c:cat>
            <c:numRef>
              <c:extLst>
                <c:ext xmlns:c15="http://schemas.microsoft.com/office/drawing/2012/chart" uri="{02D57815-91ED-43cb-92C2-25804820EDAC}">
                  <c15:fullRef>
                    <c15:sqref>Segments!$B$1:$K$1</c15:sqref>
                  </c15:fullRef>
                </c:ext>
              </c:extLst>
              <c:f>Segments!$C$1:$K$1</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extLst>
                <c:ext xmlns:c15="http://schemas.microsoft.com/office/drawing/2012/chart" uri="{02D57815-91ED-43cb-92C2-25804820EDAC}">
                  <c15:fullRef>
                    <c15:sqref>Segments!$B$74:$K$74</c15:sqref>
                  </c15:fullRef>
                </c:ext>
              </c:extLst>
              <c:f>Segments!$C$74:$K$74</c:f>
              <c:numCache>
                <c:formatCode>0.0%</c:formatCode>
                <c:ptCount val="9"/>
                <c:pt idx="0">
                  <c:v>0.10003476878756268</c:v>
                </c:pt>
                <c:pt idx="1">
                  <c:v>-8.3318282385876241E-2</c:v>
                </c:pt>
                <c:pt idx="2">
                  <c:v>8.6568891844299056E-2</c:v>
                </c:pt>
                <c:pt idx="3">
                  <c:v>-1.6206353343835023E-3</c:v>
                </c:pt>
                <c:pt idx="4">
                  <c:v>-7.5907553295343599E-2</c:v>
                </c:pt>
                <c:pt idx="5">
                  <c:v>-6.1788298303585565E-3</c:v>
                </c:pt>
                <c:pt idx="6">
                  <c:v>0.16524522891327997</c:v>
                </c:pt>
                <c:pt idx="7">
                  <c:v>-5.5371103072990091E-2</c:v>
                </c:pt>
                <c:pt idx="8">
                  <c:v>3.5832594073192281E-2</c:v>
                </c:pt>
              </c:numCache>
            </c:numRef>
          </c:val>
          <c:extLst>
            <c:ext xmlns:c16="http://schemas.microsoft.com/office/drawing/2014/chart" uri="{C3380CC4-5D6E-409C-BE32-E72D297353CC}">
              <c16:uniqueId val="{00000000-0792-4915-91D5-4616B4C605BC}"/>
            </c:ext>
          </c:extLst>
        </c:ser>
        <c:ser>
          <c:idx val="1"/>
          <c:order val="1"/>
          <c:tx>
            <c:strRef>
              <c:f>Segments!$A$81</c:f>
              <c:strCache>
                <c:ptCount val="1"/>
                <c:pt idx="0">
                  <c:v>Revenues / Ton-Mile (YoY Change)</c:v>
                </c:pt>
              </c:strCache>
            </c:strRef>
          </c:tx>
          <c:spPr>
            <a:solidFill>
              <a:srgbClr val="0046AD"/>
            </a:solidFill>
            <a:ln>
              <a:noFill/>
            </a:ln>
            <a:effectLst/>
          </c:spPr>
          <c:invertIfNegative val="0"/>
          <c:cat>
            <c:numRef>
              <c:extLst>
                <c:ext xmlns:c15="http://schemas.microsoft.com/office/drawing/2012/chart" uri="{02D57815-91ED-43cb-92C2-25804820EDAC}">
                  <c15:fullRef>
                    <c15:sqref>Segments!$B$1:$K$1</c15:sqref>
                  </c15:fullRef>
                </c:ext>
              </c:extLst>
              <c:f>Segments!$C$1:$K$1</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extLst>
                <c:ext xmlns:c15="http://schemas.microsoft.com/office/drawing/2012/chart" uri="{02D57815-91ED-43cb-92C2-25804820EDAC}">
                  <c15:fullRef>
                    <c15:sqref>Segments!$B$82:$K$82</c15:sqref>
                  </c15:fullRef>
                </c:ext>
              </c:extLst>
              <c:f>Segments!$C$82:$K$82</c:f>
              <c:numCache>
                <c:formatCode>0.0%</c:formatCode>
                <c:ptCount val="9"/>
                <c:pt idx="0">
                  <c:v>6.6736493702963973E-2</c:v>
                </c:pt>
                <c:pt idx="1">
                  <c:v>-4.1903679417534256E-3</c:v>
                </c:pt>
                <c:pt idx="2">
                  <c:v>8.210799451428219E-3</c:v>
                </c:pt>
                <c:pt idx="3">
                  <c:v>5.8597179354373585E-2</c:v>
                </c:pt>
                <c:pt idx="4">
                  <c:v>4.7810083471034659E-2</c:v>
                </c:pt>
                <c:pt idx="5">
                  <c:v>3.815920307409959E-3</c:v>
                </c:pt>
                <c:pt idx="6">
                  <c:v>-1.3167039378953804E-2</c:v>
                </c:pt>
                <c:pt idx="7">
                  <c:v>7.325223595470387E-2</c:v>
                </c:pt>
                <c:pt idx="8">
                  <c:v>1.3157751429712095E-2</c:v>
                </c:pt>
              </c:numCache>
            </c:numRef>
          </c:val>
          <c:extLst>
            <c:ext xmlns:c16="http://schemas.microsoft.com/office/drawing/2014/chart" uri="{C3380CC4-5D6E-409C-BE32-E72D297353CC}">
              <c16:uniqueId val="{00000001-0792-4915-91D5-4616B4C605BC}"/>
            </c:ext>
          </c:extLst>
        </c:ser>
        <c:dLbls>
          <c:showLegendKey val="0"/>
          <c:showVal val="0"/>
          <c:showCatName val="0"/>
          <c:showSerName val="0"/>
          <c:showPercent val="0"/>
          <c:showBubbleSize val="0"/>
        </c:dLbls>
        <c:gapWidth val="219"/>
        <c:overlap val="-27"/>
        <c:axId val="537534936"/>
        <c:axId val="537533952"/>
      </c:barChart>
      <c:catAx>
        <c:axId val="5375349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37533952"/>
        <c:crosses val="autoZero"/>
        <c:auto val="1"/>
        <c:lblAlgn val="ctr"/>
        <c:lblOffset val="100"/>
        <c:noMultiLvlLbl val="0"/>
      </c:catAx>
      <c:valAx>
        <c:axId val="537533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375349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Industrial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71303587051618"/>
          <c:y val="0.33603273549139695"/>
          <c:w val="0.7839212598425197"/>
          <c:h val="0.54895231846019243"/>
        </c:manualLayout>
      </c:layout>
      <c:barChart>
        <c:barDir val="col"/>
        <c:grouping val="clustered"/>
        <c:varyColors val="0"/>
        <c:ser>
          <c:idx val="0"/>
          <c:order val="0"/>
          <c:tx>
            <c:strRef>
              <c:f>'Revenue Model'!$A$132</c:f>
              <c:strCache>
                <c:ptCount val="1"/>
                <c:pt idx="0">
                  <c:v>Industrial Revenues</c:v>
                </c:pt>
              </c:strCache>
            </c:strRef>
          </c:tx>
          <c:spPr>
            <a:solidFill>
              <a:srgbClr val="0046AD"/>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Model'!$B$132:$P$132</c:f>
              <c:numCache>
                <c:formatCode>_(* #,##0_);_(* \(#,##0\);_(* "-"??_);_(@_)</c:formatCode>
                <c:ptCount val="15"/>
                <c:pt idx="0">
                  <c:v>2662.0486593277506</c:v>
                </c:pt>
                <c:pt idx="1">
                  <c:v>2772.3986076131605</c:v>
                </c:pt>
                <c:pt idx="2">
                  <c:v>1956.1519424526491</c:v>
                </c:pt>
                <c:pt idx="3">
                  <c:v>2350.7166756341276</c:v>
                </c:pt>
                <c:pt idx="4">
                  <c:v>2726.4436413132325</c:v>
                </c:pt>
                <c:pt idx="5">
                  <c:v>3002.9457102229658</c:v>
                </c:pt>
                <c:pt idx="6">
                  <c:v>3287.6449505320143</c:v>
                </c:pt>
                <c:pt idx="7">
                  <c:v>3833.0300875681596</c:v>
                </c:pt>
                <c:pt idx="8">
                  <c:v>3492.9903079159235</c:v>
                </c:pt>
                <c:pt idx="9">
                  <c:v>3260.7452009478825</c:v>
                </c:pt>
              </c:numCache>
            </c:numRef>
          </c:val>
          <c:extLst>
            <c:ext xmlns:c16="http://schemas.microsoft.com/office/drawing/2014/chart" uri="{C3380CC4-5D6E-409C-BE32-E72D297353CC}">
              <c16:uniqueId val="{00000000-4BA1-4ACB-B4C1-3F112EF9BC7E}"/>
            </c:ext>
          </c:extLst>
        </c:ser>
        <c:ser>
          <c:idx val="1"/>
          <c:order val="1"/>
          <c:tx>
            <c:strRef>
              <c:f>'Revenue Model'!$A$133</c:f>
              <c:strCache>
                <c:ptCount val="1"/>
                <c:pt idx="0">
                  <c:v>Best Case</c:v>
                </c:pt>
              </c:strCache>
            </c:strRef>
          </c:tx>
          <c:spPr>
            <a:solidFill>
              <a:srgbClr val="FFC000">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Model'!$B$133:$P$133</c:f>
              <c:numCache>
                <c:formatCode>General</c:formatCode>
                <c:ptCount val="15"/>
                <c:pt idx="10" formatCode="_(* #,##0_);_(* \(#,##0\);_(* &quot;-&quot;??_);_(@_)">
                  <c:v>3498.4644131046775</c:v>
                </c:pt>
                <c:pt idx="11" formatCode="_(* #,##0_);_(* \(#,##0\);_(* &quot;-&quot;??_);_(@_)">
                  <c:v>3753.5141495269136</c:v>
                </c:pt>
                <c:pt idx="12" formatCode="_(* #,##0_);_(* \(#,##0\);_(* &quot;-&quot;??_);_(@_)">
                  <c:v>4027.1578632968644</c:v>
                </c:pt>
                <c:pt idx="13" formatCode="_(* #,##0_);_(* \(#,##0\);_(* &quot;-&quot;??_);_(@_)">
                  <c:v>4320.7511174449292</c:v>
                </c:pt>
                <c:pt idx="14" formatCode="_(* #,##0_);_(* \(#,##0\);_(* &quot;-&quot;??_);_(@_)">
                  <c:v>4635.7483000723914</c:v>
                </c:pt>
              </c:numCache>
            </c:numRef>
          </c:val>
          <c:extLst>
            <c:ext xmlns:c16="http://schemas.microsoft.com/office/drawing/2014/chart" uri="{C3380CC4-5D6E-409C-BE32-E72D297353CC}">
              <c16:uniqueId val="{00000001-4BA1-4ACB-B4C1-3F112EF9BC7E}"/>
            </c:ext>
          </c:extLst>
        </c:ser>
        <c:ser>
          <c:idx val="2"/>
          <c:order val="2"/>
          <c:tx>
            <c:strRef>
              <c:f>'Revenue Model'!$A$134</c:f>
              <c:strCache>
                <c:ptCount val="1"/>
                <c:pt idx="0">
                  <c:v>Worst Case</c:v>
                </c:pt>
              </c:strCache>
            </c:strRef>
          </c:tx>
          <c:spPr>
            <a:solidFill>
              <a:srgbClr val="0046AD">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Model'!$B$134:$P$134</c:f>
              <c:numCache>
                <c:formatCode>General</c:formatCode>
                <c:ptCount val="15"/>
                <c:pt idx="10" formatCode="_(* #,##0_);_(* \(#,##0\);_(* &quot;-&quot;??_);_(@_)">
                  <c:v>3334.4451071812027</c:v>
                </c:pt>
                <c:pt idx="11" formatCode="_(* #,##0_);_(* \(#,##0\);_(* &quot;-&quot;??_);_(@_)">
                  <c:v>3409.8107909727391</c:v>
                </c:pt>
                <c:pt idx="12" formatCode="_(* #,##0_);_(* \(#,##0\);_(* &quot;-&quot;??_);_(@_)">
                  <c:v>3486.8799025043613</c:v>
                </c:pt>
                <c:pt idx="13" formatCode="_(* #,##0_);_(* \(#,##0\);_(* &quot;-&quot;??_);_(@_)">
                  <c:v>3565.690942933622</c:v>
                </c:pt>
                <c:pt idx="14" formatCode="_(* #,##0_);_(* \(#,##0\);_(* &quot;-&quot;??_);_(@_)">
                  <c:v>3646.2832836276489</c:v>
                </c:pt>
              </c:numCache>
            </c:numRef>
          </c:val>
          <c:extLst>
            <c:ext xmlns:c16="http://schemas.microsoft.com/office/drawing/2014/chart" uri="{C3380CC4-5D6E-409C-BE32-E72D297353CC}">
              <c16:uniqueId val="{00000002-4BA1-4ACB-B4C1-3F112EF9BC7E}"/>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Model'!$A$135</c:f>
              <c:strCache>
                <c:ptCount val="1"/>
                <c:pt idx="0">
                  <c:v>Change</c:v>
                </c:pt>
              </c:strCache>
            </c:strRef>
          </c:tx>
          <c:spPr>
            <a:ln w="19050" cap="rnd">
              <a:solidFill>
                <a:schemeClr val="tx1"/>
              </a:solidFill>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Model'!$B$135:$P$135</c:f>
              <c:numCache>
                <c:formatCode>0%</c:formatCode>
                <c:ptCount val="15"/>
                <c:pt idx="1">
                  <c:v>4.1453016983272084E-2</c:v>
                </c:pt>
                <c:pt idx="2">
                  <c:v>-0.29441894210993058</c:v>
                </c:pt>
                <c:pt idx="3">
                  <c:v>0.20170454279066274</c:v>
                </c:pt>
                <c:pt idx="4">
                  <c:v>0.15983507054407098</c:v>
                </c:pt>
                <c:pt idx="5">
                  <c:v>0.10141492188576895</c:v>
                </c:pt>
                <c:pt idx="6">
                  <c:v>9.4806655791292993E-2</c:v>
                </c:pt>
                <c:pt idx="7">
                  <c:v>0.16588930533629842</c:v>
                </c:pt>
                <c:pt idx="8">
                  <c:v>-8.8713047349954999E-2</c:v>
                </c:pt>
                <c:pt idx="9">
                  <c:v>-6.6488906780451051E-2</c:v>
                </c:pt>
              </c:numCache>
            </c:numRef>
          </c:val>
          <c:smooth val="0"/>
          <c:extLst>
            <c:ext xmlns:c16="http://schemas.microsoft.com/office/drawing/2014/chart" uri="{C3380CC4-5D6E-409C-BE32-E72D297353CC}">
              <c16:uniqueId val="{00000003-4BA1-4ACB-B4C1-3F112EF9BC7E}"/>
            </c:ext>
          </c:extLst>
        </c:ser>
        <c:ser>
          <c:idx val="4"/>
          <c:order val="4"/>
          <c:tx>
            <c:strRef>
              <c:f>'Revenue Model'!$A$136</c:f>
              <c:strCache>
                <c:ptCount val="1"/>
                <c:pt idx="0">
                  <c:v>Best Case Change</c:v>
                </c:pt>
              </c:strCache>
            </c:strRef>
          </c:tx>
          <c:spPr>
            <a:ln w="19050" cap="rnd">
              <a:solidFill>
                <a:schemeClr val="tx1"/>
              </a:solidFill>
              <a:prstDash val="sysDot"/>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Model'!$B$136:$P$136</c:f>
              <c:numCache>
                <c:formatCode>_(* #,##0_);_(* \(#,##0\);_(* "-"??_);_(@_)</c:formatCode>
                <c:ptCount val="15"/>
                <c:pt idx="9" formatCode="0%">
                  <c:v>-6.6488906780451051E-2</c:v>
                </c:pt>
                <c:pt idx="10" formatCode="0%">
                  <c:v>7.2903338809696461E-2</c:v>
                </c:pt>
                <c:pt idx="11" formatCode="0%">
                  <c:v>7.2903338809696461E-2</c:v>
                </c:pt>
                <c:pt idx="12" formatCode="0%">
                  <c:v>7.2903338809696683E-2</c:v>
                </c:pt>
                <c:pt idx="13" formatCode="0%">
                  <c:v>7.2903338809696461E-2</c:v>
                </c:pt>
                <c:pt idx="14" formatCode="0%">
                  <c:v>7.2903338809696461E-2</c:v>
                </c:pt>
              </c:numCache>
            </c:numRef>
          </c:val>
          <c:smooth val="0"/>
          <c:extLst>
            <c:ext xmlns:c16="http://schemas.microsoft.com/office/drawing/2014/chart" uri="{C3380CC4-5D6E-409C-BE32-E72D297353CC}">
              <c16:uniqueId val="{00000004-4BA1-4ACB-B4C1-3F112EF9BC7E}"/>
            </c:ext>
          </c:extLst>
        </c:ser>
        <c:ser>
          <c:idx val="5"/>
          <c:order val="5"/>
          <c:tx>
            <c:strRef>
              <c:f>'Revenue Model'!$A$137</c:f>
              <c:strCache>
                <c:ptCount val="1"/>
                <c:pt idx="0">
                  <c:v>Worst Case Change</c:v>
                </c:pt>
              </c:strCache>
            </c:strRef>
          </c:tx>
          <c:spPr>
            <a:ln w="19050" cap="rnd">
              <a:solidFill>
                <a:schemeClr val="tx1"/>
              </a:solidFill>
              <a:prstDash val="dash"/>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Model'!$B$137:$P$137</c:f>
              <c:numCache>
                <c:formatCode>_(* #,##0_);_(* \(#,##0\);_(* "-"??_);_(@_)</c:formatCode>
                <c:ptCount val="15"/>
                <c:pt idx="9" formatCode="0%">
                  <c:v>-6.6488906780451051E-2</c:v>
                </c:pt>
                <c:pt idx="10" formatCode="0%">
                  <c:v>2.2602166588145511E-2</c:v>
                </c:pt>
                <c:pt idx="11" formatCode="0%">
                  <c:v>2.2602166588145511E-2</c:v>
                </c:pt>
                <c:pt idx="12" formatCode="0%">
                  <c:v>2.2602166588145511E-2</c:v>
                </c:pt>
                <c:pt idx="13" formatCode="0%">
                  <c:v>2.2602166588145733E-2</c:v>
                </c:pt>
                <c:pt idx="14" formatCode="0%">
                  <c:v>2.2602166588145289E-2</c:v>
                </c:pt>
              </c:numCache>
            </c:numRef>
          </c:val>
          <c:smooth val="0"/>
          <c:extLst>
            <c:ext xmlns:c16="http://schemas.microsoft.com/office/drawing/2014/chart" uri="{C3380CC4-5D6E-409C-BE32-E72D297353CC}">
              <c16:uniqueId val="{00000005-4BA1-4ACB-B4C1-3F112EF9BC7E}"/>
            </c:ext>
          </c:extLst>
        </c:ser>
        <c:dLbls>
          <c:showLegendKey val="0"/>
          <c:showVal val="0"/>
          <c:showCatName val="0"/>
          <c:showSerName val="0"/>
          <c:showPercent val="0"/>
          <c:showBubbleSize val="0"/>
        </c:dLbls>
        <c:marker val="1"/>
        <c:smooth val="0"/>
        <c:axId val="311366400"/>
        <c:axId val="311363072"/>
      </c:lineChart>
      <c:dateAx>
        <c:axId val="311344128"/>
        <c:scaling>
          <c:orientation val="minMax"/>
        </c:scaling>
        <c:delete val="0"/>
        <c:axPos val="b"/>
        <c:numFmt formatCode="yyyy"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Offset val="100"/>
        <c:baseTimeUnit val="years"/>
        <c:majorUnit val="2"/>
        <c:majorTimeUnit val="years"/>
      </c:date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dateAx>
        <c:axId val="311366400"/>
        <c:scaling>
          <c:orientation val="minMax"/>
        </c:scaling>
        <c:delete val="1"/>
        <c:axPos val="b"/>
        <c:numFmt formatCode="yyyy" sourceLinked="1"/>
        <c:majorTickMark val="out"/>
        <c:minorTickMark val="none"/>
        <c:tickLblPos val="nextTo"/>
        <c:crossAx val="311363072"/>
        <c:crosses val="autoZero"/>
        <c:auto val="1"/>
        <c:lblOffset val="100"/>
        <c:baseTimeUnit val="years"/>
      </c:dateAx>
      <c:spPr>
        <a:noFill/>
        <a:ln>
          <a:noFill/>
        </a:ln>
        <a:effectLst/>
      </c:spPr>
    </c:plotArea>
    <c:legend>
      <c:legendPos val="t"/>
      <c:layout>
        <c:manualLayout>
          <c:xMode val="edge"/>
          <c:yMode val="edge"/>
          <c:x val="0.11934623797025372"/>
          <c:y val="0.13319444444444445"/>
          <c:w val="0.78075196850393702"/>
          <c:h val="0.17506051326917466"/>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Intermodal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71303587051618"/>
          <c:y val="0.36844014289880433"/>
          <c:w val="0.7839212598425197"/>
          <c:h val="0.51654491105278511"/>
        </c:manualLayout>
      </c:layout>
      <c:barChart>
        <c:barDir val="col"/>
        <c:grouping val="clustered"/>
        <c:varyColors val="0"/>
        <c:ser>
          <c:idx val="0"/>
          <c:order val="0"/>
          <c:tx>
            <c:strRef>
              <c:f>'Revenue Model'!$A$139</c:f>
              <c:strCache>
                <c:ptCount val="1"/>
                <c:pt idx="0">
                  <c:v>Intermodal Revenues</c:v>
                </c:pt>
              </c:strCache>
            </c:strRef>
          </c:tx>
          <c:spPr>
            <a:solidFill>
              <a:srgbClr val="0046AD"/>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Model'!$B$139:$P$139</c:f>
              <c:numCache>
                <c:formatCode>_(* #,##0_);_(* \(#,##0\);_(* "-"??_);_(@_)</c:formatCode>
                <c:ptCount val="15"/>
                <c:pt idx="0">
                  <c:v>2478.6465181678223</c:v>
                </c:pt>
                <c:pt idx="1">
                  <c:v>2483.7176390920513</c:v>
                </c:pt>
                <c:pt idx="2">
                  <c:v>2228.1437556867031</c:v>
                </c:pt>
                <c:pt idx="3">
                  <c:v>2847.4216218293623</c:v>
                </c:pt>
                <c:pt idx="4">
                  <c:v>3093.5081310146825</c:v>
                </c:pt>
                <c:pt idx="5">
                  <c:v>3413.0359731419985</c:v>
                </c:pt>
                <c:pt idx="6">
                  <c:v>3490.051264700392</c:v>
                </c:pt>
                <c:pt idx="7">
                  <c:v>3950.5350481870501</c:v>
                </c:pt>
                <c:pt idx="8">
                  <c:v>3745.8424237426166</c:v>
                </c:pt>
                <c:pt idx="9">
                  <c:v>3611.9558821190576</c:v>
                </c:pt>
              </c:numCache>
            </c:numRef>
          </c:val>
          <c:extLst>
            <c:ext xmlns:c16="http://schemas.microsoft.com/office/drawing/2014/chart" uri="{C3380CC4-5D6E-409C-BE32-E72D297353CC}">
              <c16:uniqueId val="{00000000-BA99-4438-8485-7D0B11217F95}"/>
            </c:ext>
          </c:extLst>
        </c:ser>
        <c:ser>
          <c:idx val="1"/>
          <c:order val="1"/>
          <c:tx>
            <c:strRef>
              <c:f>'Revenue Model'!$A$140</c:f>
              <c:strCache>
                <c:ptCount val="1"/>
                <c:pt idx="0">
                  <c:v>Best Case</c:v>
                </c:pt>
              </c:strCache>
            </c:strRef>
          </c:tx>
          <c:spPr>
            <a:solidFill>
              <a:srgbClr val="FFC000">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Model'!$B$140:$P$140</c:f>
              <c:numCache>
                <c:formatCode>General</c:formatCode>
                <c:ptCount val="15"/>
                <c:pt idx="10" formatCode="_(* #,##0_);_(* \(#,##0\);_(* &quot;-&quot;??_);_(@_)">
                  <c:v>3887.9633169645358</c:v>
                </c:pt>
                <c:pt idx="11" formatCode="_(* #,##0_);_(* \(#,##0\);_(* &quot;-&quot;??_);_(@_)">
                  <c:v>4185.0618466561909</c:v>
                </c:pt>
                <c:pt idx="12" formatCode="_(* #,##0_);_(* \(#,##0\);_(* &quot;-&quot;??_);_(@_)">
                  <c:v>4504.8631461913274</c:v>
                </c:pt>
                <c:pt idx="13" formatCode="_(* #,##0_);_(* \(#,##0\);_(* &quot;-&quot;??_);_(@_)">
                  <c:v>4849.1020466345781</c:v>
                </c:pt>
                <c:pt idx="14" formatCode="_(* #,##0_);_(* \(#,##0\);_(* &quot;-&quot;??_);_(@_)">
                  <c:v>5219.6459460828637</c:v>
                </c:pt>
              </c:numCache>
            </c:numRef>
          </c:val>
          <c:extLst>
            <c:ext xmlns:c16="http://schemas.microsoft.com/office/drawing/2014/chart" uri="{C3380CC4-5D6E-409C-BE32-E72D297353CC}">
              <c16:uniqueId val="{00000001-BA99-4438-8485-7D0B11217F95}"/>
            </c:ext>
          </c:extLst>
        </c:ser>
        <c:ser>
          <c:idx val="2"/>
          <c:order val="2"/>
          <c:tx>
            <c:strRef>
              <c:f>'Revenue Model'!$A$141</c:f>
              <c:strCache>
                <c:ptCount val="1"/>
                <c:pt idx="0">
                  <c:v>Worst Case</c:v>
                </c:pt>
              </c:strCache>
            </c:strRef>
          </c:tx>
          <c:spPr>
            <a:solidFill>
              <a:srgbClr val="0046AD">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Model'!$B$141:$P$141</c:f>
              <c:numCache>
                <c:formatCode>General</c:formatCode>
                <c:ptCount val="15"/>
                <c:pt idx="10" formatCode="_(* #,##0_);_(* \(#,##0\);_(* &quot;-&quot;??_);_(@_)">
                  <c:v>3680.0403738515083</c:v>
                </c:pt>
                <c:pt idx="11" formatCode="_(* #,##0_);_(* \(#,##0\);_(* &quot;-&quot;??_);_(@_)">
                  <c:v>3749.4082417285604</c:v>
                </c:pt>
                <c:pt idx="12" formatCode="_(* #,##0_);_(* \(#,##0\);_(* &quot;-&quot;??_);_(@_)">
                  <c:v>3820.0836770790561</c:v>
                </c:pt>
                <c:pt idx="13" formatCode="_(* #,##0_);_(* \(#,##0\);_(* &quot;-&quot;??_);_(@_)">
                  <c:v>3892.0913272325147</c:v>
                </c:pt>
                <c:pt idx="14" formatCode="_(* #,##0_);_(* \(#,##0\);_(* &quot;-&quot;??_);_(@_)">
                  <c:v>3965.4563041146348</c:v>
                </c:pt>
              </c:numCache>
            </c:numRef>
          </c:val>
          <c:extLst>
            <c:ext xmlns:c16="http://schemas.microsoft.com/office/drawing/2014/chart" uri="{C3380CC4-5D6E-409C-BE32-E72D297353CC}">
              <c16:uniqueId val="{00000002-BA99-4438-8485-7D0B11217F95}"/>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Model'!$A$142</c:f>
              <c:strCache>
                <c:ptCount val="1"/>
                <c:pt idx="0">
                  <c:v>Change</c:v>
                </c:pt>
              </c:strCache>
            </c:strRef>
          </c:tx>
          <c:spPr>
            <a:ln w="19050" cap="rnd">
              <a:solidFill>
                <a:schemeClr val="tx1"/>
              </a:solidFill>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Model'!$B$142:$P$142</c:f>
              <c:numCache>
                <c:formatCode>0%</c:formatCode>
                <c:ptCount val="15"/>
                <c:pt idx="1">
                  <c:v>2.045923404994987E-3</c:v>
                </c:pt>
                <c:pt idx="2">
                  <c:v>-0.1028997336020756</c:v>
                </c:pt>
                <c:pt idx="3">
                  <c:v>0.27793443064978574</c:v>
                </c:pt>
                <c:pt idx="4">
                  <c:v>8.6424331155854128E-2</c:v>
                </c:pt>
                <c:pt idx="5">
                  <c:v>0.10328980193192816</c:v>
                </c:pt>
                <c:pt idx="6">
                  <c:v>2.2565039502790318E-2</c:v>
                </c:pt>
                <c:pt idx="7">
                  <c:v>0.13194183940624393</c:v>
                </c:pt>
                <c:pt idx="8">
                  <c:v>-5.1813899116872619E-2</c:v>
                </c:pt>
                <c:pt idx="9">
                  <c:v>-3.5742705238996031E-2</c:v>
                </c:pt>
              </c:numCache>
            </c:numRef>
          </c:val>
          <c:smooth val="0"/>
          <c:extLst>
            <c:ext xmlns:c16="http://schemas.microsoft.com/office/drawing/2014/chart" uri="{C3380CC4-5D6E-409C-BE32-E72D297353CC}">
              <c16:uniqueId val="{00000003-BA99-4438-8485-7D0B11217F95}"/>
            </c:ext>
          </c:extLst>
        </c:ser>
        <c:ser>
          <c:idx val="4"/>
          <c:order val="4"/>
          <c:tx>
            <c:strRef>
              <c:f>'Revenue Model'!$A$143</c:f>
              <c:strCache>
                <c:ptCount val="1"/>
                <c:pt idx="0">
                  <c:v>Best Case Change</c:v>
                </c:pt>
              </c:strCache>
            </c:strRef>
          </c:tx>
          <c:spPr>
            <a:ln w="19050" cap="rnd">
              <a:solidFill>
                <a:schemeClr val="tx1"/>
              </a:solidFill>
              <a:prstDash val="sysDot"/>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Model'!$B$143:$P$143</c:f>
              <c:numCache>
                <c:formatCode>_(* #,##0_);_(* \(#,##0\);_(* "-"??_);_(@_)</c:formatCode>
                <c:ptCount val="15"/>
                <c:pt idx="9" formatCode="0%">
                  <c:v>-3.5742705238996031E-2</c:v>
                </c:pt>
                <c:pt idx="10" formatCode="0%">
                  <c:v>7.6414951858036151E-2</c:v>
                </c:pt>
                <c:pt idx="11" formatCode="0%">
                  <c:v>7.6414951858036151E-2</c:v>
                </c:pt>
                <c:pt idx="12" formatCode="0%">
                  <c:v>7.6414951858036151E-2</c:v>
                </c:pt>
                <c:pt idx="13" formatCode="0%">
                  <c:v>7.6414951858035929E-2</c:v>
                </c:pt>
                <c:pt idx="14" formatCode="0%">
                  <c:v>7.6414951858036151E-2</c:v>
                </c:pt>
              </c:numCache>
            </c:numRef>
          </c:val>
          <c:smooth val="0"/>
          <c:extLst>
            <c:ext xmlns:c16="http://schemas.microsoft.com/office/drawing/2014/chart" uri="{C3380CC4-5D6E-409C-BE32-E72D297353CC}">
              <c16:uniqueId val="{00000004-BA99-4438-8485-7D0B11217F95}"/>
            </c:ext>
          </c:extLst>
        </c:ser>
        <c:ser>
          <c:idx val="5"/>
          <c:order val="5"/>
          <c:tx>
            <c:strRef>
              <c:f>'Revenue Model'!$A$144</c:f>
              <c:strCache>
                <c:ptCount val="1"/>
                <c:pt idx="0">
                  <c:v>Worst Case Change</c:v>
                </c:pt>
              </c:strCache>
            </c:strRef>
          </c:tx>
          <c:spPr>
            <a:ln w="19050" cap="rnd">
              <a:solidFill>
                <a:schemeClr val="tx1"/>
              </a:solidFill>
              <a:prstDash val="dash"/>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Model'!$B$144:$P$144</c:f>
              <c:numCache>
                <c:formatCode>_(* #,##0_);_(* \(#,##0\);_(* "-"??_);_(@_)</c:formatCode>
                <c:ptCount val="15"/>
                <c:pt idx="9" formatCode="0%">
                  <c:v>-3.5742705238996031E-2</c:v>
                </c:pt>
                <c:pt idx="10" formatCode="0%">
                  <c:v>1.8849757293410541E-2</c:v>
                </c:pt>
                <c:pt idx="11" formatCode="0%">
                  <c:v>1.8849757293410319E-2</c:v>
                </c:pt>
                <c:pt idx="12" formatCode="0%">
                  <c:v>1.8849757293410319E-2</c:v>
                </c:pt>
                <c:pt idx="13" formatCode="0%">
                  <c:v>1.8849757293410319E-2</c:v>
                </c:pt>
                <c:pt idx="14" formatCode="0%">
                  <c:v>1.8849757293410319E-2</c:v>
                </c:pt>
              </c:numCache>
            </c:numRef>
          </c:val>
          <c:smooth val="0"/>
          <c:extLst>
            <c:ext xmlns:c16="http://schemas.microsoft.com/office/drawing/2014/chart" uri="{C3380CC4-5D6E-409C-BE32-E72D297353CC}">
              <c16:uniqueId val="{00000005-BA99-4438-8485-7D0B11217F95}"/>
            </c:ext>
          </c:extLst>
        </c:ser>
        <c:dLbls>
          <c:showLegendKey val="0"/>
          <c:showVal val="0"/>
          <c:showCatName val="0"/>
          <c:showSerName val="0"/>
          <c:showPercent val="0"/>
          <c:showBubbleSize val="0"/>
        </c:dLbls>
        <c:marker val="1"/>
        <c:smooth val="0"/>
        <c:axId val="311366400"/>
        <c:axId val="311363072"/>
      </c:lineChart>
      <c:dateAx>
        <c:axId val="311344128"/>
        <c:scaling>
          <c:orientation val="minMax"/>
        </c:scaling>
        <c:delete val="0"/>
        <c:axPos val="b"/>
        <c:numFmt formatCode="yyyy"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Offset val="100"/>
        <c:baseTimeUnit val="years"/>
        <c:majorUnit val="2"/>
        <c:majorTimeUnit val="years"/>
      </c:date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dateAx>
        <c:axId val="311366400"/>
        <c:scaling>
          <c:orientation val="minMax"/>
        </c:scaling>
        <c:delete val="1"/>
        <c:axPos val="b"/>
        <c:numFmt formatCode="yyyy" sourceLinked="1"/>
        <c:majorTickMark val="out"/>
        <c:minorTickMark val="none"/>
        <c:tickLblPos val="nextTo"/>
        <c:crossAx val="311363072"/>
        <c:crosses val="autoZero"/>
        <c:auto val="1"/>
        <c:lblOffset val="100"/>
        <c:baseTimeUnit val="years"/>
      </c:dateAx>
      <c:spPr>
        <a:noFill/>
        <a:ln>
          <a:noFill/>
        </a:ln>
        <a:effectLst/>
      </c:spPr>
    </c:plotArea>
    <c:legend>
      <c:legendPos val="t"/>
      <c:layout>
        <c:manualLayout>
          <c:xMode val="edge"/>
          <c:yMode val="edge"/>
          <c:x val="0.115665791776028"/>
          <c:y val="0.13319444444444445"/>
          <c:w val="0.77977952755905511"/>
          <c:h val="0.18894940215806355"/>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Fuel Surcharge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'Revenue Model'!$A$146</c:f>
              <c:strCache>
                <c:ptCount val="1"/>
                <c:pt idx="0">
                  <c:v>Fuel Surcharge</c:v>
                </c:pt>
              </c:strCache>
            </c:strRef>
          </c:tx>
          <c:spPr>
            <a:solidFill>
              <a:srgbClr val="0046AD"/>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Model'!$B$146:$P$146</c:f>
              <c:numCache>
                <c:formatCode>_(* #,##0_);_(* \(#,##0\);_(* "-"??_);_(@_)</c:formatCode>
                <c:ptCount val="15"/>
                <c:pt idx="0">
                  <c:v>3104</c:v>
                </c:pt>
                <c:pt idx="1">
                  <c:v>3983</c:v>
                </c:pt>
                <c:pt idx="2">
                  <c:v>1763</c:v>
                </c:pt>
                <c:pt idx="3">
                  <c:v>2486</c:v>
                </c:pt>
                <c:pt idx="4">
                  <c:v>3581</c:v>
                </c:pt>
                <c:pt idx="5">
                  <c:v>3608</c:v>
                </c:pt>
                <c:pt idx="6">
                  <c:v>3534</c:v>
                </c:pt>
                <c:pt idx="7">
                  <c:v>3539</c:v>
                </c:pt>
                <c:pt idx="8">
                  <c:v>2013</c:v>
                </c:pt>
                <c:pt idx="9">
                  <c:v>560</c:v>
                </c:pt>
              </c:numCache>
            </c:numRef>
          </c:val>
          <c:extLst>
            <c:ext xmlns:c16="http://schemas.microsoft.com/office/drawing/2014/chart" uri="{C3380CC4-5D6E-409C-BE32-E72D297353CC}">
              <c16:uniqueId val="{00000000-DE5D-441F-A349-BA813DB6EBB1}"/>
            </c:ext>
          </c:extLst>
        </c:ser>
        <c:ser>
          <c:idx val="1"/>
          <c:order val="1"/>
          <c:tx>
            <c:strRef>
              <c:f>'Revenue Model'!$A$147</c:f>
              <c:strCache>
                <c:ptCount val="1"/>
                <c:pt idx="0">
                  <c:v>Best Case</c:v>
                </c:pt>
              </c:strCache>
            </c:strRef>
          </c:tx>
          <c:spPr>
            <a:solidFill>
              <a:srgbClr val="FFC000">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Model'!$B$147:$P$147</c:f>
              <c:numCache>
                <c:formatCode>General</c:formatCode>
                <c:ptCount val="15"/>
                <c:pt idx="10" formatCode="_(* #,##0_);_(* \(#,##0\);_(* &quot;-&quot;??_);_(@_)">
                  <c:v>2300</c:v>
                </c:pt>
                <c:pt idx="11" formatCode="_(* #,##0_);_(* \(#,##0\);_(* &quot;-&quot;??_);_(@_)">
                  <c:v>2300</c:v>
                </c:pt>
                <c:pt idx="12" formatCode="_(* #,##0_);_(* \(#,##0\);_(* &quot;-&quot;??_);_(@_)">
                  <c:v>2300</c:v>
                </c:pt>
                <c:pt idx="13" formatCode="_(* #,##0_);_(* \(#,##0\);_(* &quot;-&quot;??_);_(@_)">
                  <c:v>2300</c:v>
                </c:pt>
                <c:pt idx="14" formatCode="_(* #,##0_);_(* \(#,##0\);_(* &quot;-&quot;??_);_(@_)">
                  <c:v>2300</c:v>
                </c:pt>
              </c:numCache>
            </c:numRef>
          </c:val>
          <c:extLst>
            <c:ext xmlns:c16="http://schemas.microsoft.com/office/drawing/2014/chart" uri="{C3380CC4-5D6E-409C-BE32-E72D297353CC}">
              <c16:uniqueId val="{00000001-DE5D-441F-A349-BA813DB6EBB1}"/>
            </c:ext>
          </c:extLst>
        </c:ser>
        <c:ser>
          <c:idx val="2"/>
          <c:order val="2"/>
          <c:tx>
            <c:strRef>
              <c:f>'Revenue Model'!$A$148</c:f>
              <c:strCache>
                <c:ptCount val="1"/>
                <c:pt idx="0">
                  <c:v>Worst Case</c:v>
                </c:pt>
              </c:strCache>
            </c:strRef>
          </c:tx>
          <c:spPr>
            <a:solidFill>
              <a:srgbClr val="0046AD">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Model'!$B$148:$P$148</c:f>
              <c:numCache>
                <c:formatCode>General</c:formatCode>
                <c:ptCount val="15"/>
                <c:pt idx="10" formatCode="_(* #,##0_);_(* \(#,##0\);_(* &quot;-&quot;??_);_(@_)">
                  <c:v>1568.6</c:v>
                </c:pt>
                <c:pt idx="11" formatCode="_(* #,##0_);_(* \(#,##0\);_(* &quot;-&quot;??_);_(@_)">
                  <c:v>1568.6</c:v>
                </c:pt>
                <c:pt idx="12" formatCode="_(* #,##0_);_(* \(#,##0\);_(* &quot;-&quot;??_);_(@_)">
                  <c:v>1568.6</c:v>
                </c:pt>
                <c:pt idx="13" formatCode="_(* #,##0_);_(* \(#,##0\);_(* &quot;-&quot;??_);_(@_)">
                  <c:v>1568.6</c:v>
                </c:pt>
                <c:pt idx="14" formatCode="_(* #,##0_);_(* \(#,##0\);_(* &quot;-&quot;??_);_(@_)">
                  <c:v>1568.6</c:v>
                </c:pt>
              </c:numCache>
            </c:numRef>
          </c:val>
          <c:extLst>
            <c:ext xmlns:c16="http://schemas.microsoft.com/office/drawing/2014/chart" uri="{C3380CC4-5D6E-409C-BE32-E72D297353CC}">
              <c16:uniqueId val="{00000002-DE5D-441F-A349-BA813DB6EBB1}"/>
            </c:ext>
          </c:extLst>
        </c:ser>
        <c:dLbls>
          <c:showLegendKey val="0"/>
          <c:showVal val="0"/>
          <c:showCatName val="0"/>
          <c:showSerName val="0"/>
          <c:showPercent val="0"/>
          <c:showBubbleSize val="0"/>
        </c:dLbls>
        <c:gapWidth val="0"/>
        <c:axId val="311344128"/>
        <c:axId val="311347456"/>
      </c:barChart>
      <c:dateAx>
        <c:axId val="311344128"/>
        <c:scaling>
          <c:orientation val="minMax"/>
        </c:scaling>
        <c:delete val="0"/>
        <c:axPos val="b"/>
        <c:numFmt formatCode="yyyy"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Offset val="100"/>
        <c:baseTimeUnit val="years"/>
        <c:majorUnit val="2"/>
        <c:majorTimeUnit val="years"/>
      </c:date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Other Revenues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71303587051618"/>
          <c:y val="0.34529199475065625"/>
          <c:w val="0.80327755905511811"/>
          <c:h val="0.53969305920093325"/>
        </c:manualLayout>
      </c:layout>
      <c:barChart>
        <c:barDir val="col"/>
        <c:grouping val="clustered"/>
        <c:varyColors val="0"/>
        <c:ser>
          <c:idx val="0"/>
          <c:order val="0"/>
          <c:tx>
            <c:strRef>
              <c:f>'Revenue Model'!$A$150</c:f>
              <c:strCache>
                <c:ptCount val="1"/>
                <c:pt idx="0">
                  <c:v>Other Revenues</c:v>
                </c:pt>
              </c:strCache>
            </c:strRef>
          </c:tx>
          <c:spPr>
            <a:solidFill>
              <a:srgbClr val="0046AD"/>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Model'!$B$150:$P$150</c:f>
              <c:numCache>
                <c:formatCode>_(* #,##0_);_(* \(#,##0\);_(* "-"??_);_(@_)</c:formatCode>
                <c:ptCount val="15"/>
                <c:pt idx="0">
                  <c:v>797</c:v>
                </c:pt>
                <c:pt idx="1">
                  <c:v>852</c:v>
                </c:pt>
                <c:pt idx="2">
                  <c:v>770</c:v>
                </c:pt>
                <c:pt idx="3">
                  <c:v>896</c:v>
                </c:pt>
                <c:pt idx="4">
                  <c:v>1049</c:v>
                </c:pt>
                <c:pt idx="5">
                  <c:v>1240</c:v>
                </c:pt>
                <c:pt idx="6">
                  <c:v>1279</c:v>
                </c:pt>
                <c:pt idx="7">
                  <c:v>1428</c:v>
                </c:pt>
                <c:pt idx="8">
                  <c:v>1416</c:v>
                </c:pt>
                <c:pt idx="9">
                  <c:v>1340</c:v>
                </c:pt>
              </c:numCache>
            </c:numRef>
          </c:val>
          <c:extLst>
            <c:ext xmlns:c16="http://schemas.microsoft.com/office/drawing/2014/chart" uri="{C3380CC4-5D6E-409C-BE32-E72D297353CC}">
              <c16:uniqueId val="{00000000-7DB2-4735-91EC-F42789B6EA94}"/>
            </c:ext>
          </c:extLst>
        </c:ser>
        <c:ser>
          <c:idx val="1"/>
          <c:order val="1"/>
          <c:tx>
            <c:strRef>
              <c:f>'Revenue Model'!$A$151</c:f>
              <c:strCache>
                <c:ptCount val="1"/>
                <c:pt idx="0">
                  <c:v>Best Case</c:v>
                </c:pt>
              </c:strCache>
            </c:strRef>
          </c:tx>
          <c:spPr>
            <a:solidFill>
              <a:srgbClr val="FFC000">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Model'!$B$151:$P$151</c:f>
              <c:numCache>
                <c:formatCode>General</c:formatCode>
                <c:ptCount val="15"/>
                <c:pt idx="10" formatCode="_(* #,##0_);_(* \(#,##0\);_(* &quot;-&quot;??_);_(@_)">
                  <c:v>1474.0000000000002</c:v>
                </c:pt>
                <c:pt idx="11" formatCode="_(* #,##0_);_(* \(#,##0\);_(* &quot;-&quot;??_);_(@_)">
                  <c:v>1621.4000000000003</c:v>
                </c:pt>
                <c:pt idx="12" formatCode="_(* #,##0_);_(* \(#,##0\);_(* &quot;-&quot;??_);_(@_)">
                  <c:v>1783.5400000000004</c:v>
                </c:pt>
                <c:pt idx="13" formatCode="_(* #,##0_);_(* \(#,##0\);_(* &quot;-&quot;??_);_(@_)">
                  <c:v>1961.8940000000007</c:v>
                </c:pt>
                <c:pt idx="14" formatCode="_(* #,##0_);_(* \(#,##0\);_(* &quot;-&quot;??_);_(@_)">
                  <c:v>2158.0834000000009</c:v>
                </c:pt>
              </c:numCache>
            </c:numRef>
          </c:val>
          <c:extLst>
            <c:ext xmlns:c16="http://schemas.microsoft.com/office/drawing/2014/chart" uri="{C3380CC4-5D6E-409C-BE32-E72D297353CC}">
              <c16:uniqueId val="{00000001-7DB2-4735-91EC-F42789B6EA94}"/>
            </c:ext>
          </c:extLst>
        </c:ser>
        <c:ser>
          <c:idx val="2"/>
          <c:order val="2"/>
          <c:tx>
            <c:strRef>
              <c:f>'Revenue Model'!$A$152</c:f>
              <c:strCache>
                <c:ptCount val="1"/>
                <c:pt idx="0">
                  <c:v>Worst Case</c:v>
                </c:pt>
              </c:strCache>
            </c:strRef>
          </c:tx>
          <c:spPr>
            <a:solidFill>
              <a:srgbClr val="0046AD">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Model'!$B$152:$P$152</c:f>
              <c:numCache>
                <c:formatCode>General</c:formatCode>
                <c:ptCount val="15"/>
                <c:pt idx="10" formatCode="_(* #,##0_);_(* \(#,##0\);_(* &quot;-&quot;??_);_(@_)">
                  <c:v>1400.3</c:v>
                </c:pt>
                <c:pt idx="11" formatCode="_(* #,##0_);_(* \(#,##0\);_(* &quot;-&quot;??_);_(@_)">
                  <c:v>1463.3134999999997</c:v>
                </c:pt>
                <c:pt idx="12" formatCode="_(* #,##0_);_(* \(#,##0\);_(* &quot;-&quot;??_);_(@_)">
                  <c:v>1529.1626074999997</c:v>
                </c:pt>
                <c:pt idx="13" formatCode="_(* #,##0_);_(* \(#,##0\);_(* &quot;-&quot;??_);_(@_)">
                  <c:v>1597.9749248374997</c:v>
                </c:pt>
                <c:pt idx="14" formatCode="_(* #,##0_);_(* \(#,##0\);_(* &quot;-&quot;??_);_(@_)">
                  <c:v>1669.8837964551869</c:v>
                </c:pt>
              </c:numCache>
            </c:numRef>
          </c:val>
          <c:extLst>
            <c:ext xmlns:c16="http://schemas.microsoft.com/office/drawing/2014/chart" uri="{C3380CC4-5D6E-409C-BE32-E72D297353CC}">
              <c16:uniqueId val="{00000002-7DB2-4735-91EC-F42789B6EA94}"/>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Model'!$A$153</c:f>
              <c:strCache>
                <c:ptCount val="1"/>
                <c:pt idx="0">
                  <c:v>Change</c:v>
                </c:pt>
              </c:strCache>
            </c:strRef>
          </c:tx>
          <c:spPr>
            <a:ln w="19050" cap="rnd">
              <a:solidFill>
                <a:schemeClr val="tx1"/>
              </a:solidFill>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Model'!$B$153:$P$153</c:f>
              <c:numCache>
                <c:formatCode>0%</c:formatCode>
                <c:ptCount val="15"/>
                <c:pt idx="1">
                  <c:v>6.9008782936009982E-2</c:v>
                </c:pt>
                <c:pt idx="2">
                  <c:v>-9.6244131455399007E-2</c:v>
                </c:pt>
                <c:pt idx="3">
                  <c:v>0.16363636363636358</c:v>
                </c:pt>
                <c:pt idx="4">
                  <c:v>0.1707589285714286</c:v>
                </c:pt>
                <c:pt idx="5">
                  <c:v>0.18207816968541457</c:v>
                </c:pt>
                <c:pt idx="6">
                  <c:v>3.1451612903225845E-2</c:v>
                </c:pt>
                <c:pt idx="7">
                  <c:v>0.11649726348709932</c:v>
                </c:pt>
                <c:pt idx="8">
                  <c:v>-8.4033613445377853E-3</c:v>
                </c:pt>
                <c:pt idx="9">
                  <c:v>-5.3672316384180796E-2</c:v>
                </c:pt>
              </c:numCache>
            </c:numRef>
          </c:val>
          <c:smooth val="0"/>
          <c:extLst>
            <c:ext xmlns:c16="http://schemas.microsoft.com/office/drawing/2014/chart" uri="{C3380CC4-5D6E-409C-BE32-E72D297353CC}">
              <c16:uniqueId val="{00000003-7DB2-4735-91EC-F42789B6EA94}"/>
            </c:ext>
          </c:extLst>
        </c:ser>
        <c:ser>
          <c:idx val="4"/>
          <c:order val="4"/>
          <c:tx>
            <c:strRef>
              <c:f>'Revenue Model'!$A$154</c:f>
              <c:strCache>
                <c:ptCount val="1"/>
                <c:pt idx="0">
                  <c:v>Best Case Change</c:v>
                </c:pt>
              </c:strCache>
            </c:strRef>
          </c:tx>
          <c:spPr>
            <a:ln w="19050" cap="rnd">
              <a:solidFill>
                <a:schemeClr val="tx1"/>
              </a:solidFill>
              <a:prstDash val="sysDot"/>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Model'!$B$154:$P$154</c:f>
              <c:numCache>
                <c:formatCode>_(* #,##0_);_(* \(#,##0\);_(* "-"??_);_(@_)</c:formatCode>
                <c:ptCount val="15"/>
                <c:pt idx="9" formatCode="0%">
                  <c:v>-5.3672316384180796E-2</c:v>
                </c:pt>
                <c:pt idx="10" formatCode="0%">
                  <c:v>0.10000000000000009</c:v>
                </c:pt>
                <c:pt idx="11" formatCode="0%">
                  <c:v>0.10000000000000009</c:v>
                </c:pt>
                <c:pt idx="12" formatCode="0%">
                  <c:v>0.10000000000000009</c:v>
                </c:pt>
                <c:pt idx="13" formatCode="0%">
                  <c:v>0.10000000000000009</c:v>
                </c:pt>
                <c:pt idx="14" formatCode="0%">
                  <c:v>0.10000000000000009</c:v>
                </c:pt>
              </c:numCache>
            </c:numRef>
          </c:val>
          <c:smooth val="0"/>
          <c:extLst>
            <c:ext xmlns:c16="http://schemas.microsoft.com/office/drawing/2014/chart" uri="{C3380CC4-5D6E-409C-BE32-E72D297353CC}">
              <c16:uniqueId val="{00000004-7DB2-4735-91EC-F42789B6EA94}"/>
            </c:ext>
          </c:extLst>
        </c:ser>
        <c:ser>
          <c:idx val="5"/>
          <c:order val="5"/>
          <c:tx>
            <c:strRef>
              <c:f>'Revenue Model'!$A$155</c:f>
              <c:strCache>
                <c:ptCount val="1"/>
                <c:pt idx="0">
                  <c:v>Worst Case Change</c:v>
                </c:pt>
              </c:strCache>
            </c:strRef>
          </c:tx>
          <c:spPr>
            <a:ln w="19050" cap="rnd">
              <a:solidFill>
                <a:schemeClr val="tx1"/>
              </a:solidFill>
              <a:prstDash val="dash"/>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Model'!$B$155:$P$155</c:f>
              <c:numCache>
                <c:formatCode>_(* #,##0_);_(* \(#,##0\);_(* "-"??_);_(@_)</c:formatCode>
                <c:ptCount val="15"/>
                <c:pt idx="9" formatCode="0%">
                  <c:v>-5.3672316384180796E-2</c:v>
                </c:pt>
                <c:pt idx="10" formatCode="0%">
                  <c:v>4.4999999999999929E-2</c:v>
                </c:pt>
                <c:pt idx="11" formatCode="0%">
                  <c:v>4.4999999999999929E-2</c:v>
                </c:pt>
                <c:pt idx="12" formatCode="0%">
                  <c:v>4.4999999999999929E-2</c:v>
                </c:pt>
                <c:pt idx="13" formatCode="0%">
                  <c:v>4.4999999999999929E-2</c:v>
                </c:pt>
                <c:pt idx="14" formatCode="0%">
                  <c:v>4.4999999999999929E-2</c:v>
                </c:pt>
              </c:numCache>
            </c:numRef>
          </c:val>
          <c:smooth val="0"/>
          <c:extLst>
            <c:ext xmlns:c16="http://schemas.microsoft.com/office/drawing/2014/chart" uri="{C3380CC4-5D6E-409C-BE32-E72D297353CC}">
              <c16:uniqueId val="{00000005-7DB2-4735-91EC-F42789B6EA94}"/>
            </c:ext>
          </c:extLst>
        </c:ser>
        <c:dLbls>
          <c:showLegendKey val="0"/>
          <c:showVal val="0"/>
          <c:showCatName val="0"/>
          <c:showSerName val="0"/>
          <c:showPercent val="0"/>
          <c:showBubbleSize val="0"/>
        </c:dLbls>
        <c:marker val="1"/>
        <c:smooth val="0"/>
        <c:axId val="855561096"/>
        <c:axId val="855567984"/>
      </c:lineChart>
      <c:dateAx>
        <c:axId val="311344128"/>
        <c:scaling>
          <c:orientation val="minMax"/>
        </c:scaling>
        <c:delete val="0"/>
        <c:axPos val="b"/>
        <c:numFmt formatCode="yyyy"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Offset val="100"/>
        <c:baseTimeUnit val="years"/>
        <c:majorUnit val="2"/>
        <c:majorTimeUnit val="years"/>
      </c:date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85556798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crossAx val="855561096"/>
        <c:crosses val="max"/>
        <c:crossBetween val="between"/>
      </c:valAx>
      <c:dateAx>
        <c:axId val="855561096"/>
        <c:scaling>
          <c:orientation val="minMax"/>
        </c:scaling>
        <c:delete val="1"/>
        <c:axPos val="b"/>
        <c:numFmt formatCode="yyyy" sourceLinked="1"/>
        <c:majorTickMark val="out"/>
        <c:minorTickMark val="none"/>
        <c:tickLblPos val="nextTo"/>
        <c:crossAx val="855567984"/>
        <c:crosses val="autoZero"/>
        <c:auto val="1"/>
        <c:lblOffset val="100"/>
        <c:baseTimeUnit val="years"/>
      </c:dateAx>
      <c:spPr>
        <a:noFill/>
        <a:ln>
          <a:noFill/>
        </a:ln>
        <a:effectLst/>
      </c:spPr>
    </c:plotArea>
    <c:legend>
      <c:legendPos val="t"/>
      <c:layout>
        <c:manualLayout>
          <c:xMode val="edge"/>
          <c:yMode val="edge"/>
          <c:x val="0.11656846019247596"/>
          <c:y val="0.13319444444444445"/>
          <c:w val="0.8001964129483814"/>
          <c:h val="0.1982086614173228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Arial Narrow" panose="020B0606020202030204" pitchFamily="34" charset="0"/>
                <a:ea typeface="+mn-ea"/>
                <a:cs typeface="+mn-cs"/>
              </a:defRPr>
            </a:pPr>
            <a:r>
              <a:rPr lang="en-US"/>
              <a:t>Union Pacific Revenue by Freight Type vs. Framework Investing Projections</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6.6437443843416169E-2"/>
          <c:y val="0.10430632010931744"/>
          <c:w val="0.93356255615658379"/>
          <c:h val="0.74901144303823208"/>
        </c:manualLayout>
      </c:layout>
      <c:barChart>
        <c:barDir val="col"/>
        <c:grouping val="stacked"/>
        <c:varyColors val="0"/>
        <c:ser>
          <c:idx val="0"/>
          <c:order val="0"/>
          <c:tx>
            <c:strRef>
              <c:f>'[7]Revenue Model'!$T$87</c:f>
              <c:strCache>
                <c:ptCount val="1"/>
                <c:pt idx="0">
                  <c:v>Agricultural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'[7]Revenue Model'!$U$86:$W$86</c:f>
              <c:strCache>
                <c:ptCount val="3"/>
                <c:pt idx="0">
                  <c:v>Worst-Case (ex-Fuel)</c:v>
                </c:pt>
                <c:pt idx="1">
                  <c:v>Extrapolated Actual (incl. Fuel)</c:v>
                </c:pt>
                <c:pt idx="2">
                  <c:v>Best-Case (ex-Fuel)</c:v>
                </c:pt>
              </c:strCache>
            </c:strRef>
          </c:cat>
          <c:val>
            <c:numRef>
              <c:f>'[7]Revenue Model'!$U$87:$W$87</c:f>
              <c:numCache>
                <c:formatCode>_(* #,##0_);_(* \(#,##0\);_(* "-"??_);_(@_)</c:formatCode>
                <c:ptCount val="3"/>
                <c:pt idx="0">
                  <c:v>3585.803737035008</c:v>
                </c:pt>
                <c:pt idx="1">
                  <c:v>3684</c:v>
                </c:pt>
                <c:pt idx="2">
                  <c:v>3665.9816738095487</c:v>
                </c:pt>
              </c:numCache>
            </c:numRef>
          </c:val>
          <c:extLst>
            <c:ext xmlns:c16="http://schemas.microsoft.com/office/drawing/2014/chart" uri="{C3380CC4-5D6E-409C-BE32-E72D297353CC}">
              <c16:uniqueId val="{00000000-FAF6-4BEA-97A1-CDE0DE71FB65}"/>
            </c:ext>
          </c:extLst>
        </c:ser>
        <c:ser>
          <c:idx val="1"/>
          <c:order val="1"/>
          <c:tx>
            <c:strRef>
              <c:f>'[7]Revenue Model'!$T$88</c:f>
              <c:strCache>
                <c:ptCount val="1"/>
                <c:pt idx="0">
                  <c:v>Automotive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'[7]Revenue Model'!$U$86:$W$86</c:f>
              <c:strCache>
                <c:ptCount val="3"/>
                <c:pt idx="0">
                  <c:v>Worst-Case (ex-Fuel)</c:v>
                </c:pt>
                <c:pt idx="1">
                  <c:v>Extrapolated Actual (incl. Fuel)</c:v>
                </c:pt>
                <c:pt idx="2">
                  <c:v>Best-Case (ex-Fuel)</c:v>
                </c:pt>
              </c:strCache>
            </c:strRef>
          </c:cat>
          <c:val>
            <c:numRef>
              <c:f>'[7]Revenue Model'!$U$88:$W$88</c:f>
              <c:numCache>
                <c:formatCode>_(* #,##0_);_(* \(#,##0\);_(* "-"??_);_(@_)</c:formatCode>
                <c:ptCount val="3"/>
                <c:pt idx="0">
                  <c:v>2004.6793296267178</c:v>
                </c:pt>
                <c:pt idx="1">
                  <c:v>1981.3333333333333</c:v>
                </c:pt>
                <c:pt idx="2">
                  <c:v>2288.196218135769</c:v>
                </c:pt>
              </c:numCache>
            </c:numRef>
          </c:val>
          <c:extLst>
            <c:ext xmlns:c16="http://schemas.microsoft.com/office/drawing/2014/chart" uri="{C3380CC4-5D6E-409C-BE32-E72D297353CC}">
              <c16:uniqueId val="{00000001-FAF6-4BEA-97A1-CDE0DE71FB65}"/>
            </c:ext>
          </c:extLst>
        </c:ser>
        <c:ser>
          <c:idx val="2"/>
          <c:order val="2"/>
          <c:tx>
            <c:strRef>
              <c:f>'[7]Revenue Model'!$T$89</c:f>
              <c:strCache>
                <c:ptCount val="1"/>
                <c:pt idx="0">
                  <c:v>Chemicals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'[7]Revenue Model'!$U$86:$W$86</c:f>
              <c:strCache>
                <c:ptCount val="3"/>
                <c:pt idx="0">
                  <c:v>Worst-Case (ex-Fuel)</c:v>
                </c:pt>
                <c:pt idx="1">
                  <c:v>Extrapolated Actual (incl. Fuel)</c:v>
                </c:pt>
                <c:pt idx="2">
                  <c:v>Best-Case (ex-Fuel)</c:v>
                </c:pt>
              </c:strCache>
            </c:strRef>
          </c:cat>
          <c:val>
            <c:numRef>
              <c:f>'[7]Revenue Model'!$U$89:$W$89</c:f>
              <c:numCache>
                <c:formatCode>_(* #,##0_);_(* \(#,##0\);_(* "-"??_);_(@_)</c:formatCode>
                <c:ptCount val="3"/>
                <c:pt idx="0">
                  <c:v>3565.0610280515502</c:v>
                </c:pt>
                <c:pt idx="1">
                  <c:v>3572</c:v>
                </c:pt>
                <c:pt idx="2">
                  <c:v>3738.9333179863083</c:v>
                </c:pt>
              </c:numCache>
            </c:numRef>
          </c:val>
          <c:extLst>
            <c:ext xmlns:c16="http://schemas.microsoft.com/office/drawing/2014/chart" uri="{C3380CC4-5D6E-409C-BE32-E72D297353CC}">
              <c16:uniqueId val="{00000002-FAF6-4BEA-97A1-CDE0DE71FB65}"/>
            </c:ext>
          </c:extLst>
        </c:ser>
        <c:ser>
          <c:idx val="3"/>
          <c:order val="3"/>
          <c:tx>
            <c:strRef>
              <c:f>'[7]Revenue Model'!$T$90</c:f>
              <c:strCache>
                <c:ptCount val="1"/>
                <c:pt idx="0">
                  <c:v>Coal</c:v>
                </c:pt>
              </c:strCache>
            </c:strRef>
          </c:tx>
          <c:spPr>
            <a:solidFill>
              <a:srgbClr val="575A5D"/>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Narrow" panose="020B060602020203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'[7]Revenue Model'!$U$86:$W$86</c:f>
              <c:strCache>
                <c:ptCount val="3"/>
                <c:pt idx="0">
                  <c:v>Worst-Case (ex-Fuel)</c:v>
                </c:pt>
                <c:pt idx="1">
                  <c:v>Extrapolated Actual (incl. Fuel)</c:v>
                </c:pt>
                <c:pt idx="2">
                  <c:v>Best-Case (ex-Fuel)</c:v>
                </c:pt>
              </c:strCache>
            </c:strRef>
          </c:cat>
          <c:val>
            <c:numRef>
              <c:f>'[7]Revenue Model'!$U$90:$W$90</c:f>
              <c:numCache>
                <c:formatCode>_(* #,##0_);_(* \(#,##0\);_(* "-"??_);_(@_)</c:formatCode>
                <c:ptCount val="3"/>
                <c:pt idx="0">
                  <c:v>2244.8517284604077</c:v>
                </c:pt>
                <c:pt idx="1">
                  <c:v>2637.3333333333335</c:v>
                </c:pt>
                <c:pt idx="2">
                  <c:v>2400.9720482783364</c:v>
                </c:pt>
              </c:numCache>
            </c:numRef>
          </c:val>
          <c:extLst>
            <c:ext xmlns:c16="http://schemas.microsoft.com/office/drawing/2014/chart" uri="{C3380CC4-5D6E-409C-BE32-E72D297353CC}">
              <c16:uniqueId val="{00000003-FAF6-4BEA-97A1-CDE0DE71FB65}"/>
            </c:ext>
          </c:extLst>
        </c:ser>
        <c:ser>
          <c:idx val="4"/>
          <c:order val="4"/>
          <c:tx>
            <c:strRef>
              <c:f>'[7]Revenue Model'!$T$91</c:f>
              <c:strCache>
                <c:ptCount val="1"/>
                <c:pt idx="0">
                  <c:v>Industrial</c:v>
                </c:pt>
              </c:strCache>
            </c:strRef>
          </c:tx>
          <c:spPr>
            <a:solidFill>
              <a:srgbClr val="0046AD"/>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Narrow" panose="020B060602020203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'[7]Revenue Model'!$U$86:$W$86</c:f>
              <c:strCache>
                <c:ptCount val="3"/>
                <c:pt idx="0">
                  <c:v>Worst-Case (ex-Fuel)</c:v>
                </c:pt>
                <c:pt idx="1">
                  <c:v>Extrapolated Actual (incl. Fuel)</c:v>
                </c:pt>
                <c:pt idx="2">
                  <c:v>Best-Case (ex-Fuel)</c:v>
                </c:pt>
              </c:strCache>
            </c:strRef>
          </c:cat>
          <c:val>
            <c:numRef>
              <c:f>'[7]Revenue Model'!$U$91:$W$91</c:f>
              <c:numCache>
                <c:formatCode>_(* #,##0_);_(* \(#,##0\);_(* "-"??_);_(@_)</c:formatCode>
                <c:ptCount val="3"/>
                <c:pt idx="0">
                  <c:v>3334.4451071812027</c:v>
                </c:pt>
                <c:pt idx="1">
                  <c:v>4021.3333333333335</c:v>
                </c:pt>
                <c:pt idx="2">
                  <c:v>3498.4644131046775</c:v>
                </c:pt>
              </c:numCache>
            </c:numRef>
          </c:val>
          <c:extLst>
            <c:ext xmlns:c16="http://schemas.microsoft.com/office/drawing/2014/chart" uri="{C3380CC4-5D6E-409C-BE32-E72D297353CC}">
              <c16:uniqueId val="{00000004-FAF6-4BEA-97A1-CDE0DE71FB65}"/>
            </c:ext>
          </c:extLst>
        </c:ser>
        <c:ser>
          <c:idx val="5"/>
          <c:order val="5"/>
          <c:tx>
            <c:strRef>
              <c:f>'[7]Revenue Model'!$T$92</c:f>
              <c:strCache>
                <c:ptCount val="1"/>
                <c:pt idx="0">
                  <c:v>Intermodal</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'[7]Revenue Model'!$U$86:$W$86</c:f>
              <c:strCache>
                <c:ptCount val="3"/>
                <c:pt idx="0">
                  <c:v>Worst-Case (ex-Fuel)</c:v>
                </c:pt>
                <c:pt idx="1">
                  <c:v>Extrapolated Actual (incl. Fuel)</c:v>
                </c:pt>
                <c:pt idx="2">
                  <c:v>Best-Case (ex-Fuel)</c:v>
                </c:pt>
              </c:strCache>
            </c:strRef>
          </c:cat>
          <c:val>
            <c:numRef>
              <c:f>'[7]Revenue Model'!$U$92:$W$92</c:f>
              <c:numCache>
                <c:formatCode>_(* #,##0_);_(* \(#,##0\);_(* "-"??_);_(@_)</c:formatCode>
                <c:ptCount val="3"/>
                <c:pt idx="0">
                  <c:v>3680.0403738515083</c:v>
                </c:pt>
                <c:pt idx="1">
                  <c:v>3770.6666666666665</c:v>
                </c:pt>
                <c:pt idx="2">
                  <c:v>3887.9633169645358</c:v>
                </c:pt>
              </c:numCache>
            </c:numRef>
          </c:val>
          <c:extLst>
            <c:ext xmlns:c16="http://schemas.microsoft.com/office/drawing/2014/chart" uri="{C3380CC4-5D6E-409C-BE32-E72D297353CC}">
              <c16:uniqueId val="{00000005-FAF6-4BEA-97A1-CDE0DE71FB65}"/>
            </c:ext>
          </c:extLst>
        </c:ser>
        <c:ser>
          <c:idx val="6"/>
          <c:order val="6"/>
          <c:tx>
            <c:strRef>
              <c:f>'[7]Revenue Model'!$T$93</c:f>
              <c:strCache>
                <c:ptCount val="1"/>
                <c:pt idx="0">
                  <c:v>Fuel Surcharge</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Arial Narrow" panose="020B060602020203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'[7]Revenue Model'!$U$86:$W$86</c:f>
              <c:strCache>
                <c:ptCount val="3"/>
                <c:pt idx="0">
                  <c:v>Worst-Case (ex-Fuel)</c:v>
                </c:pt>
                <c:pt idx="1">
                  <c:v>Extrapolated Actual (incl. Fuel)</c:v>
                </c:pt>
                <c:pt idx="2">
                  <c:v>Best-Case (ex-Fuel)</c:v>
                </c:pt>
              </c:strCache>
            </c:strRef>
          </c:cat>
          <c:val>
            <c:numRef>
              <c:f>'[7]Revenue Model'!$U$93:$W$93</c:f>
              <c:numCache>
                <c:formatCode>General</c:formatCode>
                <c:ptCount val="3"/>
                <c:pt idx="0" formatCode="_(* #,##0_);_(* \(#,##0\);_(* &quot;-&quot;??_);_(@_)">
                  <c:v>1568.6</c:v>
                </c:pt>
                <c:pt idx="2" formatCode="_(* #,##0_);_(* \(#,##0\);_(* &quot;-&quot;??_);_(@_)">
                  <c:v>2300</c:v>
                </c:pt>
              </c:numCache>
            </c:numRef>
          </c:val>
          <c:extLst>
            <c:ext xmlns:c16="http://schemas.microsoft.com/office/drawing/2014/chart" uri="{C3380CC4-5D6E-409C-BE32-E72D297353CC}">
              <c16:uniqueId val="{00000006-FAF6-4BEA-97A1-CDE0DE71FB65}"/>
            </c:ext>
          </c:extLst>
        </c:ser>
        <c:ser>
          <c:idx val="7"/>
          <c:order val="7"/>
          <c:tx>
            <c:strRef>
              <c:f>'[7]Revenue Model'!$T$94</c:f>
              <c:strCache>
                <c:ptCount val="1"/>
                <c:pt idx="0">
                  <c:v>Other</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Arial Narrow" panose="020B060602020203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'[7]Revenue Model'!$U$86:$W$86</c:f>
              <c:strCache>
                <c:ptCount val="3"/>
                <c:pt idx="0">
                  <c:v>Worst-Case (ex-Fuel)</c:v>
                </c:pt>
                <c:pt idx="1">
                  <c:v>Extrapolated Actual (incl. Fuel)</c:v>
                </c:pt>
                <c:pt idx="2">
                  <c:v>Best-Case (ex-Fuel)</c:v>
                </c:pt>
              </c:strCache>
            </c:strRef>
          </c:cat>
          <c:val>
            <c:numRef>
              <c:f>'[7]Revenue Model'!$U$94:$W$94</c:f>
              <c:numCache>
                <c:formatCode>_(* #,##0_);_(* \(#,##0\);_(* "-"??_);_(@_)</c:formatCode>
                <c:ptCount val="3"/>
                <c:pt idx="0">
                  <c:v>1400.3</c:v>
                </c:pt>
                <c:pt idx="1">
                  <c:v>1386.6666666666667</c:v>
                </c:pt>
                <c:pt idx="2">
                  <c:v>1474.0000000000002</c:v>
                </c:pt>
              </c:numCache>
            </c:numRef>
          </c:val>
          <c:extLst>
            <c:ext xmlns:c16="http://schemas.microsoft.com/office/drawing/2014/chart" uri="{C3380CC4-5D6E-409C-BE32-E72D297353CC}">
              <c16:uniqueId val="{00000007-FAF6-4BEA-97A1-CDE0DE71FB65}"/>
            </c:ext>
          </c:extLst>
        </c:ser>
        <c:dLbls>
          <c:showLegendKey val="0"/>
          <c:showVal val="0"/>
          <c:showCatName val="0"/>
          <c:showSerName val="0"/>
          <c:showPercent val="0"/>
          <c:showBubbleSize val="0"/>
        </c:dLbls>
        <c:gapWidth val="150"/>
        <c:overlap val="100"/>
        <c:axId val="896652088"/>
        <c:axId val="896656352"/>
      </c:barChart>
      <c:catAx>
        <c:axId val="89665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n-US"/>
          </a:p>
        </c:txPr>
        <c:crossAx val="896656352"/>
        <c:crosses val="autoZero"/>
        <c:auto val="1"/>
        <c:lblAlgn val="ctr"/>
        <c:lblOffset val="100"/>
        <c:noMultiLvlLbl val="0"/>
      </c:catAx>
      <c:valAx>
        <c:axId val="89665635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n-US"/>
          </a:p>
        </c:txPr>
        <c:crossAx val="8966520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latin typeface="Arial Narrow" panose="020B0606020202030204" pitchFamily="34" charset="0"/>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Revenue: Actual (2016) vs. Old and New Projections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'Update Comparisons'!$B$1</c:f>
              <c:strCache>
                <c:ptCount val="1"/>
                <c:pt idx="0">
                  <c:v>Worst-Case (Old)</c:v>
                </c:pt>
              </c:strCache>
            </c:strRef>
          </c:tx>
          <c:spPr>
            <a:noFill/>
            <a:ln>
              <a:solidFill>
                <a:srgbClr val="FFC000"/>
              </a:solidFill>
            </a:ln>
            <a:effectLst/>
          </c:spPr>
          <c:invertIfNegative val="0"/>
          <c:cat>
            <c:numRef>
              <c:f>'Update Comparisons'!$A$2:$A$7</c:f>
              <c:numCache>
                <c:formatCode>General</c:formatCode>
                <c:ptCount val="6"/>
                <c:pt idx="0">
                  <c:v>2016</c:v>
                </c:pt>
                <c:pt idx="1">
                  <c:v>2017</c:v>
                </c:pt>
                <c:pt idx="2">
                  <c:v>2018</c:v>
                </c:pt>
                <c:pt idx="3">
                  <c:v>2019</c:v>
                </c:pt>
                <c:pt idx="4">
                  <c:v>2020</c:v>
                </c:pt>
                <c:pt idx="5">
                  <c:v>2021</c:v>
                </c:pt>
              </c:numCache>
            </c:numRef>
          </c:cat>
          <c:val>
            <c:numRef>
              <c:f>'Update Comparisons'!$B$2:$B$7</c:f>
              <c:numCache>
                <c:formatCode>_(* #,##0_);_(* \(#,##0\);_(* "-"??_);_(@_)</c:formatCode>
                <c:ptCount val="6"/>
                <c:pt idx="0">
                  <c:v>19588.074000000001</c:v>
                </c:pt>
                <c:pt idx="1">
                  <c:v>19869.519302814017</c:v>
                </c:pt>
                <c:pt idx="2">
                  <c:v>20259.054584430778</c:v>
                </c:pt>
                <c:pt idx="3">
                  <c:v>20757.511939710152</c:v>
                </c:pt>
                <c:pt idx="4">
                  <c:v>21366.699390098016</c:v>
                </c:pt>
              </c:numCache>
            </c:numRef>
          </c:val>
          <c:extLst>
            <c:ext xmlns:c16="http://schemas.microsoft.com/office/drawing/2014/chart" uri="{C3380CC4-5D6E-409C-BE32-E72D297353CC}">
              <c16:uniqueId val="{00000000-8C9A-4122-91FC-6469C07CC529}"/>
            </c:ext>
          </c:extLst>
        </c:ser>
        <c:ser>
          <c:idx val="1"/>
          <c:order val="1"/>
          <c:tx>
            <c:strRef>
              <c:f>'Update Comparisons'!$C$1</c:f>
              <c:strCache>
                <c:ptCount val="1"/>
                <c:pt idx="0">
                  <c:v>Actual</c:v>
                </c:pt>
              </c:strCache>
            </c:strRef>
          </c:tx>
          <c:spPr>
            <a:solidFill>
              <a:srgbClr val="0049AA"/>
            </a:solidFill>
            <a:ln>
              <a:noFill/>
            </a:ln>
            <a:effectLst/>
          </c:spPr>
          <c:invertIfNegative val="0"/>
          <c:cat>
            <c:numRef>
              <c:f>'Update Comparisons'!$A$2:$A$7</c:f>
              <c:numCache>
                <c:formatCode>General</c:formatCode>
                <c:ptCount val="6"/>
                <c:pt idx="0">
                  <c:v>2016</c:v>
                </c:pt>
                <c:pt idx="1">
                  <c:v>2017</c:v>
                </c:pt>
                <c:pt idx="2">
                  <c:v>2018</c:v>
                </c:pt>
                <c:pt idx="3">
                  <c:v>2019</c:v>
                </c:pt>
                <c:pt idx="4">
                  <c:v>2020</c:v>
                </c:pt>
                <c:pt idx="5">
                  <c:v>2021</c:v>
                </c:pt>
              </c:numCache>
            </c:numRef>
          </c:cat>
          <c:val>
            <c:numRef>
              <c:f>'Update Comparisons'!$C$2:$C$7</c:f>
              <c:numCache>
                <c:formatCode>General</c:formatCode>
                <c:ptCount val="6"/>
                <c:pt idx="0" formatCode="_(* #,##0_);_(* \(#,##0\);_(* &quot;-&quot;??_);_(@_)">
                  <c:v>19941</c:v>
                </c:pt>
              </c:numCache>
            </c:numRef>
          </c:val>
          <c:extLst>
            <c:ext xmlns:c16="http://schemas.microsoft.com/office/drawing/2014/chart" uri="{C3380CC4-5D6E-409C-BE32-E72D297353CC}">
              <c16:uniqueId val="{00000001-8C9A-4122-91FC-6469C07CC529}"/>
            </c:ext>
          </c:extLst>
        </c:ser>
        <c:ser>
          <c:idx val="2"/>
          <c:order val="2"/>
          <c:tx>
            <c:strRef>
              <c:f>'Update Comparisons'!$D$1</c:f>
              <c:strCache>
                <c:ptCount val="1"/>
                <c:pt idx="0">
                  <c:v>Best-Case (Old)</c:v>
                </c:pt>
              </c:strCache>
            </c:strRef>
          </c:tx>
          <c:spPr>
            <a:noFill/>
            <a:ln>
              <a:solidFill>
                <a:srgbClr val="0049AA"/>
              </a:solidFill>
            </a:ln>
            <a:effectLst/>
          </c:spPr>
          <c:invertIfNegative val="0"/>
          <c:cat>
            <c:numRef>
              <c:f>'Update Comparisons'!$A$2:$A$7</c:f>
              <c:numCache>
                <c:formatCode>General</c:formatCode>
                <c:ptCount val="6"/>
                <c:pt idx="0">
                  <c:v>2016</c:v>
                </c:pt>
                <c:pt idx="1">
                  <c:v>2017</c:v>
                </c:pt>
                <c:pt idx="2">
                  <c:v>2018</c:v>
                </c:pt>
                <c:pt idx="3">
                  <c:v>2019</c:v>
                </c:pt>
                <c:pt idx="4">
                  <c:v>2020</c:v>
                </c:pt>
                <c:pt idx="5">
                  <c:v>2021</c:v>
                </c:pt>
              </c:numCache>
            </c:numRef>
          </c:cat>
          <c:val>
            <c:numRef>
              <c:f>'Update Comparisons'!$D$2:$D$7</c:f>
              <c:numCache>
                <c:formatCode>_(* #,##0_);_(* \(#,##0\);_(* "-"??_);_(@_)</c:formatCode>
                <c:ptCount val="6"/>
                <c:pt idx="0">
                  <c:v>20896.853999999999</c:v>
                </c:pt>
                <c:pt idx="1">
                  <c:v>22278.248662564198</c:v>
                </c:pt>
                <c:pt idx="2">
                  <c:v>23770.877612492528</c:v>
                </c:pt>
                <c:pt idx="3">
                  <c:v>25384.941452738865</c:v>
                </c:pt>
                <c:pt idx="4">
                  <c:v>27131.629574110102</c:v>
                </c:pt>
              </c:numCache>
            </c:numRef>
          </c:val>
          <c:extLst>
            <c:ext xmlns:c16="http://schemas.microsoft.com/office/drawing/2014/chart" uri="{C3380CC4-5D6E-409C-BE32-E72D297353CC}">
              <c16:uniqueId val="{00000002-8C9A-4122-91FC-6469C07CC529}"/>
            </c:ext>
          </c:extLst>
        </c:ser>
        <c:ser>
          <c:idx val="3"/>
          <c:order val="3"/>
          <c:tx>
            <c:strRef>
              <c:f>'Update Comparisons'!$E$1</c:f>
              <c:strCache>
                <c:ptCount val="1"/>
                <c:pt idx="0">
                  <c:v>Worst-Case (New)</c:v>
                </c:pt>
              </c:strCache>
            </c:strRef>
          </c:tx>
          <c:spPr>
            <a:solidFill>
              <a:srgbClr val="FFC000">
                <a:alpha val="50000"/>
              </a:srgbClr>
            </a:solidFill>
            <a:ln>
              <a:noFill/>
            </a:ln>
            <a:effectLst/>
          </c:spPr>
          <c:invertIfNegative val="0"/>
          <c:cat>
            <c:numRef>
              <c:f>'Update Comparisons'!$A$2:$A$7</c:f>
              <c:numCache>
                <c:formatCode>General</c:formatCode>
                <c:ptCount val="6"/>
                <c:pt idx="0">
                  <c:v>2016</c:v>
                </c:pt>
                <c:pt idx="1">
                  <c:v>2017</c:v>
                </c:pt>
                <c:pt idx="2">
                  <c:v>2018</c:v>
                </c:pt>
                <c:pt idx="3">
                  <c:v>2019</c:v>
                </c:pt>
                <c:pt idx="4">
                  <c:v>2020</c:v>
                </c:pt>
                <c:pt idx="5">
                  <c:v>2021</c:v>
                </c:pt>
              </c:numCache>
            </c:numRef>
          </c:cat>
          <c:val>
            <c:numRef>
              <c:f>'Update Comparisons'!$E$2:$E$7</c:f>
              <c:numCache>
                <c:formatCode>_(* #,##0_);_(* \(#,##0\);_(* "-"??_);_(@_)</c:formatCode>
                <c:ptCount val="6"/>
                <c:pt idx="1">
                  <c:v>22653.311027424446</c:v>
                </c:pt>
                <c:pt idx="2">
                  <c:v>23298.790108060864</c:v>
                </c:pt>
                <c:pt idx="3">
                  <c:v>23969.741971123149</c:v>
                </c:pt>
                <c:pt idx="4">
                  <c:v>24667.30474459385</c:v>
                </c:pt>
                <c:pt idx="5">
                  <c:v>25392.672182132414</c:v>
                </c:pt>
              </c:numCache>
            </c:numRef>
          </c:val>
          <c:extLst>
            <c:ext xmlns:c16="http://schemas.microsoft.com/office/drawing/2014/chart" uri="{C3380CC4-5D6E-409C-BE32-E72D297353CC}">
              <c16:uniqueId val="{00000003-8C9A-4122-91FC-6469C07CC529}"/>
            </c:ext>
          </c:extLst>
        </c:ser>
        <c:ser>
          <c:idx val="4"/>
          <c:order val="4"/>
          <c:tx>
            <c:strRef>
              <c:f>'Update Comparisons'!$F$1</c:f>
              <c:strCache>
                <c:ptCount val="1"/>
                <c:pt idx="0">
                  <c:v>Best-Case (New)</c:v>
                </c:pt>
              </c:strCache>
            </c:strRef>
          </c:tx>
          <c:spPr>
            <a:solidFill>
              <a:srgbClr val="0046AD">
                <a:alpha val="50000"/>
              </a:srgbClr>
            </a:solidFill>
            <a:ln>
              <a:noFill/>
            </a:ln>
            <a:effectLst/>
          </c:spPr>
          <c:invertIfNegative val="0"/>
          <c:cat>
            <c:numRef>
              <c:f>'Update Comparisons'!$A$2:$A$7</c:f>
              <c:numCache>
                <c:formatCode>General</c:formatCode>
                <c:ptCount val="6"/>
                <c:pt idx="0">
                  <c:v>2016</c:v>
                </c:pt>
                <c:pt idx="1">
                  <c:v>2017</c:v>
                </c:pt>
                <c:pt idx="2">
                  <c:v>2018</c:v>
                </c:pt>
                <c:pt idx="3">
                  <c:v>2019</c:v>
                </c:pt>
                <c:pt idx="4">
                  <c:v>2020</c:v>
                </c:pt>
                <c:pt idx="5">
                  <c:v>2021</c:v>
                </c:pt>
              </c:numCache>
            </c:numRef>
          </c:cat>
          <c:val>
            <c:numRef>
              <c:f>'Update Comparisons'!$F$2:$F$7</c:f>
              <c:numCache>
                <c:formatCode>_(* #,##0_);_(* \(#,##0\);_(* "-"??_);_(@_)</c:formatCode>
                <c:ptCount val="6"/>
                <c:pt idx="1">
                  <c:v>24555.056032230579</c:v>
                </c:pt>
                <c:pt idx="2">
                  <c:v>26567.964116454496</c:v>
                </c:pt>
                <c:pt idx="3">
                  <c:v>28791.386856759451</c:v>
                </c:pt>
                <c:pt idx="4">
                  <c:v>31249.489854073479</c:v>
                </c:pt>
                <c:pt idx="5">
                  <c:v>33969.455587962868</c:v>
                </c:pt>
              </c:numCache>
            </c:numRef>
          </c:val>
          <c:extLst>
            <c:ext xmlns:c16="http://schemas.microsoft.com/office/drawing/2014/chart" uri="{C3380CC4-5D6E-409C-BE32-E72D297353CC}">
              <c16:uniqueId val="{00000004-8C9A-4122-91FC-6469C07CC529}"/>
            </c:ext>
          </c:extLst>
        </c:ser>
        <c:dLbls>
          <c:showLegendKey val="0"/>
          <c:showVal val="0"/>
          <c:showCatName val="0"/>
          <c:showSerName val="0"/>
          <c:showPercent val="0"/>
          <c:showBubbleSize val="0"/>
        </c:dLbls>
        <c:gapWidth val="219"/>
        <c:overlap val="-27"/>
        <c:axId val="727144336"/>
        <c:axId val="727144664"/>
      </c:barChart>
      <c:catAx>
        <c:axId val="72714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27144664"/>
        <c:crosses val="autoZero"/>
        <c:auto val="1"/>
        <c:lblAlgn val="ctr"/>
        <c:lblOffset val="100"/>
        <c:noMultiLvlLbl val="0"/>
      </c:catAx>
      <c:valAx>
        <c:axId val="72714466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271443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OCP: Actual (2016) vs. Old and New Projections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'Update Comparisons'!$B$12</c:f>
              <c:strCache>
                <c:ptCount val="1"/>
                <c:pt idx="0">
                  <c:v>Worst-Case (Old)</c:v>
                </c:pt>
              </c:strCache>
            </c:strRef>
          </c:tx>
          <c:spPr>
            <a:noFill/>
            <a:ln>
              <a:solidFill>
                <a:srgbClr val="FFC000"/>
              </a:solidFill>
            </a:ln>
            <a:effectLst/>
          </c:spPr>
          <c:invertIfNegative val="0"/>
          <c:cat>
            <c:numRef>
              <c:f>'Update Comparisons'!$A$13:$A$18</c:f>
              <c:numCache>
                <c:formatCode>General</c:formatCode>
                <c:ptCount val="6"/>
                <c:pt idx="0">
                  <c:v>2016</c:v>
                </c:pt>
                <c:pt idx="1">
                  <c:v>2017</c:v>
                </c:pt>
                <c:pt idx="2">
                  <c:v>2018</c:v>
                </c:pt>
                <c:pt idx="3">
                  <c:v>2019</c:v>
                </c:pt>
                <c:pt idx="4">
                  <c:v>2020</c:v>
                </c:pt>
                <c:pt idx="5">
                  <c:v>2021</c:v>
                </c:pt>
              </c:numCache>
            </c:numRef>
          </c:cat>
          <c:val>
            <c:numRef>
              <c:f>'Update Comparisons'!$B$13:$B$18</c:f>
              <c:numCache>
                <c:formatCode>_(* #,##0_);_(* \(#,##0\);_(* "-"??_);_(@_)</c:formatCode>
                <c:ptCount val="6"/>
                <c:pt idx="0">
                  <c:v>4505.25702</c:v>
                </c:pt>
                <c:pt idx="1">
                  <c:v>4569.9894396472237</c:v>
                </c:pt>
                <c:pt idx="2">
                  <c:v>4659.5825544190793</c:v>
                </c:pt>
                <c:pt idx="3">
                  <c:v>4774.2277461333351</c:v>
                </c:pt>
                <c:pt idx="4">
                  <c:v>4914.3408597225443</c:v>
                </c:pt>
              </c:numCache>
            </c:numRef>
          </c:val>
          <c:extLst>
            <c:ext xmlns:c16="http://schemas.microsoft.com/office/drawing/2014/chart" uri="{C3380CC4-5D6E-409C-BE32-E72D297353CC}">
              <c16:uniqueId val="{00000000-F300-4E25-AA82-00064D04496B}"/>
            </c:ext>
          </c:extLst>
        </c:ser>
        <c:ser>
          <c:idx val="1"/>
          <c:order val="1"/>
          <c:tx>
            <c:strRef>
              <c:f>'Update Comparisons'!$C$12</c:f>
              <c:strCache>
                <c:ptCount val="1"/>
                <c:pt idx="0">
                  <c:v>Actual</c:v>
                </c:pt>
              </c:strCache>
            </c:strRef>
          </c:tx>
          <c:spPr>
            <a:solidFill>
              <a:srgbClr val="0049AA"/>
            </a:solidFill>
            <a:ln>
              <a:noFill/>
            </a:ln>
            <a:effectLst/>
          </c:spPr>
          <c:invertIfNegative val="0"/>
          <c:cat>
            <c:numRef>
              <c:f>'Update Comparisons'!$A$13:$A$18</c:f>
              <c:numCache>
                <c:formatCode>General</c:formatCode>
                <c:ptCount val="6"/>
                <c:pt idx="0">
                  <c:v>2016</c:v>
                </c:pt>
                <c:pt idx="1">
                  <c:v>2017</c:v>
                </c:pt>
                <c:pt idx="2">
                  <c:v>2018</c:v>
                </c:pt>
                <c:pt idx="3">
                  <c:v>2019</c:v>
                </c:pt>
                <c:pt idx="4">
                  <c:v>2020</c:v>
                </c:pt>
                <c:pt idx="5">
                  <c:v>2021</c:v>
                </c:pt>
              </c:numCache>
            </c:numRef>
          </c:cat>
          <c:val>
            <c:numRef>
              <c:f>'Update Comparisons'!$C$13:$C$18</c:f>
              <c:numCache>
                <c:formatCode>General</c:formatCode>
                <c:ptCount val="6"/>
                <c:pt idx="0" formatCode="_(* #,##0_);_(* \(#,##0\);_(* &quot;-&quot;??_);_(@_)">
                  <c:v>5445</c:v>
                </c:pt>
              </c:numCache>
            </c:numRef>
          </c:val>
          <c:extLst>
            <c:ext xmlns:c16="http://schemas.microsoft.com/office/drawing/2014/chart" uri="{C3380CC4-5D6E-409C-BE32-E72D297353CC}">
              <c16:uniqueId val="{00000001-F300-4E25-AA82-00064D04496B}"/>
            </c:ext>
          </c:extLst>
        </c:ser>
        <c:ser>
          <c:idx val="2"/>
          <c:order val="2"/>
          <c:tx>
            <c:strRef>
              <c:f>'Update Comparisons'!$D$12</c:f>
              <c:strCache>
                <c:ptCount val="1"/>
                <c:pt idx="0">
                  <c:v>Best-Case (Old)</c:v>
                </c:pt>
              </c:strCache>
            </c:strRef>
          </c:tx>
          <c:spPr>
            <a:noFill/>
            <a:ln>
              <a:solidFill>
                <a:srgbClr val="0049AA"/>
              </a:solidFill>
            </a:ln>
            <a:effectLst/>
          </c:spPr>
          <c:invertIfNegative val="0"/>
          <c:cat>
            <c:numRef>
              <c:f>'Update Comparisons'!$A$13:$A$18</c:f>
              <c:numCache>
                <c:formatCode>General</c:formatCode>
                <c:ptCount val="6"/>
                <c:pt idx="0">
                  <c:v>2016</c:v>
                </c:pt>
                <c:pt idx="1">
                  <c:v>2017</c:v>
                </c:pt>
                <c:pt idx="2">
                  <c:v>2018</c:v>
                </c:pt>
                <c:pt idx="3">
                  <c:v>2019</c:v>
                </c:pt>
                <c:pt idx="4">
                  <c:v>2020</c:v>
                </c:pt>
                <c:pt idx="5">
                  <c:v>2021</c:v>
                </c:pt>
              </c:numCache>
            </c:numRef>
          </c:cat>
          <c:val>
            <c:numRef>
              <c:f>'Update Comparisons'!$D$13:$D$18</c:f>
              <c:numCache>
                <c:formatCode>_(* #,##0_);_(* \(#,##0\);_(* "-"??_);_(@_)</c:formatCode>
                <c:ptCount val="6"/>
                <c:pt idx="0">
                  <c:v>5642.1505800000004</c:v>
                </c:pt>
                <c:pt idx="1">
                  <c:v>6015.1271388923342</c:v>
                </c:pt>
                <c:pt idx="2">
                  <c:v>6418.1369553729828</c:v>
                </c:pt>
                <c:pt idx="3">
                  <c:v>6853.9341922394942</c:v>
                </c:pt>
                <c:pt idx="4">
                  <c:v>7325.5399850097283</c:v>
                </c:pt>
              </c:numCache>
            </c:numRef>
          </c:val>
          <c:extLst>
            <c:ext xmlns:c16="http://schemas.microsoft.com/office/drawing/2014/chart" uri="{C3380CC4-5D6E-409C-BE32-E72D297353CC}">
              <c16:uniqueId val="{00000002-F300-4E25-AA82-00064D04496B}"/>
            </c:ext>
          </c:extLst>
        </c:ser>
        <c:ser>
          <c:idx val="3"/>
          <c:order val="3"/>
          <c:tx>
            <c:strRef>
              <c:f>'Update Comparisons'!$E$12</c:f>
              <c:strCache>
                <c:ptCount val="1"/>
                <c:pt idx="0">
                  <c:v>Worst-Case (New)</c:v>
                </c:pt>
              </c:strCache>
            </c:strRef>
          </c:tx>
          <c:spPr>
            <a:solidFill>
              <a:srgbClr val="FFC000">
                <a:alpha val="50000"/>
              </a:srgbClr>
            </a:solidFill>
            <a:ln>
              <a:noFill/>
            </a:ln>
            <a:effectLst/>
          </c:spPr>
          <c:invertIfNegative val="0"/>
          <c:cat>
            <c:numRef>
              <c:f>'Update Comparisons'!$A$13:$A$18</c:f>
              <c:numCache>
                <c:formatCode>General</c:formatCode>
                <c:ptCount val="6"/>
                <c:pt idx="0">
                  <c:v>2016</c:v>
                </c:pt>
                <c:pt idx="1">
                  <c:v>2017</c:v>
                </c:pt>
                <c:pt idx="2">
                  <c:v>2018</c:v>
                </c:pt>
                <c:pt idx="3">
                  <c:v>2019</c:v>
                </c:pt>
                <c:pt idx="4">
                  <c:v>2020</c:v>
                </c:pt>
                <c:pt idx="5">
                  <c:v>2021</c:v>
                </c:pt>
              </c:numCache>
            </c:numRef>
          </c:cat>
          <c:val>
            <c:numRef>
              <c:f>'Update Comparisons'!$E$13:$E$18</c:f>
              <c:numCache>
                <c:formatCode>_(* #,##0_);_(* \(#,##0\);_(* "-"??_);_(@_)</c:formatCode>
                <c:ptCount val="6"/>
                <c:pt idx="1">
                  <c:v>5210.2615363076229</c:v>
                </c:pt>
                <c:pt idx="2">
                  <c:v>5358.7217248539991</c:v>
                </c:pt>
                <c:pt idx="3">
                  <c:v>5513.0406533583246</c:v>
                </c:pt>
                <c:pt idx="4">
                  <c:v>5673.4800912565861</c:v>
                </c:pt>
                <c:pt idx="5">
                  <c:v>5840.3146018904554</c:v>
                </c:pt>
              </c:numCache>
            </c:numRef>
          </c:val>
          <c:extLst>
            <c:ext xmlns:c16="http://schemas.microsoft.com/office/drawing/2014/chart" uri="{C3380CC4-5D6E-409C-BE32-E72D297353CC}">
              <c16:uniqueId val="{00000003-F300-4E25-AA82-00064D04496B}"/>
            </c:ext>
          </c:extLst>
        </c:ser>
        <c:ser>
          <c:idx val="4"/>
          <c:order val="4"/>
          <c:tx>
            <c:strRef>
              <c:f>'Update Comparisons'!$F$12</c:f>
              <c:strCache>
                <c:ptCount val="1"/>
                <c:pt idx="0">
                  <c:v>Best-Case (New)</c:v>
                </c:pt>
              </c:strCache>
            </c:strRef>
          </c:tx>
          <c:spPr>
            <a:solidFill>
              <a:srgbClr val="0046AD">
                <a:alpha val="50000"/>
              </a:srgbClr>
            </a:solidFill>
            <a:ln>
              <a:noFill/>
            </a:ln>
            <a:effectLst/>
          </c:spPr>
          <c:invertIfNegative val="0"/>
          <c:cat>
            <c:numRef>
              <c:f>'Update Comparisons'!$A$13:$A$18</c:f>
              <c:numCache>
                <c:formatCode>General</c:formatCode>
                <c:ptCount val="6"/>
                <c:pt idx="0">
                  <c:v>2016</c:v>
                </c:pt>
                <c:pt idx="1">
                  <c:v>2017</c:v>
                </c:pt>
                <c:pt idx="2">
                  <c:v>2018</c:v>
                </c:pt>
                <c:pt idx="3">
                  <c:v>2019</c:v>
                </c:pt>
                <c:pt idx="4">
                  <c:v>2020</c:v>
                </c:pt>
                <c:pt idx="5">
                  <c:v>2021</c:v>
                </c:pt>
              </c:numCache>
            </c:numRef>
          </c:cat>
          <c:val>
            <c:numRef>
              <c:f>'Update Comparisons'!$F$13:$F$18</c:f>
              <c:numCache>
                <c:formatCode>_(* #,##0_);_(* \(#,##0\);_(* "-"??_);_(@_)</c:formatCode>
                <c:ptCount val="6"/>
                <c:pt idx="1">
                  <c:v>6629.8651287022567</c:v>
                </c:pt>
                <c:pt idx="2">
                  <c:v>7173.350311442714</c:v>
                </c:pt>
                <c:pt idx="3">
                  <c:v>7773.6744513250524</c:v>
                </c:pt>
                <c:pt idx="4">
                  <c:v>8437.3622605998407</c:v>
                </c:pt>
                <c:pt idx="5">
                  <c:v>9171.7530087499745</c:v>
                </c:pt>
              </c:numCache>
            </c:numRef>
          </c:val>
          <c:extLst>
            <c:ext xmlns:c16="http://schemas.microsoft.com/office/drawing/2014/chart" uri="{C3380CC4-5D6E-409C-BE32-E72D297353CC}">
              <c16:uniqueId val="{00000004-F300-4E25-AA82-00064D04496B}"/>
            </c:ext>
          </c:extLst>
        </c:ser>
        <c:dLbls>
          <c:showLegendKey val="0"/>
          <c:showVal val="0"/>
          <c:showCatName val="0"/>
          <c:showSerName val="0"/>
          <c:showPercent val="0"/>
          <c:showBubbleSize val="0"/>
        </c:dLbls>
        <c:gapWidth val="219"/>
        <c:overlap val="-27"/>
        <c:axId val="727144336"/>
        <c:axId val="727144664"/>
      </c:barChart>
      <c:catAx>
        <c:axId val="72714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27144664"/>
        <c:crosses val="autoZero"/>
        <c:auto val="1"/>
        <c:lblAlgn val="ctr"/>
        <c:lblOffset val="100"/>
        <c:noMultiLvlLbl val="0"/>
      </c:catAx>
      <c:valAx>
        <c:axId val="72714466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271443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FCFO: Actual (2016) vs. Old and New Projections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'Update Comparisons'!$B$23</c:f>
              <c:strCache>
                <c:ptCount val="1"/>
                <c:pt idx="0">
                  <c:v>Worst-Case (Old)</c:v>
                </c:pt>
              </c:strCache>
            </c:strRef>
          </c:tx>
          <c:spPr>
            <a:noFill/>
            <a:ln>
              <a:solidFill>
                <a:srgbClr val="FFC000"/>
              </a:solidFill>
            </a:ln>
            <a:effectLst/>
          </c:spPr>
          <c:invertIfNegative val="0"/>
          <c:cat>
            <c:numRef>
              <c:f>'Update Comparisons'!$A$24:$A$29</c:f>
              <c:numCache>
                <c:formatCode>General</c:formatCode>
                <c:ptCount val="6"/>
                <c:pt idx="0">
                  <c:v>2016</c:v>
                </c:pt>
                <c:pt idx="1">
                  <c:v>2017</c:v>
                </c:pt>
                <c:pt idx="2">
                  <c:v>2018</c:v>
                </c:pt>
                <c:pt idx="3">
                  <c:v>2019</c:v>
                </c:pt>
                <c:pt idx="4">
                  <c:v>2020</c:v>
                </c:pt>
                <c:pt idx="5">
                  <c:v>2021</c:v>
                </c:pt>
              </c:numCache>
            </c:numRef>
          </c:cat>
          <c:val>
            <c:numRef>
              <c:f>'Update Comparisons'!$B$24:$B$29</c:f>
              <c:numCache>
                <c:formatCode>_(* #,##0_);_(* \(#,##0\);_(* "-"??_);_(@_)</c:formatCode>
                <c:ptCount val="6"/>
                <c:pt idx="0">
                  <c:v>2477.891361</c:v>
                </c:pt>
                <c:pt idx="1">
                  <c:v>2513.4941918059731</c:v>
                </c:pt>
                <c:pt idx="2">
                  <c:v>2562.7704049304934</c:v>
                </c:pt>
                <c:pt idx="3">
                  <c:v>2625.8252603733345</c:v>
                </c:pt>
                <c:pt idx="4">
                  <c:v>2702.8874728473993</c:v>
                </c:pt>
              </c:numCache>
            </c:numRef>
          </c:val>
          <c:extLst>
            <c:ext xmlns:c16="http://schemas.microsoft.com/office/drawing/2014/chart" uri="{C3380CC4-5D6E-409C-BE32-E72D297353CC}">
              <c16:uniqueId val="{00000000-0610-47FC-A069-62BBF12DA827}"/>
            </c:ext>
          </c:extLst>
        </c:ser>
        <c:ser>
          <c:idx val="1"/>
          <c:order val="1"/>
          <c:tx>
            <c:strRef>
              <c:f>'Update Comparisons'!$C$23</c:f>
              <c:strCache>
                <c:ptCount val="1"/>
                <c:pt idx="0">
                  <c:v>Actual</c:v>
                </c:pt>
              </c:strCache>
            </c:strRef>
          </c:tx>
          <c:spPr>
            <a:solidFill>
              <a:srgbClr val="0049AA"/>
            </a:solidFill>
            <a:ln>
              <a:noFill/>
            </a:ln>
            <a:effectLst/>
          </c:spPr>
          <c:invertIfNegative val="0"/>
          <c:cat>
            <c:numRef>
              <c:f>'Update Comparisons'!$A$24:$A$29</c:f>
              <c:numCache>
                <c:formatCode>General</c:formatCode>
                <c:ptCount val="6"/>
                <c:pt idx="0">
                  <c:v>2016</c:v>
                </c:pt>
                <c:pt idx="1">
                  <c:v>2017</c:v>
                </c:pt>
                <c:pt idx="2">
                  <c:v>2018</c:v>
                </c:pt>
                <c:pt idx="3">
                  <c:v>2019</c:v>
                </c:pt>
                <c:pt idx="4">
                  <c:v>2020</c:v>
                </c:pt>
                <c:pt idx="5">
                  <c:v>2021</c:v>
                </c:pt>
              </c:numCache>
            </c:numRef>
          </c:cat>
          <c:val>
            <c:numRef>
              <c:f>'Update Comparisons'!$C$24:$C$29</c:f>
              <c:numCache>
                <c:formatCode>General</c:formatCode>
                <c:ptCount val="6"/>
                <c:pt idx="0" formatCode="_(* #,##0_);_(* \(#,##0\);_(* &quot;-&quot;??_);_(@_)">
                  <c:v>3998.5156626984126</c:v>
                </c:pt>
              </c:numCache>
            </c:numRef>
          </c:val>
          <c:extLst>
            <c:ext xmlns:c16="http://schemas.microsoft.com/office/drawing/2014/chart" uri="{C3380CC4-5D6E-409C-BE32-E72D297353CC}">
              <c16:uniqueId val="{00000001-0610-47FC-A069-62BBF12DA827}"/>
            </c:ext>
          </c:extLst>
        </c:ser>
        <c:ser>
          <c:idx val="2"/>
          <c:order val="2"/>
          <c:tx>
            <c:strRef>
              <c:f>'Update Comparisons'!$D$23</c:f>
              <c:strCache>
                <c:ptCount val="1"/>
                <c:pt idx="0">
                  <c:v>Best-Case (Old)</c:v>
                </c:pt>
              </c:strCache>
            </c:strRef>
          </c:tx>
          <c:spPr>
            <a:noFill/>
            <a:ln>
              <a:solidFill>
                <a:srgbClr val="0049AA"/>
              </a:solidFill>
            </a:ln>
            <a:effectLst/>
          </c:spPr>
          <c:invertIfNegative val="0"/>
          <c:cat>
            <c:numRef>
              <c:f>'Update Comparisons'!$A$24:$A$29</c:f>
              <c:numCache>
                <c:formatCode>General</c:formatCode>
                <c:ptCount val="6"/>
                <c:pt idx="0">
                  <c:v>2016</c:v>
                </c:pt>
                <c:pt idx="1">
                  <c:v>2017</c:v>
                </c:pt>
                <c:pt idx="2">
                  <c:v>2018</c:v>
                </c:pt>
                <c:pt idx="3">
                  <c:v>2019</c:v>
                </c:pt>
                <c:pt idx="4">
                  <c:v>2020</c:v>
                </c:pt>
                <c:pt idx="5">
                  <c:v>2021</c:v>
                </c:pt>
              </c:numCache>
            </c:numRef>
          </c:cat>
          <c:val>
            <c:numRef>
              <c:f>'Update Comparisons'!$D$24:$D$29</c:f>
              <c:numCache>
                <c:formatCode>_(* #,##0_);_(* \(#,##0\);_(* "-"??_);_(@_)</c:formatCode>
                <c:ptCount val="6"/>
                <c:pt idx="0">
                  <c:v>3103.1828190000001</c:v>
                </c:pt>
                <c:pt idx="1">
                  <c:v>3308.3199263907836</c:v>
                </c:pt>
                <c:pt idx="2">
                  <c:v>3529.9753254551406</c:v>
                </c:pt>
                <c:pt idx="3">
                  <c:v>3769.6638057317218</c:v>
                </c:pt>
                <c:pt idx="4">
                  <c:v>4029.0469917553505</c:v>
                </c:pt>
              </c:numCache>
            </c:numRef>
          </c:val>
          <c:extLst>
            <c:ext xmlns:c16="http://schemas.microsoft.com/office/drawing/2014/chart" uri="{C3380CC4-5D6E-409C-BE32-E72D297353CC}">
              <c16:uniqueId val="{00000002-0610-47FC-A069-62BBF12DA827}"/>
            </c:ext>
          </c:extLst>
        </c:ser>
        <c:ser>
          <c:idx val="3"/>
          <c:order val="3"/>
          <c:tx>
            <c:strRef>
              <c:f>'Update Comparisons'!$E$23</c:f>
              <c:strCache>
                <c:ptCount val="1"/>
                <c:pt idx="0">
                  <c:v>Worst-Case (New)</c:v>
                </c:pt>
              </c:strCache>
            </c:strRef>
          </c:tx>
          <c:spPr>
            <a:solidFill>
              <a:srgbClr val="FFC000">
                <a:alpha val="50000"/>
              </a:srgbClr>
            </a:solidFill>
            <a:ln>
              <a:noFill/>
            </a:ln>
            <a:effectLst/>
          </c:spPr>
          <c:invertIfNegative val="0"/>
          <c:cat>
            <c:numRef>
              <c:f>'Update Comparisons'!$A$24:$A$29</c:f>
              <c:numCache>
                <c:formatCode>General</c:formatCode>
                <c:ptCount val="6"/>
                <c:pt idx="0">
                  <c:v>2016</c:v>
                </c:pt>
                <c:pt idx="1">
                  <c:v>2017</c:v>
                </c:pt>
                <c:pt idx="2">
                  <c:v>2018</c:v>
                </c:pt>
                <c:pt idx="3">
                  <c:v>2019</c:v>
                </c:pt>
                <c:pt idx="4">
                  <c:v>2020</c:v>
                </c:pt>
                <c:pt idx="5">
                  <c:v>2021</c:v>
                </c:pt>
              </c:numCache>
            </c:numRef>
          </c:cat>
          <c:val>
            <c:numRef>
              <c:f>'Update Comparisons'!$E$24:$E$29</c:f>
              <c:numCache>
                <c:formatCode>_(* #,##0_);_(* \(#,##0\);_(* "-"??_);_(@_)</c:formatCode>
                <c:ptCount val="6"/>
                <c:pt idx="1">
                  <c:v>2865.6438449691927</c:v>
                </c:pt>
                <c:pt idx="2">
                  <c:v>2947.2969486696993</c:v>
                </c:pt>
                <c:pt idx="3">
                  <c:v>3032.1723593470783</c:v>
                </c:pt>
                <c:pt idx="4">
                  <c:v>3120.4140501911224</c:v>
                </c:pt>
                <c:pt idx="5">
                  <c:v>3212.1730310397502</c:v>
                </c:pt>
              </c:numCache>
            </c:numRef>
          </c:val>
          <c:extLst>
            <c:ext xmlns:c16="http://schemas.microsoft.com/office/drawing/2014/chart" uri="{C3380CC4-5D6E-409C-BE32-E72D297353CC}">
              <c16:uniqueId val="{00000003-0610-47FC-A069-62BBF12DA827}"/>
            </c:ext>
          </c:extLst>
        </c:ser>
        <c:ser>
          <c:idx val="4"/>
          <c:order val="4"/>
          <c:tx>
            <c:strRef>
              <c:f>'Update Comparisons'!$F$23</c:f>
              <c:strCache>
                <c:ptCount val="1"/>
                <c:pt idx="0">
                  <c:v>Best-Case (New)</c:v>
                </c:pt>
              </c:strCache>
            </c:strRef>
          </c:tx>
          <c:spPr>
            <a:solidFill>
              <a:srgbClr val="0046AD">
                <a:alpha val="50000"/>
              </a:srgbClr>
            </a:solidFill>
            <a:ln>
              <a:noFill/>
            </a:ln>
            <a:effectLst/>
          </c:spPr>
          <c:invertIfNegative val="0"/>
          <c:cat>
            <c:numRef>
              <c:f>'Update Comparisons'!$A$24:$A$29</c:f>
              <c:numCache>
                <c:formatCode>General</c:formatCode>
                <c:ptCount val="6"/>
                <c:pt idx="0">
                  <c:v>2016</c:v>
                </c:pt>
                <c:pt idx="1">
                  <c:v>2017</c:v>
                </c:pt>
                <c:pt idx="2">
                  <c:v>2018</c:v>
                </c:pt>
                <c:pt idx="3">
                  <c:v>2019</c:v>
                </c:pt>
                <c:pt idx="4">
                  <c:v>2020</c:v>
                </c:pt>
                <c:pt idx="5">
                  <c:v>2021</c:v>
                </c:pt>
              </c:numCache>
            </c:numRef>
          </c:cat>
          <c:val>
            <c:numRef>
              <c:f>'Update Comparisons'!$F$24:$F$29</c:f>
              <c:numCache>
                <c:formatCode>_(* #,##0_);_(* \(#,##0\);_(* "-"??_);_(@_)</c:formatCode>
                <c:ptCount val="6"/>
                <c:pt idx="1">
                  <c:v>3646.4258207862413</c:v>
                </c:pt>
                <c:pt idx="2">
                  <c:v>3945.3426712934925</c:v>
                </c:pt>
                <c:pt idx="3">
                  <c:v>4275.5209482287792</c:v>
                </c:pt>
                <c:pt idx="4">
                  <c:v>4640.5492433299123</c:v>
                </c:pt>
                <c:pt idx="5">
                  <c:v>5044.4641548124855</c:v>
                </c:pt>
              </c:numCache>
            </c:numRef>
          </c:val>
          <c:extLst>
            <c:ext xmlns:c16="http://schemas.microsoft.com/office/drawing/2014/chart" uri="{C3380CC4-5D6E-409C-BE32-E72D297353CC}">
              <c16:uniqueId val="{00000004-0610-47FC-A069-62BBF12DA827}"/>
            </c:ext>
          </c:extLst>
        </c:ser>
        <c:dLbls>
          <c:showLegendKey val="0"/>
          <c:showVal val="0"/>
          <c:showCatName val="0"/>
          <c:showSerName val="0"/>
          <c:showPercent val="0"/>
          <c:showBubbleSize val="0"/>
        </c:dLbls>
        <c:gapWidth val="219"/>
        <c:overlap val="-27"/>
        <c:axId val="727144336"/>
        <c:axId val="727144664"/>
      </c:barChart>
      <c:catAx>
        <c:axId val="72714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27144664"/>
        <c:crosses val="autoZero"/>
        <c:auto val="1"/>
        <c:lblAlgn val="ctr"/>
        <c:lblOffset val="100"/>
        <c:noMultiLvlLbl val="0"/>
      </c:catAx>
      <c:valAx>
        <c:axId val="72714466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271443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Historical FCFO and Margin (end of FY15)</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'Update Comparisons'!$B$34</c:f>
              <c:strCache>
                <c:ptCount val="1"/>
                <c:pt idx="0">
                  <c:v>FCFO (LHS)</c:v>
                </c:pt>
              </c:strCache>
            </c:strRef>
          </c:tx>
          <c:spPr>
            <a:solidFill>
              <a:srgbClr val="0049AA"/>
            </a:solidFill>
            <a:ln>
              <a:noFill/>
            </a:ln>
            <a:effectLst/>
          </c:spPr>
          <c:invertIfNegative val="0"/>
          <c:cat>
            <c:numRef>
              <c:f>'Update Comparisons'!$A$35:$A$44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'Update Comparisons'!$B$35:$B$44</c:f>
              <c:numCache>
                <c:formatCode>_(* #,##0_);_(* \(#,##0\);_(* "-"??_);_(@_)</c:formatCode>
                <c:ptCount val="10"/>
                <c:pt idx="0">
                  <c:v>157.49145418319995</c:v>
                </c:pt>
                <c:pt idx="1">
                  <c:v>230.89074795065994</c:v>
                </c:pt>
                <c:pt idx="2">
                  <c:v>872.26463817893</c:v>
                </c:pt>
                <c:pt idx="3">
                  <c:v>755.97482539715998</c:v>
                </c:pt>
                <c:pt idx="4">
                  <c:v>1567.50980952384</c:v>
                </c:pt>
                <c:pt idx="5">
                  <c:v>2569.70658730173</c:v>
                </c:pt>
                <c:pt idx="6">
                  <c:v>2088.9440755199998</c:v>
                </c:pt>
                <c:pt idx="7">
                  <c:v>3274.1757130952001</c:v>
                </c:pt>
                <c:pt idx="8">
                  <c:v>2835.7487137692001</c:v>
                </c:pt>
                <c:pt idx="9">
                  <c:v>2835.6194047619101</c:v>
                </c:pt>
              </c:numCache>
            </c:numRef>
          </c:val>
          <c:extLst>
            <c:ext xmlns:c16="http://schemas.microsoft.com/office/drawing/2014/chart" uri="{C3380CC4-5D6E-409C-BE32-E72D297353CC}">
              <c16:uniqueId val="{00000000-A6A3-4403-99C9-92957C829F67}"/>
            </c:ext>
          </c:extLst>
        </c:ser>
        <c:dLbls>
          <c:showLegendKey val="0"/>
          <c:showVal val="0"/>
          <c:showCatName val="0"/>
          <c:showSerName val="0"/>
          <c:showPercent val="0"/>
          <c:showBubbleSize val="0"/>
        </c:dLbls>
        <c:gapWidth val="219"/>
        <c:overlap val="-27"/>
        <c:axId val="718060128"/>
        <c:axId val="718059800"/>
      </c:barChart>
      <c:lineChart>
        <c:grouping val="standard"/>
        <c:varyColors val="0"/>
        <c:ser>
          <c:idx val="1"/>
          <c:order val="1"/>
          <c:tx>
            <c:strRef>
              <c:f>'Update Comparisons'!$C$34</c:f>
              <c:strCache>
                <c:ptCount val="1"/>
                <c:pt idx="0">
                  <c:v>FCFO Margin (RHS)</c:v>
                </c:pt>
              </c:strCache>
            </c:strRef>
          </c:tx>
          <c:spPr>
            <a:ln w="19050" cap="rnd">
              <a:solidFill>
                <a:schemeClr val="tx1"/>
              </a:solidFill>
              <a:round/>
            </a:ln>
            <a:effectLst/>
          </c:spPr>
          <c:marker>
            <c:symbol val="none"/>
          </c:marker>
          <c:cat>
            <c:numRef>
              <c:f>'Update Comparisons'!$A$35:$A$44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'Update Comparisons'!$C$35:$C$44</c:f>
              <c:numCache>
                <c:formatCode>0%</c:formatCode>
                <c:ptCount val="10"/>
                <c:pt idx="0">
                  <c:v>1.0109863537244829E-2</c:v>
                </c:pt>
                <c:pt idx="1">
                  <c:v>1.4179865378042127E-2</c:v>
                </c:pt>
                <c:pt idx="2">
                  <c:v>4.8540046643234837E-2</c:v>
                </c:pt>
                <c:pt idx="3">
                  <c:v>5.3452225510652616E-2</c:v>
                </c:pt>
                <c:pt idx="4">
                  <c:v>9.2396687858758625E-2</c:v>
                </c:pt>
                <c:pt idx="5">
                  <c:v>0.13139574511948304</c:v>
                </c:pt>
                <c:pt idx="6">
                  <c:v>9.9825292722928408E-2</c:v>
                </c:pt>
                <c:pt idx="7">
                  <c:v>0.14907688899946273</c:v>
                </c:pt>
                <c:pt idx="8">
                  <c:v>0.11821530405907954</c:v>
                </c:pt>
                <c:pt idx="9">
                  <c:v>0.12999676361627974</c:v>
                </c:pt>
              </c:numCache>
            </c:numRef>
          </c:val>
          <c:smooth val="0"/>
          <c:extLst>
            <c:ext xmlns:c16="http://schemas.microsoft.com/office/drawing/2014/chart" uri="{C3380CC4-5D6E-409C-BE32-E72D297353CC}">
              <c16:uniqueId val="{00000001-A6A3-4403-99C9-92957C829F67}"/>
            </c:ext>
          </c:extLst>
        </c:ser>
        <c:dLbls>
          <c:showLegendKey val="0"/>
          <c:showVal val="0"/>
          <c:showCatName val="0"/>
          <c:showSerName val="0"/>
          <c:showPercent val="0"/>
          <c:showBubbleSize val="0"/>
        </c:dLbls>
        <c:marker val="1"/>
        <c:smooth val="0"/>
        <c:axId val="800048112"/>
        <c:axId val="800048768"/>
      </c:lineChart>
      <c:catAx>
        <c:axId val="71806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18059800"/>
        <c:crosses val="autoZero"/>
        <c:auto val="1"/>
        <c:lblAlgn val="ctr"/>
        <c:lblOffset val="100"/>
        <c:noMultiLvlLbl val="0"/>
      </c:catAx>
      <c:valAx>
        <c:axId val="71805980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18060128"/>
        <c:crosses val="autoZero"/>
        <c:crossBetween val="between"/>
      </c:valAx>
      <c:valAx>
        <c:axId val="80004876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800048112"/>
        <c:crosses val="max"/>
        <c:crossBetween val="between"/>
      </c:valAx>
      <c:catAx>
        <c:axId val="800048112"/>
        <c:scaling>
          <c:orientation val="minMax"/>
        </c:scaling>
        <c:delete val="1"/>
        <c:axPos val="b"/>
        <c:numFmt formatCode="General" sourceLinked="1"/>
        <c:majorTickMark val="out"/>
        <c:minorTickMark val="none"/>
        <c:tickLblPos val="nextTo"/>
        <c:crossAx val="80004876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Arial Narrow" panose="020B0606020202030204" pitchFamily="34" charset="0"/>
                <a:ea typeface="+mn-ea"/>
                <a:cs typeface="+mn-cs"/>
              </a:defRPr>
            </a:pPr>
            <a:r>
              <a:rPr lang="en-US"/>
              <a:t>Long-Term Profit History versus Projections</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'Profit Study'!$B$1</c:f>
              <c:strCache>
                <c:ptCount val="1"/>
                <c:pt idx="0">
                  <c:v> Historical OCP </c:v>
                </c:pt>
              </c:strCache>
            </c:strRef>
          </c:tx>
          <c:spPr>
            <a:solidFill>
              <a:srgbClr val="0046AD"/>
            </a:solidFill>
            <a:ln>
              <a:noFill/>
            </a:ln>
            <a:effectLst/>
          </c:spPr>
          <c:invertIfNegative val="0"/>
          <c:cat>
            <c:numRef>
              <c:f>'Profit Study'!$A$2:$A$27</c:f>
              <c:numCache>
                <c:formatCode>General</c:formatCode>
                <c:ptCount val="2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numCache>
            </c:numRef>
          </c:cat>
          <c:val>
            <c:numRef>
              <c:f>'Profit Study'!$B$2:$B$27</c:f>
              <c:numCache>
                <c:formatCode>_(* #,##0_);_(* \(#,##0\);_(* "-"_);_(@_)</c:formatCode>
                <c:ptCount val="26"/>
                <c:pt idx="0">
                  <c:v>740</c:v>
                </c:pt>
                <c:pt idx="1">
                  <c:v>999</c:v>
                </c:pt>
                <c:pt idx="2">
                  <c:v>1219</c:v>
                </c:pt>
                <c:pt idx="3">
                  <c:v>929</c:v>
                </c:pt>
                <c:pt idx="4">
                  <c:v>1123</c:v>
                </c:pt>
                <c:pt idx="5">
                  <c:v>1393</c:v>
                </c:pt>
                <c:pt idx="6">
                  <c:v>1578</c:v>
                </c:pt>
                <c:pt idx="7">
                  <c:v>2196</c:v>
                </c:pt>
                <c:pt idx="8">
                  <c:v>1477</c:v>
                </c:pt>
                <c:pt idx="9">
                  <c:v>2302</c:v>
                </c:pt>
                <c:pt idx="10">
                  <c:v>3794</c:v>
                </c:pt>
                <c:pt idx="11">
                  <c:v>3956</c:v>
                </c:pt>
                <c:pt idx="12">
                  <c:v>4508</c:v>
                </c:pt>
                <c:pt idx="13">
                  <c:v>4978</c:v>
                </c:pt>
                <c:pt idx="14">
                  <c:v>4855</c:v>
                </c:pt>
                <c:pt idx="15">
                  <c:v>4998</c:v>
                </c:pt>
              </c:numCache>
            </c:numRef>
          </c:val>
          <c:extLst>
            <c:ext xmlns:c16="http://schemas.microsoft.com/office/drawing/2014/chart" uri="{C3380CC4-5D6E-409C-BE32-E72D297353CC}">
              <c16:uniqueId val="{00000000-6723-4EED-9D79-32336C2A332F}"/>
            </c:ext>
          </c:extLst>
        </c:ser>
        <c:ser>
          <c:idx val="1"/>
          <c:order val="1"/>
          <c:tx>
            <c:strRef>
              <c:f>'Profit Study'!$C$1</c:f>
              <c:strCache>
                <c:ptCount val="1"/>
                <c:pt idx="0">
                  <c:v>Best-Case</c:v>
                </c:pt>
              </c:strCache>
            </c:strRef>
          </c:tx>
          <c:spPr>
            <a:solidFill>
              <a:srgbClr val="0046AD">
                <a:alpha val="50000"/>
              </a:srgbClr>
            </a:solidFill>
            <a:ln>
              <a:noFill/>
            </a:ln>
            <a:effectLst/>
          </c:spPr>
          <c:invertIfNegative val="0"/>
          <c:cat>
            <c:numRef>
              <c:f>'Profit Study'!$A$2:$A$27</c:f>
              <c:numCache>
                <c:formatCode>General</c:formatCode>
                <c:ptCount val="2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numCache>
            </c:numRef>
          </c:cat>
          <c:val>
            <c:numRef>
              <c:f>'Profit Study'!$C$2:$C$27</c:f>
              <c:numCache>
                <c:formatCode>General</c:formatCode>
                <c:ptCount val="26"/>
                <c:pt idx="16" formatCode="_(* #,##0_);_(* \(#,##0\);_(* &quot;-&quot;_);_(@_)">
                  <c:v>5396.8703937049168</c:v>
                </c:pt>
                <c:pt idx="17" formatCode="_(* #,##0_);_(* \(#,##0\);_(* &quot;-&quot;_);_(@_)">
                  <c:v>5797.6627243379444</c:v>
                </c:pt>
                <c:pt idx="18" formatCode="_(* #,##0_);_(* \(#,##0\);_(* &quot;-&quot;_);_(@_)">
                  <c:v>6486.3892493759158</c:v>
                </c:pt>
                <c:pt idx="19" formatCode="_(* #,##0_);_(* \(#,##0\);_(* &quot;-&quot;_);_(@_)">
                  <c:v>6987.6052706702103</c:v>
                </c:pt>
                <c:pt idx="20" formatCode="_(* #,##0_);_(* \(#,##0\);_(* &quot;-&quot;_);_(@_)">
                  <c:v>7538.1581215221986</c:v>
                </c:pt>
                <c:pt idx="21" formatCode="_(* #,##0_);_(* \(#,##0\);_(* &quot;-&quot;_);_(@_)">
                  <c:v>8065.8291900287531</c:v>
                </c:pt>
                <c:pt idx="22" formatCode="_(* #,##0_);_(* \(#,##0\);_(* &quot;-&quot;_);_(@_)">
                  <c:v>8630.4372333307656</c:v>
                </c:pt>
                <c:pt idx="23" formatCode="_(* #,##0_);_(* \(#,##0\);_(* &quot;-&quot;_);_(@_)">
                  <c:v>9234.5678396639196</c:v>
                </c:pt>
                <c:pt idx="24" formatCode="_(* #,##0_);_(* \(#,##0\);_(* &quot;-&quot;_);_(@_)">
                  <c:v>9880.9875884403937</c:v>
                </c:pt>
                <c:pt idx="25" formatCode="_(* #,##0_);_(* \(#,##0\);_(* &quot;-&quot;_);_(@_)">
                  <c:v>10572.656719631223</c:v>
                </c:pt>
              </c:numCache>
            </c:numRef>
          </c:val>
          <c:extLst>
            <c:ext xmlns:c16="http://schemas.microsoft.com/office/drawing/2014/chart" uri="{C3380CC4-5D6E-409C-BE32-E72D297353CC}">
              <c16:uniqueId val="{00000001-6723-4EED-9D79-32336C2A332F}"/>
            </c:ext>
          </c:extLst>
        </c:ser>
        <c:ser>
          <c:idx val="2"/>
          <c:order val="2"/>
          <c:tx>
            <c:strRef>
              <c:f>'Profit Study'!$D$1</c:f>
              <c:strCache>
                <c:ptCount val="1"/>
                <c:pt idx="0">
                  <c:v>Worst-Case</c:v>
                </c:pt>
              </c:strCache>
            </c:strRef>
          </c:tx>
          <c:spPr>
            <a:solidFill>
              <a:srgbClr val="FFC000">
                <a:alpha val="50000"/>
              </a:srgbClr>
            </a:solidFill>
            <a:ln>
              <a:noFill/>
            </a:ln>
            <a:effectLst/>
          </c:spPr>
          <c:invertIfNegative val="0"/>
          <c:cat>
            <c:numRef>
              <c:f>'Profit Study'!$A$2:$A$27</c:f>
              <c:numCache>
                <c:formatCode>General</c:formatCode>
                <c:ptCount val="2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numCache>
            </c:numRef>
          </c:cat>
          <c:val>
            <c:numRef>
              <c:f>'Profit Study'!$D$2:$D$27</c:f>
              <c:numCache>
                <c:formatCode>General</c:formatCode>
                <c:ptCount val="26"/>
                <c:pt idx="16" formatCode="_(* #,##0_);_(* \(#,##0\);_(* &quot;-&quot;_);_(@_)">
                  <c:v>4919.2564622085238</c:v>
                </c:pt>
                <c:pt idx="17" formatCode="_(* #,##0_);_(* \(#,##0\);_(* &quot;-&quot;_);_(@_)">
                  <c:v>5024.1748479749431</c:v>
                </c:pt>
                <c:pt idx="18" formatCode="_(* #,##0_);_(* \(#,##0\);_(* &quot;-&quot;_);_(@_)">
                  <c:v>5356.5574967914336</c:v>
                </c:pt>
                <c:pt idx="19" formatCode="_(* #,##0_);_(* \(#,##0\);_(* &quot;-&quot;_);_(@_)">
                  <c:v>5475.1306405496398</c:v>
                </c:pt>
                <c:pt idx="20" formatCode="_(* #,##0_);_(* \(#,##0\);_(* &quot;-&quot;_);_(@_)">
                  <c:v>5598.5176162963835</c:v>
                </c:pt>
                <c:pt idx="21" formatCode="_(* #,##0_);_(* \(#,##0\);_(* &quot;-&quot;_);_(@_)">
                  <c:v>5710.4879686223112</c:v>
                </c:pt>
                <c:pt idx="22" formatCode="_(* #,##0_);_(* \(#,##0\);_(* &quot;-&quot;_);_(@_)">
                  <c:v>5824.6977279947578</c:v>
                </c:pt>
                <c:pt idx="23" formatCode="_(* #,##0_);_(* \(#,##0\);_(* &quot;-&quot;_);_(@_)">
                  <c:v>5941.1916825546532</c:v>
                </c:pt>
                <c:pt idx="24" formatCode="_(* #,##0_);_(* \(#,##0\);_(* &quot;-&quot;_);_(@_)">
                  <c:v>6060.0155162057463</c:v>
                </c:pt>
                <c:pt idx="25" formatCode="_(* #,##0_);_(* \(#,##0\);_(* &quot;-&quot;_);_(@_)">
                  <c:v>6181.2158265298613</c:v>
                </c:pt>
              </c:numCache>
            </c:numRef>
          </c:val>
          <c:extLst>
            <c:ext xmlns:c16="http://schemas.microsoft.com/office/drawing/2014/chart" uri="{C3380CC4-5D6E-409C-BE32-E72D297353CC}">
              <c16:uniqueId val="{00000002-6723-4EED-9D79-32336C2A332F}"/>
            </c:ext>
          </c:extLst>
        </c:ser>
        <c:dLbls>
          <c:showLegendKey val="0"/>
          <c:showVal val="0"/>
          <c:showCatName val="0"/>
          <c:showSerName val="0"/>
          <c:showPercent val="0"/>
          <c:showBubbleSize val="0"/>
        </c:dLbls>
        <c:gapWidth val="0"/>
        <c:axId val="642368960"/>
        <c:axId val="642367320"/>
      </c:barChart>
      <c:catAx>
        <c:axId val="64236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n-US"/>
          </a:p>
        </c:txPr>
        <c:crossAx val="642367320"/>
        <c:crosses val="autoZero"/>
        <c:auto val="1"/>
        <c:lblAlgn val="ctr"/>
        <c:lblOffset val="100"/>
        <c:noMultiLvlLbl val="0"/>
      </c:catAx>
      <c:valAx>
        <c:axId val="6423673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n-US"/>
          </a:p>
        </c:txPr>
        <c:crossAx val="6423689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Segments!$A$75</c:f>
          <c:strCache>
            <c:ptCount val="1"/>
            <c:pt idx="0">
              <c:v>Automotive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Segments!$A$73</c:f>
              <c:strCache>
                <c:ptCount val="1"/>
                <c:pt idx="0">
                  <c:v>Revenue Ton-Mile (YoY Change)</c:v>
                </c:pt>
              </c:strCache>
            </c:strRef>
          </c:tx>
          <c:spPr>
            <a:solidFill>
              <a:srgbClr val="575A5D"/>
            </a:solidFill>
            <a:ln>
              <a:noFill/>
            </a:ln>
            <a:effectLst/>
          </c:spPr>
          <c:invertIfNegative val="0"/>
          <c:cat>
            <c:numRef>
              <c:extLst>
                <c:ext xmlns:c15="http://schemas.microsoft.com/office/drawing/2012/chart" uri="{02D57815-91ED-43cb-92C2-25804820EDAC}">
                  <c15:fullRef>
                    <c15:sqref>Segments!$B$1:$K$1</c15:sqref>
                  </c15:fullRef>
                </c:ext>
              </c:extLst>
              <c:f>Segments!$C$1:$K$1</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extLst>
                <c:ext xmlns:c15="http://schemas.microsoft.com/office/drawing/2012/chart" uri="{02D57815-91ED-43cb-92C2-25804820EDAC}">
                  <c15:fullRef>
                    <c15:sqref>Segments!$B$75:$K$75</c15:sqref>
                  </c15:fullRef>
                </c:ext>
              </c:extLst>
              <c:f>Segments!$C$75:$K$75</c:f>
              <c:numCache>
                <c:formatCode>0.0%</c:formatCode>
                <c:ptCount val="9"/>
                <c:pt idx="0">
                  <c:v>-0.20020592609541243</c:v>
                </c:pt>
                <c:pt idx="1">
                  <c:v>-0.3033900729509369</c:v>
                </c:pt>
                <c:pt idx="2">
                  <c:v>0.28767967145790552</c:v>
                </c:pt>
                <c:pt idx="3">
                  <c:v>3.6836230266305225E-2</c:v>
                </c:pt>
                <c:pt idx="4">
                  <c:v>0.14903106736388794</c:v>
                </c:pt>
                <c:pt idx="5">
                  <c:v>8.2117521081515266E-2</c:v>
                </c:pt>
                <c:pt idx="6">
                  <c:v>3.8839755086894634E-2</c:v>
                </c:pt>
                <c:pt idx="7">
                  <c:v>8.3110079180806151E-2</c:v>
                </c:pt>
                <c:pt idx="8">
                  <c:v>-5.4966195789596384E-5</c:v>
                </c:pt>
              </c:numCache>
            </c:numRef>
          </c:val>
          <c:extLst>
            <c:ext xmlns:c16="http://schemas.microsoft.com/office/drawing/2014/chart" uri="{C3380CC4-5D6E-409C-BE32-E72D297353CC}">
              <c16:uniqueId val="{00000000-6C76-442B-AE48-0F937A27083B}"/>
            </c:ext>
          </c:extLst>
        </c:ser>
        <c:ser>
          <c:idx val="1"/>
          <c:order val="1"/>
          <c:tx>
            <c:strRef>
              <c:f>Segments!$A$81</c:f>
              <c:strCache>
                <c:ptCount val="1"/>
                <c:pt idx="0">
                  <c:v>Revenues / Ton-Mile (YoY Change)</c:v>
                </c:pt>
              </c:strCache>
            </c:strRef>
          </c:tx>
          <c:spPr>
            <a:solidFill>
              <a:srgbClr val="0046AD"/>
            </a:solidFill>
            <a:ln>
              <a:noFill/>
            </a:ln>
            <a:effectLst/>
          </c:spPr>
          <c:invertIfNegative val="0"/>
          <c:cat>
            <c:numRef>
              <c:extLst>
                <c:ext xmlns:c15="http://schemas.microsoft.com/office/drawing/2012/chart" uri="{02D57815-91ED-43cb-92C2-25804820EDAC}">
                  <c15:fullRef>
                    <c15:sqref>Segments!$B$1:$K$1</c15:sqref>
                  </c15:fullRef>
                </c:ext>
              </c:extLst>
              <c:f>Segments!$C$1:$K$1</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extLst>
                <c:ext xmlns:c15="http://schemas.microsoft.com/office/drawing/2012/chart" uri="{02D57815-91ED-43cb-92C2-25804820EDAC}">
                  <c15:fullRef>
                    <c15:sqref>Segments!$B$83:$K$83</c15:sqref>
                  </c15:fullRef>
                </c:ext>
              </c:extLst>
              <c:f>Segments!$C$83:$K$83</c:f>
              <c:numCache>
                <c:formatCode>0.0%</c:formatCode>
                <c:ptCount val="9"/>
                <c:pt idx="0">
                  <c:v>0.13897979232572832</c:v>
                </c:pt>
                <c:pt idx="1">
                  <c:v>-6.0630101019241822E-2</c:v>
                </c:pt>
                <c:pt idx="2">
                  <c:v>0.14517219249457791</c:v>
                </c:pt>
                <c:pt idx="3">
                  <c:v>0.13251958924820739</c:v>
                </c:pt>
                <c:pt idx="4">
                  <c:v>3.4511914778777575E-2</c:v>
                </c:pt>
                <c:pt idx="5">
                  <c:v>6.4298255362635226E-2</c:v>
                </c:pt>
                <c:pt idx="6">
                  <c:v>-2.6688924234204991E-2</c:v>
                </c:pt>
                <c:pt idx="7">
                  <c:v>-3.6547676084491831E-2</c:v>
                </c:pt>
                <c:pt idx="8">
                  <c:v>-6.0931925807872322E-2</c:v>
                </c:pt>
              </c:numCache>
            </c:numRef>
          </c:val>
          <c:extLst>
            <c:ext xmlns:c16="http://schemas.microsoft.com/office/drawing/2014/chart" uri="{C3380CC4-5D6E-409C-BE32-E72D297353CC}">
              <c16:uniqueId val="{00000001-6C76-442B-AE48-0F937A27083B}"/>
            </c:ext>
          </c:extLst>
        </c:ser>
        <c:dLbls>
          <c:showLegendKey val="0"/>
          <c:showVal val="0"/>
          <c:showCatName val="0"/>
          <c:showSerName val="0"/>
          <c:showPercent val="0"/>
          <c:showBubbleSize val="0"/>
        </c:dLbls>
        <c:gapWidth val="219"/>
        <c:overlap val="-27"/>
        <c:axId val="537534936"/>
        <c:axId val="537533952"/>
      </c:barChart>
      <c:catAx>
        <c:axId val="5375349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37533952"/>
        <c:crosses val="autoZero"/>
        <c:auto val="1"/>
        <c:lblAlgn val="ctr"/>
        <c:lblOffset val="100"/>
        <c:noMultiLvlLbl val="0"/>
      </c:catAx>
      <c:valAx>
        <c:axId val="537533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375349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Actual and Projected Owners'</a:t>
            </a:r>
            <a:r>
              <a:rPr lang="en-US" baseline="0"/>
              <a:t> Cash Profits </a:t>
            </a:r>
            <a:r>
              <a:rPr lang="en-US"/>
              <a:t>for Union Pacific</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'Profit Study (2)'!$B$1</c:f>
              <c:strCache>
                <c:ptCount val="1"/>
                <c:pt idx="0">
                  <c:v> OCP </c:v>
                </c:pt>
              </c:strCache>
            </c:strRef>
          </c:tx>
          <c:spPr>
            <a:ln w="28575" cap="rnd">
              <a:solidFill>
                <a:srgbClr val="0046AD"/>
              </a:solidFill>
              <a:round/>
            </a:ln>
            <a:effectLst/>
          </c:spPr>
          <c:marker>
            <c:symbol val="none"/>
          </c:marker>
          <c:cat>
            <c:numRef>
              <c:f>'Profit Study (2)'!$A$2:$A$27</c:f>
              <c:numCache>
                <c:formatCode>General</c:formatCode>
                <c:ptCount val="2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numCache>
            </c:numRef>
          </c:cat>
          <c:val>
            <c:numRef>
              <c:f>'Profit Study (2)'!$B$2:$B$27</c:f>
              <c:numCache>
                <c:formatCode>_(* #,##0_);_(* \(#,##0\);_(* "-"_);_(@_)</c:formatCode>
                <c:ptCount val="26"/>
                <c:pt idx="0">
                  <c:v>740</c:v>
                </c:pt>
                <c:pt idx="1">
                  <c:v>999</c:v>
                </c:pt>
                <c:pt idx="2">
                  <c:v>1219</c:v>
                </c:pt>
                <c:pt idx="3">
                  <c:v>929</c:v>
                </c:pt>
                <c:pt idx="4">
                  <c:v>1123</c:v>
                </c:pt>
                <c:pt idx="5">
                  <c:v>1393</c:v>
                </c:pt>
                <c:pt idx="6">
                  <c:v>1578</c:v>
                </c:pt>
                <c:pt idx="7">
                  <c:v>2196</c:v>
                </c:pt>
                <c:pt idx="8">
                  <c:v>1477</c:v>
                </c:pt>
                <c:pt idx="9">
                  <c:v>2302</c:v>
                </c:pt>
                <c:pt idx="10">
                  <c:v>3794</c:v>
                </c:pt>
                <c:pt idx="11">
                  <c:v>3956</c:v>
                </c:pt>
                <c:pt idx="12">
                  <c:v>4508</c:v>
                </c:pt>
                <c:pt idx="13">
                  <c:v>4978</c:v>
                </c:pt>
                <c:pt idx="14">
                  <c:v>4855</c:v>
                </c:pt>
                <c:pt idx="15">
                  <c:v>4998</c:v>
                </c:pt>
              </c:numCache>
            </c:numRef>
          </c:val>
          <c:smooth val="0"/>
          <c:extLst>
            <c:ext xmlns:c16="http://schemas.microsoft.com/office/drawing/2014/chart" uri="{C3380CC4-5D6E-409C-BE32-E72D297353CC}">
              <c16:uniqueId val="{00000000-609E-4333-ABBD-8A9EC2882638}"/>
            </c:ext>
          </c:extLst>
        </c:ser>
        <c:ser>
          <c:idx val="1"/>
          <c:order val="1"/>
          <c:tx>
            <c:strRef>
              <c:f>'Profit Study (2)'!$C$1</c:f>
              <c:strCache>
                <c:ptCount val="1"/>
                <c:pt idx="0">
                  <c:v>Best-Best</c:v>
                </c:pt>
              </c:strCache>
            </c:strRef>
          </c:tx>
          <c:spPr>
            <a:ln w="28575" cap="rnd">
              <a:solidFill>
                <a:srgbClr val="0046AD"/>
              </a:solidFill>
              <a:prstDash val="dash"/>
              <a:round/>
            </a:ln>
            <a:effectLst/>
          </c:spPr>
          <c:marker>
            <c:symbol val="none"/>
          </c:marker>
          <c:cat>
            <c:numRef>
              <c:f>'Profit Study (2)'!$A$2:$A$27</c:f>
              <c:numCache>
                <c:formatCode>General</c:formatCode>
                <c:ptCount val="2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numCache>
            </c:numRef>
          </c:cat>
          <c:val>
            <c:numRef>
              <c:f>'Profit Study (2)'!$C$2:$C$27</c:f>
              <c:numCache>
                <c:formatCode>General</c:formatCode>
                <c:ptCount val="26"/>
                <c:pt idx="15" formatCode="_(* #,##0_);_(* \(#,##0\);_(* &quot;-&quot;_);_(@_)">
                  <c:v>4998</c:v>
                </c:pt>
                <c:pt idx="16" formatCode="_(* #,##0_);_(* \(#,##0\);_(* &quot;-&quot;_);_(@_)">
                  <c:v>5396.8703937049168</c:v>
                </c:pt>
                <c:pt idx="17" formatCode="_(* #,##0_);_(* \(#,##0\);_(* &quot;-&quot;_);_(@_)">
                  <c:v>5797.6627243379444</c:v>
                </c:pt>
                <c:pt idx="18" formatCode="_(* #,##0_);_(* \(#,##0\);_(* &quot;-&quot;_);_(@_)">
                  <c:v>6486.3892493759158</c:v>
                </c:pt>
                <c:pt idx="19" formatCode="_(* #,##0_);_(* \(#,##0\);_(* &quot;-&quot;_);_(@_)">
                  <c:v>6987.6052706702103</c:v>
                </c:pt>
                <c:pt idx="20" formatCode="_(* #,##0_);_(* \(#,##0\);_(* &quot;-&quot;_);_(@_)">
                  <c:v>7538.1581215221986</c:v>
                </c:pt>
                <c:pt idx="21" formatCode="_(* #,##0_);_(* \(#,##0\);_(* &quot;-&quot;_);_(@_)">
                  <c:v>8065.8291900287531</c:v>
                </c:pt>
                <c:pt idx="22" formatCode="_(* #,##0_);_(* \(#,##0\);_(* &quot;-&quot;_);_(@_)">
                  <c:v>8630.4372333307656</c:v>
                </c:pt>
                <c:pt idx="23" formatCode="_(* #,##0_);_(* \(#,##0\);_(* &quot;-&quot;_);_(@_)">
                  <c:v>9234.5678396639196</c:v>
                </c:pt>
                <c:pt idx="24" formatCode="_(* #,##0_);_(* \(#,##0\);_(* &quot;-&quot;_);_(@_)">
                  <c:v>9880.9875884403937</c:v>
                </c:pt>
                <c:pt idx="25" formatCode="_(* #,##0_);_(* \(#,##0\);_(* &quot;-&quot;_);_(@_)">
                  <c:v>10572.656719631223</c:v>
                </c:pt>
              </c:numCache>
            </c:numRef>
          </c:val>
          <c:smooth val="0"/>
          <c:extLst>
            <c:ext xmlns:c16="http://schemas.microsoft.com/office/drawing/2014/chart" uri="{C3380CC4-5D6E-409C-BE32-E72D297353CC}">
              <c16:uniqueId val="{00000001-609E-4333-ABBD-8A9EC2882638}"/>
            </c:ext>
          </c:extLst>
        </c:ser>
        <c:ser>
          <c:idx val="2"/>
          <c:order val="2"/>
          <c:tx>
            <c:strRef>
              <c:f>'Profit Study (2)'!$D$1</c:f>
              <c:strCache>
                <c:ptCount val="1"/>
                <c:pt idx="0">
                  <c:v>Best-Worse</c:v>
                </c:pt>
              </c:strCache>
            </c:strRef>
          </c:tx>
          <c:spPr>
            <a:ln w="28575" cap="rnd">
              <a:solidFill>
                <a:srgbClr val="0046AD"/>
              </a:solidFill>
              <a:prstDash val="sysDot"/>
              <a:round/>
            </a:ln>
            <a:effectLst/>
          </c:spPr>
          <c:marker>
            <c:symbol val="none"/>
          </c:marker>
          <c:cat>
            <c:numRef>
              <c:f>'Profit Study (2)'!$A$2:$A$27</c:f>
              <c:numCache>
                <c:formatCode>General</c:formatCode>
                <c:ptCount val="2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numCache>
            </c:numRef>
          </c:cat>
          <c:val>
            <c:numRef>
              <c:f>'Profit Study (2)'!$D$2:$D$27</c:f>
              <c:numCache>
                <c:formatCode>General</c:formatCode>
                <c:ptCount val="26"/>
                <c:pt idx="20" formatCode="_(* #,##0_);_(* \(#,##0\);_(* &quot;-&quot;_);_(@_)">
                  <c:v>7538.1581215221986</c:v>
                </c:pt>
                <c:pt idx="21" formatCode="_(* #,##0_);_(* \(#,##0\);_(* &quot;-&quot;_);_(@_)">
                  <c:v>7688.9212839526426</c:v>
                </c:pt>
                <c:pt idx="22" formatCode="_(* #,##0_);_(* \(#,##0\);_(* &quot;-&quot;_);_(@_)">
                  <c:v>7842.6997096316954</c:v>
                </c:pt>
                <c:pt idx="23" formatCode="_(* #,##0_);_(* \(#,##0\);_(* &quot;-&quot;_);_(@_)">
                  <c:v>7999.5537038243292</c:v>
                </c:pt>
                <c:pt idx="24" formatCode="_(* #,##0_);_(* \(#,##0\);_(* &quot;-&quot;_);_(@_)">
                  <c:v>8159.5447779008164</c:v>
                </c:pt>
                <c:pt idx="25" formatCode="_(* #,##0_);_(* \(#,##0\);_(* &quot;-&quot;_);_(@_)">
                  <c:v>8322.735673458832</c:v>
                </c:pt>
              </c:numCache>
            </c:numRef>
          </c:val>
          <c:smooth val="0"/>
          <c:extLst>
            <c:ext xmlns:c16="http://schemas.microsoft.com/office/drawing/2014/chart" uri="{C3380CC4-5D6E-409C-BE32-E72D297353CC}">
              <c16:uniqueId val="{00000002-609E-4333-ABBD-8A9EC2882638}"/>
            </c:ext>
          </c:extLst>
        </c:ser>
        <c:ser>
          <c:idx val="3"/>
          <c:order val="3"/>
          <c:tx>
            <c:strRef>
              <c:f>'Profit Study (2)'!$E$1</c:f>
              <c:strCache>
                <c:ptCount val="1"/>
                <c:pt idx="0">
                  <c:v>Worst-Best</c:v>
                </c:pt>
              </c:strCache>
            </c:strRef>
          </c:tx>
          <c:spPr>
            <a:ln w="28575" cap="rnd">
              <a:solidFill>
                <a:srgbClr val="FFC000"/>
              </a:solidFill>
              <a:prstDash val="dash"/>
              <a:round/>
            </a:ln>
            <a:effectLst/>
          </c:spPr>
          <c:marker>
            <c:symbol val="none"/>
          </c:marker>
          <c:cat>
            <c:numRef>
              <c:f>'Profit Study (2)'!$A$2:$A$27</c:f>
              <c:numCache>
                <c:formatCode>General</c:formatCode>
                <c:ptCount val="2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numCache>
            </c:numRef>
          </c:cat>
          <c:val>
            <c:numRef>
              <c:f>'Profit Study (2)'!$E$2:$E$27</c:f>
              <c:numCache>
                <c:formatCode>General</c:formatCode>
                <c:ptCount val="26"/>
                <c:pt idx="20" formatCode="_(* #,##0_);_(* \(#,##0\);_(* &quot;-&quot;_);_(@_)">
                  <c:v>5598.5176162963835</c:v>
                </c:pt>
                <c:pt idx="21" formatCode="_(* #,##0_);_(* \(#,##0\);_(* &quot;-&quot;_);_(@_)">
                  <c:v>5990.4138494371309</c:v>
                </c:pt>
                <c:pt idx="22" formatCode="_(* #,##0_);_(* \(#,##0\);_(* &quot;-&quot;_);_(@_)">
                  <c:v>6409.7428188977301</c:v>
                </c:pt>
                <c:pt idx="23" formatCode="_(* #,##0_);_(* \(#,##0\);_(* &quot;-&quot;_);_(@_)">
                  <c:v>6858.4248162205713</c:v>
                </c:pt>
                <c:pt idx="24" formatCode="_(* #,##0_);_(* \(#,##0\);_(* &quot;-&quot;_);_(@_)">
                  <c:v>7338.5145533560117</c:v>
                </c:pt>
                <c:pt idx="25" formatCode="_(* #,##0_);_(* \(#,##0\);_(* &quot;-&quot;_);_(@_)">
                  <c:v>7852.2105720909331</c:v>
                </c:pt>
              </c:numCache>
            </c:numRef>
          </c:val>
          <c:smooth val="0"/>
          <c:extLst>
            <c:ext xmlns:c16="http://schemas.microsoft.com/office/drawing/2014/chart" uri="{C3380CC4-5D6E-409C-BE32-E72D297353CC}">
              <c16:uniqueId val="{00000003-609E-4333-ABBD-8A9EC2882638}"/>
            </c:ext>
          </c:extLst>
        </c:ser>
        <c:ser>
          <c:idx val="4"/>
          <c:order val="4"/>
          <c:tx>
            <c:strRef>
              <c:f>'Profit Study (2)'!$F$1</c:f>
              <c:strCache>
                <c:ptCount val="1"/>
                <c:pt idx="0">
                  <c:v>Worst-Worst</c:v>
                </c:pt>
              </c:strCache>
            </c:strRef>
          </c:tx>
          <c:spPr>
            <a:ln w="28575" cap="rnd">
              <a:solidFill>
                <a:srgbClr val="FFC000"/>
              </a:solidFill>
              <a:prstDash val="sysDot"/>
              <a:round/>
            </a:ln>
            <a:effectLst/>
          </c:spPr>
          <c:marker>
            <c:symbol val="none"/>
          </c:marker>
          <c:cat>
            <c:numRef>
              <c:f>'Profit Study (2)'!$A$2:$A$27</c:f>
              <c:numCache>
                <c:formatCode>General</c:formatCode>
                <c:ptCount val="2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c:v>
                </c:pt>
                <c:pt idx="25">
                  <c:v>2026</c:v>
                </c:pt>
              </c:numCache>
            </c:numRef>
          </c:cat>
          <c:val>
            <c:numRef>
              <c:f>'Profit Study (2)'!$F$2:$F$27</c:f>
              <c:numCache>
                <c:formatCode>General</c:formatCode>
                <c:ptCount val="26"/>
                <c:pt idx="15" formatCode="_(* #,##0_);_(* \(#,##0\);_(* &quot;-&quot;_);_(@_)">
                  <c:v>4998</c:v>
                </c:pt>
                <c:pt idx="16" formatCode="_(* #,##0_);_(* \(#,##0\);_(* &quot;-&quot;_);_(@_)">
                  <c:v>4919.2564622085238</c:v>
                </c:pt>
                <c:pt idx="17" formatCode="_(* #,##0_);_(* \(#,##0\);_(* &quot;-&quot;_);_(@_)">
                  <c:v>5024.1748479749431</c:v>
                </c:pt>
                <c:pt idx="18" formatCode="_(* #,##0_);_(* \(#,##0\);_(* &quot;-&quot;_);_(@_)">
                  <c:v>5356.5574967914336</c:v>
                </c:pt>
                <c:pt idx="19" formatCode="_(* #,##0_);_(* \(#,##0\);_(* &quot;-&quot;_);_(@_)">
                  <c:v>5475.1306405496398</c:v>
                </c:pt>
                <c:pt idx="20" formatCode="_(* #,##0_);_(* \(#,##0\);_(* &quot;-&quot;_);_(@_)">
                  <c:v>5598.5176162963835</c:v>
                </c:pt>
                <c:pt idx="21" formatCode="_(* #,##0_);_(* \(#,##0\);_(* &quot;-&quot;_);_(@_)">
                  <c:v>5710.4879686223112</c:v>
                </c:pt>
                <c:pt idx="22" formatCode="_(* #,##0_);_(* \(#,##0\);_(* &quot;-&quot;_);_(@_)">
                  <c:v>5824.6977279947578</c:v>
                </c:pt>
                <c:pt idx="23" formatCode="_(* #,##0_);_(* \(#,##0\);_(* &quot;-&quot;_);_(@_)">
                  <c:v>5941.1916825546532</c:v>
                </c:pt>
                <c:pt idx="24" formatCode="_(* #,##0_);_(* \(#,##0\);_(* &quot;-&quot;_);_(@_)">
                  <c:v>6060.0155162057463</c:v>
                </c:pt>
                <c:pt idx="25" formatCode="_(* #,##0_);_(* \(#,##0\);_(* &quot;-&quot;_);_(@_)">
                  <c:v>6181.2158265298613</c:v>
                </c:pt>
              </c:numCache>
            </c:numRef>
          </c:val>
          <c:smooth val="0"/>
          <c:extLst>
            <c:ext xmlns:c16="http://schemas.microsoft.com/office/drawing/2014/chart" uri="{C3380CC4-5D6E-409C-BE32-E72D297353CC}">
              <c16:uniqueId val="{00000004-609E-4333-ABBD-8A9EC2882638}"/>
            </c:ext>
          </c:extLst>
        </c:ser>
        <c:dLbls>
          <c:showLegendKey val="0"/>
          <c:showVal val="0"/>
          <c:showCatName val="0"/>
          <c:showSerName val="0"/>
          <c:showPercent val="0"/>
          <c:showBubbleSize val="0"/>
        </c:dLbls>
        <c:smooth val="0"/>
        <c:axId val="763978040"/>
        <c:axId val="763977384"/>
      </c:lineChart>
      <c:catAx>
        <c:axId val="76397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763977384"/>
        <c:crosses val="autoZero"/>
        <c:auto val="1"/>
        <c:lblAlgn val="ctr"/>
        <c:lblOffset val="100"/>
        <c:noMultiLvlLbl val="0"/>
      </c:catAx>
      <c:valAx>
        <c:axId val="7639773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763978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r>
              <a:rPr lang="en-US"/>
              <a:t>Implied Long-Term Owners' Cash Profit Growth Rates</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'Profit Study (2)'!$B$31</c:f>
              <c:strCache>
                <c:ptCount val="1"/>
                <c:pt idx="0">
                  <c:v>25-year CAGR</c:v>
                </c:pt>
              </c:strCache>
            </c:strRef>
          </c:tx>
          <c:spPr>
            <a:solidFill>
              <a:srgbClr val="0046AD"/>
            </a:solidFill>
            <a:ln>
              <a:noFill/>
            </a:ln>
            <a:effectLst/>
          </c:spPr>
          <c:invertIfNegative val="0"/>
          <c:cat>
            <c:strRef>
              <c:f>'Profit Study (2)'!$C$30:$F$30</c:f>
              <c:strCache>
                <c:ptCount val="4"/>
                <c:pt idx="0">
                  <c:v>Best-Best</c:v>
                </c:pt>
                <c:pt idx="1">
                  <c:v>Best-Worst</c:v>
                </c:pt>
                <c:pt idx="2">
                  <c:v>Worst-Best</c:v>
                </c:pt>
                <c:pt idx="3">
                  <c:v>Worst-Worst</c:v>
                </c:pt>
              </c:strCache>
            </c:strRef>
          </c:cat>
          <c:val>
            <c:numRef>
              <c:f>'Profit Study (2)'!$C$31:$F$31</c:f>
              <c:numCache>
                <c:formatCode>0%</c:formatCode>
                <c:ptCount val="4"/>
                <c:pt idx="0">
                  <c:v>0.11223894156566572</c:v>
                </c:pt>
                <c:pt idx="1">
                  <c:v>0.10164425831547819</c:v>
                </c:pt>
                <c:pt idx="2">
                  <c:v>9.90827930277276E-2</c:v>
                </c:pt>
                <c:pt idx="3">
                  <c:v>8.8613429276204414E-2</c:v>
                </c:pt>
              </c:numCache>
            </c:numRef>
          </c:val>
          <c:extLst>
            <c:ext xmlns:c16="http://schemas.microsoft.com/office/drawing/2014/chart" uri="{C3380CC4-5D6E-409C-BE32-E72D297353CC}">
              <c16:uniqueId val="{00000000-7189-43D8-80DC-0A3C9C6C5895}"/>
            </c:ext>
          </c:extLst>
        </c:ser>
        <c:ser>
          <c:idx val="1"/>
          <c:order val="1"/>
          <c:tx>
            <c:strRef>
              <c:f>'Profit Study (2)'!$B$32</c:f>
              <c:strCache>
                <c:ptCount val="1"/>
                <c:pt idx="0">
                  <c:v>10-year CAGR</c:v>
                </c:pt>
              </c:strCache>
            </c:strRef>
          </c:tx>
          <c:spPr>
            <a:solidFill>
              <a:srgbClr val="575A5D"/>
            </a:solidFill>
            <a:ln>
              <a:noFill/>
            </a:ln>
            <a:effectLst/>
          </c:spPr>
          <c:invertIfNegative val="0"/>
          <c:cat>
            <c:strRef>
              <c:f>'Profit Study (2)'!$C$30:$F$30</c:f>
              <c:strCache>
                <c:ptCount val="4"/>
                <c:pt idx="0">
                  <c:v>Best-Best</c:v>
                </c:pt>
                <c:pt idx="1">
                  <c:v>Best-Worst</c:v>
                </c:pt>
                <c:pt idx="2">
                  <c:v>Worst-Best</c:v>
                </c:pt>
                <c:pt idx="3">
                  <c:v>Worst-Worst</c:v>
                </c:pt>
              </c:strCache>
            </c:strRef>
          </c:cat>
          <c:val>
            <c:numRef>
              <c:f>'Profit Study (2)'!$C$32:$F$32</c:f>
              <c:numCache>
                <c:formatCode>0%</c:formatCode>
                <c:ptCount val="4"/>
                <c:pt idx="0">
                  <c:v>7.7801510645205019E-2</c:v>
                </c:pt>
                <c:pt idx="1">
                  <c:v>5.2317965822396673E-2</c:v>
                </c:pt>
                <c:pt idx="2">
                  <c:v>4.6211690485714385E-2</c:v>
                </c:pt>
                <c:pt idx="3">
                  <c:v>2.1475055543832999E-2</c:v>
                </c:pt>
              </c:numCache>
            </c:numRef>
          </c:val>
          <c:extLst>
            <c:ext xmlns:c16="http://schemas.microsoft.com/office/drawing/2014/chart" uri="{C3380CC4-5D6E-409C-BE32-E72D297353CC}">
              <c16:uniqueId val="{00000001-7189-43D8-80DC-0A3C9C6C5895}"/>
            </c:ext>
          </c:extLst>
        </c:ser>
        <c:dLbls>
          <c:showLegendKey val="0"/>
          <c:showVal val="0"/>
          <c:showCatName val="0"/>
          <c:showSerName val="0"/>
          <c:showPercent val="0"/>
          <c:showBubbleSize val="0"/>
        </c:dLbls>
        <c:gapWidth val="219"/>
        <c:overlap val="-27"/>
        <c:axId val="1078608344"/>
        <c:axId val="1078608672"/>
      </c:barChart>
      <c:catAx>
        <c:axId val="1078608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1078608672"/>
        <c:crosses val="autoZero"/>
        <c:auto val="1"/>
        <c:lblAlgn val="ctr"/>
        <c:lblOffset val="100"/>
        <c:noMultiLvlLbl val="0"/>
      </c:catAx>
      <c:valAx>
        <c:axId val="107860867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1078608344"/>
        <c:crosses val="autoZero"/>
        <c:crossBetween val="between"/>
        <c:minorUnit val="1.0000000000000002E-2"/>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latin typeface="Arial Narrow" panose="020B0606020202030204" pitchFamily="34" charset="0"/>
        </a:defRPr>
      </a:pPr>
      <a:endParaRPr lang="en-US"/>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r>
              <a:rPr lang="en-US"/>
              <a:t>Revenue History and Scenarios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Data'!$B$1:$P$1</c15:sqref>
                  </c15:fullRef>
                </c:ext>
              </c:extLst>
              <c:f>'Graphing Data'!$B$1:$K$1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Data'!$B$2:$P$2</c15:sqref>
                  </c15:fullRef>
                </c:ext>
              </c:extLst>
              <c:f>'Graphing Data'!$B$2:$K$2</c:f>
              <c:numCache>
                <c:formatCode>_(* #,##0_);_(* \(#,##0\);_(* "-"??_);_(@_)</c:formatCode>
                <c:ptCount val="10"/>
                <c:pt idx="0">
                  <c:v>16283</c:v>
                </c:pt>
                <c:pt idx="1">
                  <c:v>17970</c:v>
                </c:pt>
                <c:pt idx="2">
                  <c:v>14143</c:v>
                </c:pt>
                <c:pt idx="3">
                  <c:v>16965</c:v>
                </c:pt>
                <c:pt idx="4">
                  <c:v>19557</c:v>
                </c:pt>
                <c:pt idx="5">
                  <c:v>20926</c:v>
                </c:pt>
                <c:pt idx="6">
                  <c:v>21963</c:v>
                </c:pt>
                <c:pt idx="7">
                  <c:v>23988</c:v>
                </c:pt>
                <c:pt idx="8">
                  <c:v>21813</c:v>
                </c:pt>
                <c:pt idx="9">
                  <c:v>19941</c:v>
                </c:pt>
              </c:numCache>
            </c:numRef>
          </c:val>
          <c:extLst>
            <c:ext xmlns:c16="http://schemas.microsoft.com/office/drawing/2014/chart" uri="{C3380CC4-5D6E-409C-BE32-E72D297353CC}">
              <c16:uniqueId val="{00000000-13D4-4FC6-8747-5433839411EC}"/>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1"/>
          <c:tx>
            <c:strRef>
              <c:f>'Graphing Data'!$A$5</c:f>
              <c:strCache>
                <c:ptCount val="1"/>
                <c:pt idx="0">
                  <c:v>Percent Revenue Change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Data'!$B$1:$P$1</c15:sqref>
                  </c15:fullRef>
                </c:ext>
              </c:extLst>
              <c:f>'Graphing Data'!$B$1:$K$1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Data'!$B$5:$P$5</c15:sqref>
                  </c15:fullRef>
                </c:ext>
              </c:extLst>
              <c:f>'Graphing Data'!$B$5:$K$5</c:f>
              <c:numCache>
                <c:formatCode>0%</c:formatCode>
                <c:ptCount val="10"/>
                <c:pt idx="1">
                  <c:v>0.10360498679604491</c:v>
                </c:pt>
                <c:pt idx="2">
                  <c:v>-0.21296605453533668</c:v>
                </c:pt>
                <c:pt idx="3">
                  <c:v>0.1995333380470905</c:v>
                </c:pt>
                <c:pt idx="4">
                  <c:v>0.15278514588859426</c:v>
                </c:pt>
                <c:pt idx="5">
                  <c:v>7.0000511325867931E-2</c:v>
                </c:pt>
                <c:pt idx="6">
                  <c:v>4.9555576794418466E-2</c:v>
                </c:pt>
                <c:pt idx="7">
                  <c:v>9.2200519054773888E-2</c:v>
                </c:pt>
                <c:pt idx="8">
                  <c:v>-9.0670335167583826E-2</c:v>
                </c:pt>
                <c:pt idx="9">
                  <c:v>-8.5820382340805912E-2</c:v>
                </c:pt>
              </c:numCache>
            </c:numRef>
          </c:val>
          <c:smooth val="0"/>
          <c:extLst>
            <c:ext xmlns:c16="http://schemas.microsoft.com/office/drawing/2014/chart" uri="{C3380CC4-5D6E-409C-BE32-E72D297353CC}">
              <c16:uniqueId val="{00000003-13D4-4FC6-8747-5433839411EC}"/>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Narrow" panose="020B0606020202030204" pitchFamily="34" charset="0"/>
        </a:defRPr>
      </a:pPr>
      <a:endParaRPr lang="en-US"/>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r>
              <a:rPr lang="en-US"/>
              <a:t>Revenue History and Scenarios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Data'!$B$2:$P$2</c:f>
              <c:numCache>
                <c:formatCode>_(* #,##0_);_(* \(#,##0\);_(* "-"??_);_(@_)</c:formatCode>
                <c:ptCount val="15"/>
                <c:pt idx="0">
                  <c:v>16283</c:v>
                </c:pt>
                <c:pt idx="1">
                  <c:v>17970</c:v>
                </c:pt>
                <c:pt idx="2">
                  <c:v>14143</c:v>
                </c:pt>
                <c:pt idx="3">
                  <c:v>16965</c:v>
                </c:pt>
                <c:pt idx="4">
                  <c:v>19557</c:v>
                </c:pt>
                <c:pt idx="5">
                  <c:v>20926</c:v>
                </c:pt>
                <c:pt idx="6">
                  <c:v>21963</c:v>
                </c:pt>
                <c:pt idx="7">
                  <c:v>23988</c:v>
                </c:pt>
                <c:pt idx="8">
                  <c:v>21813</c:v>
                </c:pt>
                <c:pt idx="9">
                  <c:v>19941</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Data'!$B$3:$P$3</c:f>
              <c:numCache>
                <c:formatCode>General</c:formatCode>
                <c:ptCount val="15"/>
                <c:pt idx="10" formatCode="_(* #,##0_);_(* \(#,##0\);_(* &quot;-&quot;??_);_(@_)">
                  <c:v>21587.481574819667</c:v>
                </c:pt>
                <c:pt idx="11" formatCode="_(* #,##0_);_(* \(#,##0\);_(* &quot;-&quot;??_);_(@_)">
                  <c:v>23190.650897351778</c:v>
                </c:pt>
                <c:pt idx="12" formatCode="_(* #,##0_);_(* \(#,##0\);_(* &quot;-&quot;??_);_(@_)">
                  <c:v>24947.650959138136</c:v>
                </c:pt>
                <c:pt idx="13" formatCode="_(* #,##0_);_(* \(#,##0\);_(* &quot;-&quot;??_);_(@_)">
                  <c:v>26875.404887193115</c:v>
                </c:pt>
                <c:pt idx="14" formatCode="_(* #,##0_);_(* \(#,##0\);_(* &quot;-&quot;??_);_(@_)">
                  <c:v>28992.915852008457</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Data'!$B$4:$P$4</c:f>
              <c:numCache>
                <c:formatCode>General</c:formatCode>
                <c:ptCount val="15"/>
                <c:pt idx="10" formatCode="_(* #,##0_);_(* \(#,##0\);_(* &quot;-&quot;??_);_(@_)">
                  <c:v>21388.071574819667</c:v>
                </c:pt>
                <c:pt idx="11" formatCode="_(* #,##0_);_(* \(#,##0\);_(* &quot;-&quot;??_);_(@_)">
                  <c:v>21844.238469456275</c:v>
                </c:pt>
                <c:pt idx="12" formatCode="_(* #,##0_);_(* \(#,##0\);_(* &quot;-&quot;??_);_(@_)">
                  <c:v>22318.989569964306</c:v>
                </c:pt>
                <c:pt idx="13" formatCode="_(* #,##0_);_(* \(#,##0\);_(* &quot;-&quot;??_);_(@_)">
                  <c:v>22813.044335623501</c:v>
                </c:pt>
                <c:pt idx="14" formatCode="_(* #,##0_);_(* \(#,##0\);_(* &quot;-&quot;??_);_(@_)">
                  <c:v>23327.156734568267</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Data'!$B$5:$P$5</c:f>
              <c:numCache>
                <c:formatCode>0%</c:formatCode>
                <c:ptCount val="15"/>
                <c:pt idx="1">
                  <c:v>0.10360498679604491</c:v>
                </c:pt>
                <c:pt idx="2">
                  <c:v>-0.21296605453533668</c:v>
                </c:pt>
                <c:pt idx="3">
                  <c:v>0.1995333380470905</c:v>
                </c:pt>
                <c:pt idx="4">
                  <c:v>0.15278514588859426</c:v>
                </c:pt>
                <c:pt idx="5">
                  <c:v>7.0000511325867931E-2</c:v>
                </c:pt>
                <c:pt idx="6">
                  <c:v>4.9555576794418466E-2</c:v>
                </c:pt>
                <c:pt idx="7">
                  <c:v>9.2200519054773888E-2</c:v>
                </c:pt>
                <c:pt idx="8">
                  <c:v>-9.0670335167583826E-2</c:v>
                </c:pt>
                <c:pt idx="9">
                  <c:v>-8.5820382340805912E-2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Data'!$B$6:$P$6</c:f>
              <c:numCache>
                <c:formatCode>General</c:formatCode>
                <c:ptCount val="15"/>
                <c:pt idx="9" formatCode="0%">
                  <c:v>-8.5820382340805912E-2</c:v>
                </c:pt>
                <c:pt idx="10" formatCode="0%">
                  <c:v>8.2567653318272191E-2</c:v>
                </c:pt>
                <c:pt idx="11" formatCode="0%">
                  <c:v>7.4263842077905817E-2</c:v>
                </c:pt>
                <c:pt idx="12" formatCode="0%">
                  <c:v>7.5763292266496807E-2</c:v>
                </c:pt>
                <c:pt idx="13" formatCode="0%">
                  <c:v>7.7271961645305032E-2</c:v>
                </c:pt>
                <c:pt idx="14" formatCode="0%">
                  <c:v>7.8789918652514723E-2</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Data'!$B$7:$P$7</c:f>
              <c:numCache>
                <c:formatCode>General</c:formatCode>
                <c:ptCount val="15"/>
                <c:pt idx="9" formatCode="0%">
                  <c:v>-8.5820382340805912E-2</c:v>
                </c:pt>
                <c:pt idx="10" formatCode="0%">
                  <c:v>7.2567653318272196E-2</c:v>
                </c:pt>
                <c:pt idx="11" formatCode="0%">
                  <c:v>2.1328098376744542E-2</c:v>
                </c:pt>
                <c:pt idx="12" formatCode="0%">
                  <c:v>2.1733469956934037E-2</c:v>
                </c:pt>
                <c:pt idx="13" formatCode="0%">
                  <c:v>2.2136072249617778E-2</c:v>
                </c:pt>
                <c:pt idx="14" formatCode="0%">
                  <c:v>2.2535896190845506E-2</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Narrow" panose="020B0606020202030204" pitchFamily="34" charset="0"/>
        </a:defRPr>
      </a:pPr>
      <a:endParaRPr lang="en-US"/>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r>
              <a:rPr lang="en-US"/>
              <a:t>Owners' Cash Profit History and Scenarios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Data'!$B$9:$P$9</c15:sqref>
                  </c15:fullRef>
                </c:ext>
              </c:extLst>
              <c:f>'Graphing Data'!$B$9:$K$9</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Data'!$B$10:$P$10</c15:sqref>
                  </c15:fullRef>
                </c:ext>
              </c:extLst>
              <c:f>'Graphing Data'!$B$10:$K$10</c:f>
              <c:numCache>
                <c:formatCode>_(* #,##0_);_(* \(#,##0\);_(* "-"??_);_(@_)</c:formatCode>
                <c:ptCount val="10"/>
                <c:pt idx="0">
                  <c:v>1902.086</c:v>
                </c:pt>
                <c:pt idx="1">
                  <c:v>2676.7514999999999</c:v>
                </c:pt>
                <c:pt idx="2">
                  <c:v>1738.1669999999999</c:v>
                </c:pt>
                <c:pt idx="3">
                  <c:v>2595.7588999999998</c:v>
                </c:pt>
                <c:pt idx="4">
                  <c:v>4208.098</c:v>
                </c:pt>
                <c:pt idx="5">
                  <c:v>4370.3584000000001</c:v>
                </c:pt>
                <c:pt idx="6">
                  <c:v>5019.3148000000001</c:v>
                </c:pt>
                <c:pt idx="7">
                  <c:v>5466.5962</c:v>
                </c:pt>
                <c:pt idx="8">
                  <c:v>5317.3225000000002</c:v>
                </c:pt>
                <c:pt idx="9">
                  <c:v>5445</c:v>
                </c:pt>
              </c:numCache>
            </c:numRef>
          </c:val>
          <c:extLst>
            <c:ext xmlns:c16="http://schemas.microsoft.com/office/drawing/2014/chart" uri="{C3380CC4-5D6E-409C-BE32-E72D297353CC}">
              <c16:uniqueId val="{00000000-142E-48A6-8CC8-E3BEFEBBAAA5}"/>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1"/>
          <c:tx>
            <c:strRef>
              <c:f>'Graphing Data'!$A$13</c:f>
              <c:strCache>
                <c:ptCount val="1"/>
                <c:pt idx="0">
                  <c:v>OCP Margin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Data'!$B$9:$P$9</c15:sqref>
                  </c15:fullRef>
                </c:ext>
              </c:extLst>
              <c:f>'Graphing Data'!$B$9:$K$9</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Data'!$B$13:$P$13</c15:sqref>
                  </c15:fullRef>
                </c:ext>
              </c:extLst>
              <c:f>'Graphing Data'!$B$13:$K$13</c:f>
              <c:numCache>
                <c:formatCode>0%</c:formatCode>
                <c:ptCount val="10"/>
                <c:pt idx="0">
                  <c:v>0.11681422342320211</c:v>
                </c:pt>
                <c:pt idx="1">
                  <c:v>0.14895667779632721</c:v>
                </c:pt>
                <c:pt idx="2">
                  <c:v>0.12289945556105493</c:v>
                </c:pt>
                <c:pt idx="3">
                  <c:v>0.15300671382257588</c:v>
                </c:pt>
                <c:pt idx="4">
                  <c:v>0.21517093623766426</c:v>
                </c:pt>
                <c:pt idx="5">
                  <c:v>0.2088482462008984</c:v>
                </c:pt>
                <c:pt idx="6">
                  <c:v>0.22853502709101672</c:v>
                </c:pt>
                <c:pt idx="7">
                  <c:v>0.22788878605969651</c:v>
                </c:pt>
                <c:pt idx="8">
                  <c:v>0.24376850960436439</c:v>
                </c:pt>
                <c:pt idx="9">
                  <c:v>0.27305551376560855</c:v>
                </c:pt>
              </c:numCache>
            </c:numRef>
          </c:val>
          <c:smooth val="0"/>
          <c:extLst>
            <c:ext xmlns:c16="http://schemas.microsoft.com/office/drawing/2014/chart" uri="{C3380CC4-5D6E-409C-BE32-E72D297353CC}">
              <c16:uniqueId val="{00000003-142E-48A6-8CC8-E3BEFEBBAAA5}"/>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Narrow" panose="020B0606020202030204" pitchFamily="34" charset="0"/>
        </a:defRPr>
      </a:pPr>
      <a:endParaRPr lang="en-US"/>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r>
              <a:rPr lang="en-US"/>
              <a:t>Owners' Cash Profit History and Scenarios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Data'!$B$10:$P$10</c:f>
              <c:numCache>
                <c:formatCode>_(* #,##0_);_(* \(#,##0\);_(* "-"??_);_(@_)</c:formatCode>
                <c:ptCount val="15"/>
                <c:pt idx="0">
                  <c:v>1902.086</c:v>
                </c:pt>
                <c:pt idx="1">
                  <c:v>2676.7514999999999</c:v>
                </c:pt>
                <c:pt idx="2">
                  <c:v>1738.1669999999999</c:v>
                </c:pt>
                <c:pt idx="3">
                  <c:v>2595.7588999999998</c:v>
                </c:pt>
                <c:pt idx="4">
                  <c:v>4208.098</c:v>
                </c:pt>
                <c:pt idx="5">
                  <c:v>4370.3584000000001</c:v>
                </c:pt>
                <c:pt idx="6">
                  <c:v>5019.3148000000001</c:v>
                </c:pt>
                <c:pt idx="7">
                  <c:v>5466.5962</c:v>
                </c:pt>
                <c:pt idx="8">
                  <c:v>5317.3225000000002</c:v>
                </c:pt>
                <c:pt idx="9">
                  <c:v>5445</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Data'!$B$11:$P$11</c:f>
              <c:numCache>
                <c:formatCode>General</c:formatCode>
                <c:ptCount val="15"/>
                <c:pt idx="10" formatCode="_(* #,##0_);_(* \(#,##0\);_(* &quot;-&quot;??_);_(@_)">
                  <c:v>5396.8703937049168</c:v>
                </c:pt>
                <c:pt idx="11" formatCode="_(* #,##0_);_(* \(#,##0\);_(* &quot;-&quot;??_);_(@_)">
                  <c:v>5797.6627243379444</c:v>
                </c:pt>
                <c:pt idx="12" formatCode="_(* #,##0_);_(* \(#,##0\);_(* &quot;-&quot;??_);_(@_)">
                  <c:v>6486.3892493759158</c:v>
                </c:pt>
                <c:pt idx="13" formatCode="_(* #,##0_);_(* \(#,##0\);_(* &quot;-&quot;??_);_(@_)">
                  <c:v>6987.6052706702103</c:v>
                </c:pt>
                <c:pt idx="14" formatCode="_(* #,##0_);_(* \(#,##0\);_(* &quot;-&quot;??_);_(@_)">
                  <c:v>7538.1581215221986</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Data'!$B$12:$P$12</c:f>
              <c:numCache>
                <c:formatCode>General</c:formatCode>
                <c:ptCount val="15"/>
                <c:pt idx="10" formatCode="_(* #,##0_);_(* \(#,##0\);_(* &quot;-&quot;??_);_(@_)">
                  <c:v>4919.2564622085238</c:v>
                </c:pt>
                <c:pt idx="11" formatCode="_(* #,##0_);_(* \(#,##0\);_(* &quot;-&quot;??_);_(@_)">
                  <c:v>5024.1748479749431</c:v>
                </c:pt>
                <c:pt idx="12" formatCode="_(* #,##0_);_(* \(#,##0\);_(* &quot;-&quot;??_);_(@_)">
                  <c:v>5356.5574967914336</c:v>
                </c:pt>
                <c:pt idx="13" formatCode="_(* #,##0_);_(* \(#,##0\);_(* &quot;-&quot;??_);_(@_)">
                  <c:v>5475.1306405496398</c:v>
                </c:pt>
                <c:pt idx="14" formatCode="_(* #,##0_);_(* \(#,##0\);_(* &quot;-&quot;??_);_(@_)">
                  <c:v>5598.5176162963835</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Data'!$B$13:$P$13</c:f>
              <c:numCache>
                <c:formatCode>0%</c:formatCode>
                <c:ptCount val="15"/>
                <c:pt idx="0">
                  <c:v>0.11681422342320211</c:v>
                </c:pt>
                <c:pt idx="1">
                  <c:v>0.14895667779632721</c:v>
                </c:pt>
                <c:pt idx="2">
                  <c:v>0.12289945556105493</c:v>
                </c:pt>
                <c:pt idx="3">
                  <c:v>0.15300671382257588</c:v>
                </c:pt>
                <c:pt idx="4">
                  <c:v>0.21517093623766426</c:v>
                </c:pt>
                <c:pt idx="5">
                  <c:v>0.2088482462008984</c:v>
                </c:pt>
                <c:pt idx="6">
                  <c:v>0.22853502709101672</c:v>
                </c:pt>
                <c:pt idx="7">
                  <c:v>0.22788878605969651</c:v>
                </c:pt>
                <c:pt idx="8">
                  <c:v>0.24376850960436439</c:v>
                </c:pt>
                <c:pt idx="9">
                  <c:v>0.27305551376560855</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Data'!$B$14:$P$14</c:f>
              <c:numCache>
                <c:formatCode>General</c:formatCode>
                <c:ptCount val="15"/>
                <c:pt idx="9" formatCode="0%">
                  <c:v>0.27305551376560855</c:v>
                </c:pt>
                <c:pt idx="10" formatCode="0%">
                  <c:v>0.25</c:v>
                </c:pt>
                <c:pt idx="11" formatCode="0%">
                  <c:v>0.25</c:v>
                </c:pt>
                <c:pt idx="12" formatCode="0%">
                  <c:v>0.26</c:v>
                </c:pt>
                <c:pt idx="13" formatCode="0%">
                  <c:v>0.26</c:v>
                </c:pt>
                <c:pt idx="14" formatCode="0%">
                  <c:v>0.26</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Data'!$B$15:$P$15</c:f>
              <c:numCache>
                <c:formatCode>General</c:formatCode>
                <c:ptCount val="15"/>
                <c:pt idx="9" formatCode="0%">
                  <c:v>0.27305551376560855</c:v>
                </c:pt>
                <c:pt idx="10" formatCode="0%">
                  <c:v>0.23</c:v>
                </c:pt>
                <c:pt idx="11" formatCode="0%">
                  <c:v>0.23</c:v>
                </c:pt>
                <c:pt idx="12" formatCode="0%">
                  <c:v>0.24</c:v>
                </c:pt>
                <c:pt idx="13" formatCode="0%">
                  <c:v>0.24</c:v>
                </c:pt>
                <c:pt idx="14" formatCode="0%">
                  <c:v>0.24</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Narrow" panose="020B0606020202030204" pitchFamily="34" charset="0"/>
        </a:defRPr>
      </a:pPr>
      <a:endParaRPr lang="en-US"/>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Narrow" panose="020B0606020202030204" pitchFamily="34" charset="0"/>
                <a:ea typeface="+mn-ea"/>
                <a:cs typeface="+mn-cs"/>
              </a:defRPr>
            </a:pPr>
            <a:r>
              <a:rPr lang="en-US"/>
              <a:t>Expansionary Cash Flow versus Owners' Cash Profits</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Data'!$B$18:$K$18</c:f>
              <c:numCache>
                <c:formatCode>_(* #,##0_);_(* \(#,##0\);_(* "-"??_);_(@_)</c:formatCode>
                <c:ptCount val="10"/>
                <c:pt idx="0">
                  <c:v>1902.086</c:v>
                </c:pt>
                <c:pt idx="1">
                  <c:v>2676.7514999999999</c:v>
                </c:pt>
                <c:pt idx="2">
                  <c:v>1738.1669999999999</c:v>
                </c:pt>
                <c:pt idx="3">
                  <c:v>2595.7588999999998</c:v>
                </c:pt>
                <c:pt idx="4">
                  <c:v>4208.098</c:v>
                </c:pt>
                <c:pt idx="5">
                  <c:v>4370.3584000000001</c:v>
                </c:pt>
                <c:pt idx="6">
                  <c:v>5019.3148000000001</c:v>
                </c:pt>
                <c:pt idx="7">
                  <c:v>5466.5962</c:v>
                </c:pt>
                <c:pt idx="8">
                  <c:v>5317.3225000000002</c:v>
                </c:pt>
                <c:pt idx="9">
                  <c:v>5445</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Data'!$B$19:$K$19</c:f>
              <c:numCache>
                <c:formatCode>_(* #,##0_);_(* \(#,##0\);_(* "-"??_);_(@_)</c:formatCode>
                <c:ptCount val="10"/>
                <c:pt idx="0">
                  <c:v>1660.1952520493401</c:v>
                </c:pt>
                <c:pt idx="1">
                  <c:v>1775.4868618210699</c:v>
                </c:pt>
                <c:pt idx="2">
                  <c:v>1076.1921746028399</c:v>
                </c:pt>
                <c:pt idx="3">
                  <c:v>908.24909047615984</c:v>
                </c:pt>
                <c:pt idx="4">
                  <c:v>1679.39141269827</c:v>
                </c:pt>
                <c:pt idx="5">
                  <c:v>2253.4143244800002</c:v>
                </c:pt>
                <c:pt idx="6">
                  <c:v>1763.1390869048</c:v>
                </c:pt>
                <c:pt idx="7">
                  <c:v>2670.8474862307999</c:v>
                </c:pt>
                <c:pt idx="8">
                  <c:v>2594.7030952380901</c:v>
                </c:pt>
                <c:pt idx="9">
                  <c:v>1446.4843373015874</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Arial Narrow" panose="020B0606020202030204" pitchFamily="34" charset="0"/>
        </a:defRPr>
      </a:pPr>
      <a:endParaRPr lang="en-US"/>
    </a:p>
  </c:txPr>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Expansionary Cash Flow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Data'!$B$22:$K$22</c:f>
              <c:numCache>
                <c:formatCode>_(* #,##0_);_(* \(#,##0\);_(* "-"??_);_(@_)</c:formatCode>
                <c:ptCount val="10"/>
                <c:pt idx="0">
                  <c:v>1742.086</c:v>
                </c:pt>
                <c:pt idx="1">
                  <c:v>1774.7514999999999</c:v>
                </c:pt>
                <c:pt idx="2">
                  <c:v>988.16699999999992</c:v>
                </c:pt>
                <c:pt idx="3">
                  <c:v>972.75889999999981</c:v>
                </c:pt>
                <c:pt idx="4">
                  <c:v>1596.098</c:v>
                </c:pt>
                <c:pt idx="5">
                  <c:v>2221.3584000000001</c:v>
                </c:pt>
                <c:pt idx="6">
                  <c:v>1692.3148000000001</c:v>
                </c:pt>
                <c:pt idx="7">
                  <c:v>2427.5962</c:v>
                </c:pt>
                <c:pt idx="8">
                  <c:v>2623.3225000000002</c:v>
                </c:pt>
                <c:pt idx="9">
                  <c:v>1425</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Data'!$B$24:$K$24</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Data'!$B$27:$K$27</c:f>
              <c:numCache>
                <c:formatCode>_(* #,##0_);_(* \(#,##0\);_(* "-"??_);_(@_)</c:formatCode>
                <c:ptCount val="10"/>
                <c:pt idx="0">
                  <c:v>51.109252049340007</c:v>
                </c:pt>
                <c:pt idx="1">
                  <c:v>122.73536182107</c:v>
                </c:pt>
                <c:pt idx="2">
                  <c:v>181.02517460284</c:v>
                </c:pt>
                <c:pt idx="3">
                  <c:v>122.49019047616001</c:v>
                </c:pt>
                <c:pt idx="4">
                  <c:v>150.29341269827</c:v>
                </c:pt>
                <c:pt idx="5">
                  <c:v>140.05592447999999</c:v>
                </c:pt>
                <c:pt idx="6">
                  <c:v>150.8242869048</c:v>
                </c:pt>
                <c:pt idx="7">
                  <c:v>341.25128623079996</c:v>
                </c:pt>
                <c:pt idx="8">
                  <c:v>109.38059523809001</c:v>
                </c:pt>
                <c:pt idx="9">
                  <c:v>150.48433730158735</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Data'!$B$23:$K$23</c:f>
              <c:numCache>
                <c:formatCode>_(* #,##0_);_(* \(#,##0\);_(* "-"??_);_(@_)</c:formatCode>
                <c:ptCount val="10"/>
                <c:pt idx="0">
                  <c:v>-133</c:v>
                </c:pt>
                <c:pt idx="1">
                  <c:v>-122</c:v>
                </c:pt>
                <c:pt idx="2">
                  <c:v>-93</c:v>
                </c:pt>
                <c:pt idx="3">
                  <c:v>-187</c:v>
                </c:pt>
                <c:pt idx="4">
                  <c:v>-67</c:v>
                </c:pt>
                <c:pt idx="5">
                  <c:v>-108</c:v>
                </c:pt>
                <c:pt idx="6">
                  <c:v>-80</c:v>
                </c:pt>
                <c:pt idx="7">
                  <c:v>-98</c:v>
                </c:pt>
                <c:pt idx="8">
                  <c:v>-138</c:v>
                </c:pt>
                <c:pt idx="9">
                  <c:v>-129</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Narrow" panose="020B0606020202030204" pitchFamily="34" charset="0"/>
                <a:ea typeface="+mn-ea"/>
                <a:cs typeface="+mn-cs"/>
              </a:defRPr>
            </a:pPr>
            <a:r>
              <a:rPr lang="en-US"/>
              <a:t>Free Cash Flow History &amp; Scenarios</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241.89074795065994</c:v>
                </c:pt>
                <c:pt idx="1">
                  <c:v>901.26463817893</c:v>
                </c:pt>
                <c:pt idx="2">
                  <c:v>661.97482539715998</c:v>
                </c:pt>
                <c:pt idx="3">
                  <c:v>1687.50980952384</c:v>
                </c:pt>
                <c:pt idx="4">
                  <c:v>2528.70658730173</c:v>
                </c:pt>
                <c:pt idx="5">
                  <c:v>2116.9440755199998</c:v>
                </c:pt>
                <c:pt idx="6">
                  <c:v>3256.1757130952001</c:v>
                </c:pt>
                <c:pt idx="7">
                  <c:v>2795.7487137692001</c:v>
                </c:pt>
                <c:pt idx="8">
                  <c:v>2722.6194047619101</c:v>
                </c:pt>
                <c:pt idx="9">
                  <c:v>3998.5156626984126</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4181.3679928772453</c:v>
                </c:pt>
                <c:pt idx="11" formatCode="_(* #,##0_);_(* \(#,##0\);_(* &quot;-&quot;??_);_(@_)">
                  <c:v>3768.1311359812071</c:v>
                </c:pt>
                <c:pt idx="12" formatCode="_(* #,##0_);_(* \(#,##0\);_(* &quot;-&quot;??_);_(@_)">
                  <c:v>4017.4181225935754</c:v>
                </c:pt>
                <c:pt idx="13" formatCode="_(* #,##0_);_(* \(#,##0\);_(* &quot;-&quot;??_);_(@_)">
                  <c:v>4106.3479804122298</c:v>
                </c:pt>
                <c:pt idx="14" formatCode="_(* #,##0_);_(* \(#,##0\);_(* &quot;-&quot;??_);_(@_)">
                  <c:v>3918.9623314074684</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4587.3398346491795</c:v>
                </c:pt>
                <c:pt idx="11" formatCode="_(* #,##0_);_(* \(#,##0\);_(* &quot;-&quot;??_);_(@_)">
                  <c:v>4348.2470432534583</c:v>
                </c:pt>
                <c:pt idx="12" formatCode="_(* #,##0_);_(* \(#,##0\);_(* &quot;-&quot;??_);_(@_)">
                  <c:v>4864.7919370319369</c:v>
                </c:pt>
                <c:pt idx="13" formatCode="_(* #,##0_);_(* \(#,##0\);_(* &quot;-&quot;??_);_(@_)">
                  <c:v>5240.7039530026577</c:v>
                </c:pt>
                <c:pt idx="14" formatCode="_(* #,##0_);_(* \(#,##0\);_(* &quot;-&quot;??_);_(@_)">
                  <c:v>5276.7106850655391</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Data'!$B$33:$P$33</c:f>
              <c:numCache>
                <c:formatCode>0%</c:formatCode>
                <c:ptCount val="15"/>
                <c:pt idx="0">
                  <c:v>1.4855416566398081E-2</c:v>
                </c:pt>
                <c:pt idx="1">
                  <c:v>5.0153847422311076E-2</c:v>
                </c:pt>
                <c:pt idx="2">
                  <c:v>4.6805827999516367E-2</c:v>
                </c:pt>
                <c:pt idx="3">
                  <c:v>9.9470074242489825E-2</c:v>
                </c:pt>
                <c:pt idx="4">
                  <c:v>0.12929930906078285</c:v>
                </c:pt>
                <c:pt idx="5">
                  <c:v>0.10116334108381916</c:v>
                </c:pt>
                <c:pt idx="6">
                  <c:v>0.14825732883008697</c:v>
                </c:pt>
                <c:pt idx="7">
                  <c:v>0.11654780364220443</c:v>
                </c:pt>
                <c:pt idx="8">
                  <c:v>0.12481636660532298</c:v>
                </c:pt>
                <c:pt idx="9">
                  <c:v>0.20051730919705194</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Data'!$B$35:$P$35</c:f>
              <c:numCache>
                <c:formatCode>General</c:formatCode>
                <c:ptCount val="15"/>
                <c:pt idx="9" formatCode="0%">
                  <c:v>0.20051730919705194</c:v>
                </c:pt>
                <c:pt idx="10" formatCode="0.0%">
                  <c:v>0.19550000000000001</c:v>
                </c:pt>
                <c:pt idx="11" formatCode="0.0%">
                  <c:v>0.17250000000000001</c:v>
                </c:pt>
                <c:pt idx="12" formatCode="0.0%">
                  <c:v>0.18</c:v>
                </c:pt>
                <c:pt idx="13" formatCode="0.0%">
                  <c:v>0.18</c:v>
                </c:pt>
                <c:pt idx="14" formatCode="0.0%">
                  <c:v>0.16799999999999998</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Data'!$B$34:$P$34</c:f>
              <c:numCache>
                <c:formatCode>General</c:formatCode>
                <c:ptCount val="15"/>
                <c:pt idx="9" formatCode="0%">
                  <c:v>0.20051730919705194</c:v>
                </c:pt>
                <c:pt idx="10" formatCode="0.0%">
                  <c:v>0.21249999999999999</c:v>
                </c:pt>
                <c:pt idx="11" formatCode="0.0%">
                  <c:v>0.1875</c:v>
                </c:pt>
                <c:pt idx="12" formatCode="0.0%">
                  <c:v>0.19500000000000001</c:v>
                </c:pt>
                <c:pt idx="13" formatCode="0.0%">
                  <c:v>0.19500000000000001</c:v>
                </c:pt>
                <c:pt idx="14" formatCode="0.0%">
                  <c:v>0.182</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Arial Narrow" panose="020B0606020202030204" pitchFamily="34" charset="0"/>
        </a:defRPr>
      </a:pPr>
      <a:endParaRPr lang="en-US"/>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Historical Investment Efficacy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UNP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1902.086</c:v>
                </c:pt>
                <c:pt idx="1">
                  <c:v>2676.7514999999999</c:v>
                </c:pt>
                <c:pt idx="2">
                  <c:v>1738.1669999999999</c:v>
                </c:pt>
                <c:pt idx="3">
                  <c:v>2595.7588999999998</c:v>
                </c:pt>
                <c:pt idx="4">
                  <c:v>4208.098</c:v>
                </c:pt>
                <c:pt idx="5">
                  <c:v>4370.3584000000001</c:v>
                </c:pt>
                <c:pt idx="6">
                  <c:v>5019.3148000000001</c:v>
                </c:pt>
                <c:pt idx="7">
                  <c:v>5466.5962</c:v>
                </c:pt>
                <c:pt idx="8">
                  <c:v>5317.3225000000002</c:v>
                </c:pt>
                <c:pt idx="9">
                  <c:v>5445</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UNP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1902.086</c:v>
                </c:pt>
                <c:pt idx="1">
                  <c:v>1883.9456154799184</c:v>
                </c:pt>
                <c:pt idx="2">
                  <c:v>1886.0950115044247</c:v>
                </c:pt>
                <c:pt idx="3">
                  <c:v>1972.0320079782166</c:v>
                </c:pt>
                <c:pt idx="4">
                  <c:v>2043.9072931109597</c:v>
                </c:pt>
                <c:pt idx="5">
                  <c:v>2114.7596729067395</c:v>
                </c:pt>
                <c:pt idx="6">
                  <c:v>2211.3271159836627</c:v>
                </c:pt>
                <c:pt idx="7">
                  <c:v>2292.3049637985027</c:v>
                </c:pt>
                <c:pt idx="8">
                  <c:v>2287.2940224642616</c:v>
                </c:pt>
                <c:pt idx="9">
                  <c:v>2287.2940224642616</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UNP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1">
                  <c:v>0.41680864299515452</c:v>
                </c:pt>
                <c:pt idx="2">
                  <c:v>-0.35178402227414296</c:v>
                </c:pt>
                <c:pt idx="3">
                  <c:v>0.44782521710434353</c:v>
                </c:pt>
                <c:pt idx="4">
                  <c:v>0.58469630601594624</c:v>
                </c:pt>
                <c:pt idx="5">
                  <c:v>3.8939198290075527E-3</c:v>
                </c:pt>
                <c:pt idx="6">
                  <c:v>0.10282687617861308</c:v>
                </c:pt>
                <c:pt idx="7">
                  <c:v>5.2492473876004864E-2</c:v>
                </c:pt>
                <c:pt idx="8">
                  <c:v>-2.5120532900888559E-2</c:v>
                </c:pt>
                <c:pt idx="9">
                  <c:v>2.4011614868197251E-2</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UNP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Data'!$B$41:$K$41</c:f>
              <c:numCache>
                <c:formatCode>0%</c:formatCode>
                <c:ptCount val="10"/>
                <c:pt idx="3">
                  <c:v>9.7478885797713577E-2</c:v>
                </c:pt>
                <c:pt idx="4">
                  <c:v>0.19057277514189375</c:v>
                </c:pt>
                <c:pt idx="5">
                  <c:v>0.26940274214057136</c:v>
                </c:pt>
                <c:pt idx="6">
                  <c:v>0.17785596922252611</c:v>
                </c:pt>
                <c:pt idx="7">
                  <c:v>5.3556838977008026E-2</c:v>
                </c:pt>
                <c:pt idx="8">
                  <c:v>3.7672791978281772E-2</c:v>
                </c:pt>
                <c:pt idx="9">
                  <c:v>1.5750057477016854E-2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9-Year Rolling Growth Rate per Freight Type</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Segments!$O$10</c:f>
              <c:strCache>
                <c:ptCount val="1"/>
                <c:pt idx="0">
                  <c:v>Revenue Ton-Miles</c:v>
                </c:pt>
              </c:strCache>
            </c:strRef>
          </c:tx>
          <c:spPr>
            <a:solidFill>
              <a:srgbClr val="575A5D"/>
            </a:solidFill>
            <a:ln>
              <a:noFill/>
            </a:ln>
            <a:effectLst/>
          </c:spPr>
          <c:invertIfNegative val="0"/>
          <c:cat>
            <c:strRef>
              <c:f>Segments!$A$11:$A$16</c:f>
              <c:strCache>
                <c:ptCount val="6"/>
                <c:pt idx="0">
                  <c:v>Agricultural</c:v>
                </c:pt>
                <c:pt idx="1">
                  <c:v>Automotive</c:v>
                </c:pt>
                <c:pt idx="2">
                  <c:v>Chemicals</c:v>
                </c:pt>
                <c:pt idx="3">
                  <c:v>Coal</c:v>
                </c:pt>
                <c:pt idx="4">
                  <c:v>Industrial</c:v>
                </c:pt>
                <c:pt idx="5">
                  <c:v>Intermodal</c:v>
                </c:pt>
              </c:strCache>
            </c:strRef>
          </c:cat>
          <c:val>
            <c:numRef>
              <c:f>Segments!$O$11:$O$16</c:f>
              <c:numCache>
                <c:formatCode>0.0%</c:formatCode>
                <c:ptCount val="6"/>
                <c:pt idx="0">
                  <c:v>1.5165189467755136E-2</c:v>
                </c:pt>
                <c:pt idx="1">
                  <c:v>5.3443331250799808E-3</c:v>
                </c:pt>
                <c:pt idx="2">
                  <c:v>1.8567247822886657E-2</c:v>
                </c:pt>
                <c:pt idx="3">
                  <c:v>-6.9625771908942702E-2</c:v>
                </c:pt>
                <c:pt idx="4">
                  <c:v>-1.0243040849811647E-2</c:v>
                </c:pt>
                <c:pt idx="5">
                  <c:v>-5.3007396050707145E-3</c:v>
                </c:pt>
              </c:numCache>
            </c:numRef>
          </c:val>
          <c:extLst>
            <c:ext xmlns:c16="http://schemas.microsoft.com/office/drawing/2014/chart" uri="{C3380CC4-5D6E-409C-BE32-E72D297353CC}">
              <c16:uniqueId val="{00000000-016F-4284-A040-07CFA9402E32}"/>
            </c:ext>
          </c:extLst>
        </c:ser>
        <c:ser>
          <c:idx val="1"/>
          <c:order val="1"/>
          <c:tx>
            <c:strRef>
              <c:f>Segments!$P$10</c:f>
              <c:strCache>
                <c:ptCount val="1"/>
                <c:pt idx="0">
                  <c:v>Revenue / Ton-Miles</c:v>
                </c:pt>
              </c:strCache>
            </c:strRef>
          </c:tx>
          <c:spPr>
            <a:solidFill>
              <a:srgbClr val="0046AD"/>
            </a:solidFill>
            <a:ln>
              <a:noFill/>
            </a:ln>
            <a:effectLst/>
          </c:spPr>
          <c:invertIfNegative val="0"/>
          <c:cat>
            <c:strRef>
              <c:f>Segments!$A$11:$A$16</c:f>
              <c:strCache>
                <c:ptCount val="6"/>
                <c:pt idx="0">
                  <c:v>Agricultural</c:v>
                </c:pt>
                <c:pt idx="1">
                  <c:v>Automotive</c:v>
                </c:pt>
                <c:pt idx="2">
                  <c:v>Chemicals</c:v>
                </c:pt>
                <c:pt idx="3">
                  <c:v>Coal</c:v>
                </c:pt>
                <c:pt idx="4">
                  <c:v>Industrial</c:v>
                </c:pt>
                <c:pt idx="5">
                  <c:v>Intermodal</c:v>
                </c:pt>
              </c:strCache>
            </c:strRef>
          </c:cat>
          <c:val>
            <c:numRef>
              <c:f>Segments!$P$11:$P$16</c:f>
              <c:numCache>
                <c:formatCode>0.0%</c:formatCode>
                <c:ptCount val="6"/>
                <c:pt idx="0">
                  <c:v>2.7536266558646716E-2</c:v>
                </c:pt>
                <c:pt idx="1">
                  <c:v>2.9508119622683182E-2</c:v>
                </c:pt>
                <c:pt idx="2">
                  <c:v>3.3417734035798397E-2</c:v>
                </c:pt>
                <c:pt idx="3">
                  <c:v>7.7862132548072838E-2</c:v>
                </c:pt>
                <c:pt idx="4">
                  <c:v>2.3859281272487598E-2</c:v>
                </c:pt>
                <c:pt idx="5">
                  <c:v>3.5676696034395716E-2</c:v>
                </c:pt>
              </c:numCache>
            </c:numRef>
          </c:val>
          <c:extLst>
            <c:ext xmlns:c16="http://schemas.microsoft.com/office/drawing/2014/chart" uri="{C3380CC4-5D6E-409C-BE32-E72D297353CC}">
              <c16:uniqueId val="{00000001-016F-4284-A040-07CFA9402E32}"/>
            </c:ext>
          </c:extLst>
        </c:ser>
        <c:dLbls>
          <c:showLegendKey val="0"/>
          <c:showVal val="0"/>
          <c:showCatName val="0"/>
          <c:showSerName val="0"/>
          <c:showPercent val="0"/>
          <c:showBubbleSize val="0"/>
        </c:dLbls>
        <c:gapWidth val="219"/>
        <c:overlap val="-27"/>
        <c:axId val="414288048"/>
        <c:axId val="414289688"/>
      </c:barChart>
      <c:lineChart>
        <c:grouping val="standard"/>
        <c:varyColors val="0"/>
        <c:ser>
          <c:idx val="2"/>
          <c:order val="2"/>
          <c:tx>
            <c:strRef>
              <c:f>Segments!$Q$10</c:f>
              <c:strCache>
                <c:ptCount val="1"/>
                <c:pt idx="0">
                  <c:v>Revenues Adjusted for Fuel Surcharge</c:v>
                </c:pt>
              </c:strCache>
            </c:strRef>
          </c:tx>
          <c:spPr>
            <a:ln w="19050" cap="rnd">
              <a:solidFill>
                <a:schemeClr val="tx1"/>
              </a:solidFill>
              <a:round/>
            </a:ln>
            <a:effectLst/>
          </c:spPr>
          <c:marker>
            <c:symbol val="none"/>
          </c:marker>
          <c:cat>
            <c:strRef>
              <c:f>Segments!$A$11:$A$16</c:f>
              <c:strCache>
                <c:ptCount val="6"/>
                <c:pt idx="0">
                  <c:v>Agricultural</c:v>
                </c:pt>
                <c:pt idx="1">
                  <c:v>Automotive</c:v>
                </c:pt>
                <c:pt idx="2">
                  <c:v>Chemicals</c:v>
                </c:pt>
                <c:pt idx="3">
                  <c:v>Coal</c:v>
                </c:pt>
                <c:pt idx="4">
                  <c:v>Industrial</c:v>
                </c:pt>
                <c:pt idx="5">
                  <c:v>Intermodal</c:v>
                </c:pt>
              </c:strCache>
            </c:strRef>
          </c:cat>
          <c:val>
            <c:numRef>
              <c:f>Segments!$Q$11:$Q$16</c:f>
              <c:numCache>
                <c:formatCode>0.0%</c:formatCode>
                <c:ptCount val="6"/>
                <c:pt idx="0">
                  <c:v>4.299546230307838E-2</c:v>
                </c:pt>
                <c:pt idx="1">
                  <c:v>4.0091033463644399E-2</c:v>
                </c:pt>
                <c:pt idx="2">
                  <c:v>5.2161734036877183E-2</c:v>
                </c:pt>
                <c:pt idx="3">
                  <c:v>-6.9790829075299099E-3</c:v>
                </c:pt>
                <c:pt idx="4">
                  <c:v>1.3887460638957849E-2</c:v>
                </c:pt>
                <c:pt idx="5">
                  <c:v>3.0729636849041064E-2</c:v>
                </c:pt>
              </c:numCache>
            </c:numRef>
          </c:val>
          <c:smooth val="0"/>
          <c:extLst>
            <c:ext xmlns:c16="http://schemas.microsoft.com/office/drawing/2014/chart" uri="{C3380CC4-5D6E-409C-BE32-E72D297353CC}">
              <c16:uniqueId val="{00000002-016F-4284-A040-07CFA9402E32}"/>
            </c:ext>
          </c:extLst>
        </c:ser>
        <c:dLbls>
          <c:showLegendKey val="0"/>
          <c:showVal val="0"/>
          <c:showCatName val="0"/>
          <c:showSerName val="0"/>
          <c:showPercent val="0"/>
          <c:showBubbleSize val="0"/>
        </c:dLbls>
        <c:marker val="1"/>
        <c:smooth val="0"/>
        <c:axId val="414288048"/>
        <c:axId val="414289688"/>
      </c:lineChart>
      <c:catAx>
        <c:axId val="4142880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14289688"/>
        <c:crosses val="autoZero"/>
        <c:auto val="1"/>
        <c:lblAlgn val="ctr"/>
        <c:lblOffset val="100"/>
        <c:noMultiLvlLbl val="0"/>
      </c:catAx>
      <c:valAx>
        <c:axId val="414289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4142880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Union Pacific (UNP)</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2.72</c:v>
                </c:pt>
                <c:pt idx="2">
                  <c:v>5.44</c:v>
                </c:pt>
                <c:pt idx="3">
                  <c:v>8.16</c:v>
                </c:pt>
                <c:pt idx="4">
                  <c:v>10.88</c:v>
                </c:pt>
                <c:pt idx="5">
                  <c:v>13.600000000000001</c:v>
                </c:pt>
                <c:pt idx="6">
                  <c:v>16.32</c:v>
                </c:pt>
                <c:pt idx="7">
                  <c:v>19.040000000000003</c:v>
                </c:pt>
                <c:pt idx="8">
                  <c:v>21.76</c:v>
                </c:pt>
                <c:pt idx="9">
                  <c:v>24.48</c:v>
                </c:pt>
                <c:pt idx="10">
                  <c:v>27.2</c:v>
                </c:pt>
                <c:pt idx="11">
                  <c:v>29.919999999999995</c:v>
                </c:pt>
                <c:pt idx="12">
                  <c:v>32.639999999999993</c:v>
                </c:pt>
                <c:pt idx="13">
                  <c:v>35.359999999999992</c:v>
                </c:pt>
                <c:pt idx="14">
                  <c:v>38.08</c:v>
                </c:pt>
                <c:pt idx="15">
                  <c:v>40.799999999999997</c:v>
                </c:pt>
                <c:pt idx="16">
                  <c:v>43.52</c:v>
                </c:pt>
                <c:pt idx="17">
                  <c:v>46.24</c:v>
                </c:pt>
                <c:pt idx="18">
                  <c:v>48.960000000000008</c:v>
                </c:pt>
                <c:pt idx="19">
                  <c:v>51.680000000000007</c:v>
                </c:pt>
                <c:pt idx="20">
                  <c:v>54.400000000000013</c:v>
                </c:pt>
                <c:pt idx="21">
                  <c:v>57.120000000000012</c:v>
                </c:pt>
                <c:pt idx="22">
                  <c:v>59.840000000000018</c:v>
                </c:pt>
                <c:pt idx="23">
                  <c:v>62.560000000000016</c:v>
                </c:pt>
                <c:pt idx="24">
                  <c:v>65.280000000000015</c:v>
                </c:pt>
                <c:pt idx="25">
                  <c:v>68.000000000000014</c:v>
                </c:pt>
                <c:pt idx="26">
                  <c:v>70.720000000000013</c:v>
                </c:pt>
                <c:pt idx="27">
                  <c:v>73.440000000000026</c:v>
                </c:pt>
                <c:pt idx="28">
                  <c:v>76.160000000000025</c:v>
                </c:pt>
                <c:pt idx="29">
                  <c:v>78.880000000000024</c:v>
                </c:pt>
                <c:pt idx="30">
                  <c:v>81.600000000000023</c:v>
                </c:pt>
                <c:pt idx="31">
                  <c:v>84.320000000000036</c:v>
                </c:pt>
                <c:pt idx="32">
                  <c:v>87.040000000000035</c:v>
                </c:pt>
                <c:pt idx="33">
                  <c:v>89.760000000000034</c:v>
                </c:pt>
                <c:pt idx="34">
                  <c:v>92.480000000000032</c:v>
                </c:pt>
                <c:pt idx="35">
                  <c:v>95.200000000000045</c:v>
                </c:pt>
                <c:pt idx="36">
                  <c:v>97.920000000000044</c:v>
                </c:pt>
                <c:pt idx="37">
                  <c:v>100.64000000000004</c:v>
                </c:pt>
                <c:pt idx="38">
                  <c:v>103.36000000000004</c:v>
                </c:pt>
                <c:pt idx="39">
                  <c:v>106.08000000000006</c:v>
                </c:pt>
                <c:pt idx="40">
                  <c:v>108.80000000000005</c:v>
                </c:pt>
                <c:pt idx="41">
                  <c:v>111.52000000000005</c:v>
                </c:pt>
                <c:pt idx="42">
                  <c:v>114.24000000000005</c:v>
                </c:pt>
                <c:pt idx="43">
                  <c:v>116.96000000000006</c:v>
                </c:pt>
                <c:pt idx="44">
                  <c:v>119.68000000000006</c:v>
                </c:pt>
                <c:pt idx="45">
                  <c:v>122.40000000000006</c:v>
                </c:pt>
                <c:pt idx="46">
                  <c:v>125.12000000000006</c:v>
                </c:pt>
                <c:pt idx="47">
                  <c:v>127.84000000000007</c:v>
                </c:pt>
                <c:pt idx="48">
                  <c:v>130.56000000000006</c:v>
                </c:pt>
                <c:pt idx="49">
                  <c:v>133.28000000000009</c:v>
                </c:pt>
                <c:pt idx="50">
                  <c:v>136.00000000000006</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6.25E-2</c:v>
                </c:pt>
                <c:pt idx="30">
                  <c:v>0</c:v>
                </c:pt>
                <c:pt idx="31">
                  <c:v>0</c:v>
                </c:pt>
                <c:pt idx="32">
                  <c:v>6.25E-2</c:v>
                </c:pt>
                <c:pt idx="33">
                  <c:v>0</c:v>
                </c:pt>
                <c:pt idx="34">
                  <c:v>0</c:v>
                </c:pt>
                <c:pt idx="35">
                  <c:v>6.25E-2</c:v>
                </c:pt>
                <c:pt idx="36">
                  <c:v>6.25E-2</c:v>
                </c:pt>
                <c:pt idx="37">
                  <c:v>0</c:v>
                </c:pt>
                <c:pt idx="38">
                  <c:v>6.25E-2</c:v>
                </c:pt>
                <c:pt idx="39">
                  <c:v>6.25E-2</c:v>
                </c:pt>
                <c:pt idx="40">
                  <c:v>0</c:v>
                </c:pt>
                <c:pt idx="41">
                  <c:v>0</c:v>
                </c:pt>
                <c:pt idx="42">
                  <c:v>0</c:v>
                </c:pt>
                <c:pt idx="43">
                  <c:v>6.25E-2</c:v>
                </c:pt>
                <c:pt idx="44">
                  <c:v>0</c:v>
                </c:pt>
                <c:pt idx="45">
                  <c:v>0</c:v>
                </c:pt>
                <c:pt idx="46">
                  <c:v>6.25E-2</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2.72</c:v>
                </c:pt>
                <c:pt idx="2">
                  <c:v>5.44</c:v>
                </c:pt>
                <c:pt idx="3">
                  <c:v>8.16</c:v>
                </c:pt>
                <c:pt idx="4">
                  <c:v>10.88</c:v>
                </c:pt>
                <c:pt idx="5">
                  <c:v>13.600000000000001</c:v>
                </c:pt>
                <c:pt idx="6">
                  <c:v>16.32</c:v>
                </c:pt>
                <c:pt idx="7">
                  <c:v>19.040000000000003</c:v>
                </c:pt>
                <c:pt idx="8">
                  <c:v>21.76</c:v>
                </c:pt>
                <c:pt idx="9">
                  <c:v>24.48</c:v>
                </c:pt>
                <c:pt idx="10">
                  <c:v>27.2</c:v>
                </c:pt>
                <c:pt idx="11">
                  <c:v>29.919999999999995</c:v>
                </c:pt>
                <c:pt idx="12">
                  <c:v>32.639999999999993</c:v>
                </c:pt>
                <c:pt idx="13">
                  <c:v>35.359999999999992</c:v>
                </c:pt>
                <c:pt idx="14">
                  <c:v>38.08</c:v>
                </c:pt>
                <c:pt idx="15">
                  <c:v>40.799999999999997</c:v>
                </c:pt>
                <c:pt idx="16">
                  <c:v>43.52</c:v>
                </c:pt>
                <c:pt idx="17">
                  <c:v>46.24</c:v>
                </c:pt>
                <c:pt idx="18">
                  <c:v>48.960000000000008</c:v>
                </c:pt>
                <c:pt idx="19">
                  <c:v>51.680000000000007</c:v>
                </c:pt>
                <c:pt idx="20">
                  <c:v>54.400000000000013</c:v>
                </c:pt>
                <c:pt idx="21">
                  <c:v>57.120000000000012</c:v>
                </c:pt>
                <c:pt idx="22">
                  <c:v>59.840000000000018</c:v>
                </c:pt>
                <c:pt idx="23">
                  <c:v>62.560000000000016</c:v>
                </c:pt>
                <c:pt idx="24">
                  <c:v>65.280000000000015</c:v>
                </c:pt>
                <c:pt idx="25">
                  <c:v>68.000000000000014</c:v>
                </c:pt>
                <c:pt idx="26">
                  <c:v>70.720000000000013</c:v>
                </c:pt>
                <c:pt idx="27">
                  <c:v>73.440000000000026</c:v>
                </c:pt>
                <c:pt idx="28">
                  <c:v>76.160000000000025</c:v>
                </c:pt>
                <c:pt idx="29">
                  <c:v>78.880000000000024</c:v>
                </c:pt>
                <c:pt idx="30">
                  <c:v>81.600000000000023</c:v>
                </c:pt>
                <c:pt idx="31">
                  <c:v>84.320000000000036</c:v>
                </c:pt>
                <c:pt idx="32">
                  <c:v>87.040000000000035</c:v>
                </c:pt>
                <c:pt idx="33">
                  <c:v>89.760000000000034</c:v>
                </c:pt>
                <c:pt idx="34">
                  <c:v>92.480000000000032</c:v>
                </c:pt>
                <c:pt idx="35">
                  <c:v>95.200000000000045</c:v>
                </c:pt>
                <c:pt idx="36">
                  <c:v>97.920000000000044</c:v>
                </c:pt>
                <c:pt idx="37">
                  <c:v>100.64000000000004</c:v>
                </c:pt>
                <c:pt idx="38">
                  <c:v>103.36000000000004</c:v>
                </c:pt>
                <c:pt idx="39">
                  <c:v>106.08000000000006</c:v>
                </c:pt>
                <c:pt idx="40">
                  <c:v>108.80000000000005</c:v>
                </c:pt>
                <c:pt idx="41">
                  <c:v>111.52000000000005</c:v>
                </c:pt>
                <c:pt idx="42">
                  <c:v>114.24000000000005</c:v>
                </c:pt>
                <c:pt idx="43">
                  <c:v>116.96000000000006</c:v>
                </c:pt>
                <c:pt idx="44">
                  <c:v>119.68000000000006</c:v>
                </c:pt>
                <c:pt idx="45">
                  <c:v>122.40000000000006</c:v>
                </c:pt>
                <c:pt idx="46">
                  <c:v>125.12000000000006</c:v>
                </c:pt>
                <c:pt idx="47">
                  <c:v>127.84000000000007</c:v>
                </c:pt>
                <c:pt idx="48">
                  <c:v>130.56000000000006</c:v>
                </c:pt>
                <c:pt idx="49">
                  <c:v>133.28000000000009</c:v>
                </c:pt>
                <c:pt idx="50">
                  <c:v>136.00000000000006</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1.2053103557786351E-304</c:v>
                </c:pt>
                <c:pt idx="1">
                  <c:v>1.8743896718181033E-51</c:v>
                </c:pt>
                <c:pt idx="2">
                  <c:v>5.0053444274942525E-35</c:v>
                </c:pt>
                <c:pt idx="3">
                  <c:v>6.513019060087036E-27</c:v>
                </c:pt>
                <c:pt idx="4">
                  <c:v>7.9197274023046543E-22</c:v>
                </c:pt>
                <c:pt idx="5">
                  <c:v>2.8696526650672519E-18</c:v>
                </c:pt>
                <c:pt idx="6">
                  <c:v>1.3057283810682442E-15</c:v>
                </c:pt>
                <c:pt idx="7">
                  <c:v>1.5405152345455013E-13</c:v>
                </c:pt>
                <c:pt idx="8">
                  <c:v>7.1170942774068144E-12</c:v>
                </c:pt>
                <c:pt idx="9">
                  <c:v>1.6610142384449591E-10</c:v>
                </c:pt>
                <c:pt idx="10">
                  <c:v>2.314812362672422E-9</c:v>
                </c:pt>
                <c:pt idx="11">
                  <c:v>2.1613234059789821E-8</c:v>
                </c:pt>
                <c:pt idx="12">
                  <c:v>1.4678814273649448E-7</c:v>
                </c:pt>
                <c:pt idx="13">
                  <c:v>7.7039819124880827E-7</c:v>
                </c:pt>
                <c:pt idx="14">
                  <c:v>3.2706577362376621E-6</c:v>
                </c:pt>
                <c:pt idx="15">
                  <c:v>1.1634544266661088E-5</c:v>
                </c:pt>
                <c:pt idx="16">
                  <c:v>3.5650783500393368E-5</c:v>
                </c:pt>
                <c:pt idx="17">
                  <c:v>9.6199468180055872E-5</c:v>
                </c:pt>
                <c:pt idx="18">
                  <c:v>2.3270404262207091E-4</c:v>
                </c:pt>
                <c:pt idx="19">
                  <c:v>5.1203457379770724E-4</c:v>
                </c:pt>
                <c:pt idx="20">
                  <c:v>1.0372881726120188E-3</c:v>
                </c:pt>
                <c:pt idx="21">
                  <c:v>1.9542514992929513E-3</c:v>
                </c:pt>
                <c:pt idx="22">
                  <c:v>3.4532509689146839E-3</c:v>
                </c:pt>
                <c:pt idx="23">
                  <c:v>5.7646255473760896E-3</c:v>
                </c:pt>
                <c:pt idx="24">
                  <c:v>9.1471092958217721E-3</c:v>
                </c:pt>
                <c:pt idx="25">
                  <c:v>1.3869717716714428E-2</c:v>
                </c:pt>
                <c:pt idx="26">
                  <c:v>2.0188965476758323E-2</c:v>
                </c:pt>
                <c:pt idx="27">
                  <c:v>2.8324121809575265E-2</c:v>
                </c:pt>
                <c:pt idx="28">
                  <c:v>3.8433570280630866E-2</c:v>
                </c:pt>
                <c:pt idx="29">
                  <c:v>5.0595157815675973E-2</c:v>
                </c:pt>
                <c:pt idx="30">
                  <c:v>6.4792788859760003E-2</c:v>
                </c:pt>
                <c:pt idx="31">
                  <c:v>8.0910611905228927E-2</c:v>
                </c:pt>
                <c:pt idx="32">
                  <c:v>9.8735146344910582E-2</c:v>
                </c:pt>
                <c:pt idx="33">
                  <c:v>0.11796477540218923</c:v>
                </c:pt>
                <c:pt idx="34">
                  <c:v>0.13822530597136112</c:v>
                </c:pt>
                <c:pt idx="35">
                  <c:v>0.15908983184747671</c:v>
                </c:pt>
                <c:pt idx="36">
                  <c:v>0.1801009434242771</c:v>
                </c:pt>
                <c:pt idx="37">
                  <c:v>0.20079337429380478</c:v>
                </c:pt>
                <c:pt idx="38">
                  <c:v>0.22071540801486389</c:v>
                </c:pt>
                <c:pt idx="39">
                  <c:v>0.23944772112730664</c:v>
                </c:pt>
                <c:pt idx="40">
                  <c:v>0.256618747414601</c:v>
                </c:pt>
                <c:pt idx="41">
                  <c:v>0.27191605918496992</c:v>
                </c:pt>
                <c:pt idx="42">
                  <c:v>0.28509363337493904</c:v>
                </c:pt>
                <c:pt idx="43">
                  <c:v>0.29597517766475501</c:v>
                </c:pt>
                <c:pt idx="44">
                  <c:v>0.30445392204220811</c:v>
                </c:pt>
                <c:pt idx="45">
                  <c:v>0.31048943277470564</c:v>
                </c:pt>
                <c:pt idx="46">
                  <c:v>0.31410208484809149</c:v>
                </c:pt>
                <c:pt idx="47">
                  <c:v>0.31536584682286267</c:v>
                </c:pt>
                <c:pt idx="48">
                  <c:v>0.31440000231824944</c:v>
                </c:pt>
                <c:pt idx="49">
                  <c:v>0.3113603688972536</c:v>
                </c:pt>
                <c:pt idx="50">
                  <c:v>0.30643049089385238</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pieChart>
        <c:varyColors val="1"/>
        <c:ser>
          <c:idx val="0"/>
          <c:order val="0"/>
          <c:tx>
            <c:strRef>
              <c:f>Segments!$B$91</c:f>
              <c:strCache>
                <c:ptCount val="1"/>
                <c:pt idx="0">
                  <c:v>2016 Revenues</c:v>
                </c:pt>
              </c:strCache>
            </c:strRef>
          </c:tx>
          <c:dPt>
            <c:idx val="0"/>
            <c:bubble3D val="0"/>
            <c:spPr>
              <a:solidFill>
                <a:srgbClr val="575A5D"/>
              </a:solidFill>
              <a:ln w="19050">
                <a:solidFill>
                  <a:schemeClr val="lt1"/>
                </a:solidFill>
              </a:ln>
              <a:effectLst/>
            </c:spPr>
            <c:extLst>
              <c:ext xmlns:c16="http://schemas.microsoft.com/office/drawing/2014/chart" uri="{C3380CC4-5D6E-409C-BE32-E72D297353CC}">
                <c16:uniqueId val="{00000001-5900-49DF-AAC9-908BAD0663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900-49DF-AAC9-908BAD06632D}"/>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5-5900-49DF-AAC9-908BAD0663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900-49DF-AAC9-908BAD0663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900-49DF-AAC9-908BAD06632D}"/>
              </c:ext>
            </c:extLst>
          </c:dPt>
          <c:dPt>
            <c:idx val="5"/>
            <c:bubble3D val="0"/>
            <c:spPr>
              <a:solidFill>
                <a:srgbClr val="0046AD"/>
              </a:solidFill>
              <a:ln w="19050">
                <a:solidFill>
                  <a:schemeClr val="lt1"/>
                </a:solidFill>
              </a:ln>
              <a:effectLst/>
            </c:spPr>
            <c:extLst>
              <c:ext xmlns:c16="http://schemas.microsoft.com/office/drawing/2014/chart" uri="{C3380CC4-5D6E-409C-BE32-E72D297353CC}">
                <c16:uniqueId val="{0000000B-5900-49DF-AAC9-908BAD0663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900-49DF-AAC9-908BAD0663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900-49DF-AAC9-908BAD06632D}"/>
              </c:ext>
            </c:extLst>
          </c:dPt>
          <c:dLbls>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5900-49DF-AAC9-908BAD06632D}"/>
                </c:ext>
              </c:extLst>
            </c:dLbl>
            <c:dLbl>
              <c:idx val="5"/>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B-5900-49DF-AAC9-908BAD06632D}"/>
                </c:ext>
              </c:extLst>
            </c:dLbl>
            <c:dLbl>
              <c:idx val="6"/>
              <c:layout>
                <c:manualLayout>
                  <c:x val="-8.3803040244969373E-2"/>
                  <c:y val="3.218804680664916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900-49DF-AAC9-908BAD06632D}"/>
                </c:ext>
              </c:extLst>
            </c:dLbl>
            <c:dLbl>
              <c:idx val="7"/>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F-5900-49DF-AAC9-908BAD06632D}"/>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Segments!$A$92:$A$99</c:f>
              <c:strCache>
                <c:ptCount val="8"/>
                <c:pt idx="0">
                  <c:v>Agricultural</c:v>
                </c:pt>
                <c:pt idx="1">
                  <c:v>Automotive</c:v>
                </c:pt>
                <c:pt idx="2">
                  <c:v>Chemicals</c:v>
                </c:pt>
                <c:pt idx="3">
                  <c:v>Coal</c:v>
                </c:pt>
                <c:pt idx="4">
                  <c:v>Industrial</c:v>
                </c:pt>
                <c:pt idx="5">
                  <c:v>Intermodal</c:v>
                </c:pt>
                <c:pt idx="6">
                  <c:v>Fuel Surcharge</c:v>
                </c:pt>
                <c:pt idx="7">
                  <c:v>Other Revenues</c:v>
                </c:pt>
              </c:strCache>
            </c:strRef>
          </c:cat>
          <c:val>
            <c:numRef>
              <c:f>Segments!$B$92:$B$99</c:f>
              <c:numCache>
                <c:formatCode>_(* #,##0_);_(* \(#,##0\);_(* "-"??_);_(@_)</c:formatCode>
                <c:ptCount val="8"/>
                <c:pt idx="0">
                  <c:v>3507.6356219285271</c:v>
                </c:pt>
                <c:pt idx="1">
                  <c:v>1976.8538575313707</c:v>
                </c:pt>
                <c:pt idx="2">
                  <c:v>3388.8000063616269</c:v>
                </c:pt>
                <c:pt idx="3">
                  <c:v>2291.0094311115354</c:v>
                </c:pt>
                <c:pt idx="4">
                  <c:v>3260.7452009478825</c:v>
                </c:pt>
                <c:pt idx="5">
                  <c:v>3611.9558821190576</c:v>
                </c:pt>
                <c:pt idx="6">
                  <c:v>560</c:v>
                </c:pt>
                <c:pt idx="7">
                  <c:v>1340</c:v>
                </c:pt>
              </c:numCache>
            </c:numRef>
          </c:val>
          <c:extLst>
            <c:ext xmlns:c16="http://schemas.microsoft.com/office/drawing/2014/chart" uri="{C3380CC4-5D6E-409C-BE32-E72D297353CC}">
              <c16:uniqueId val="{00000010-5900-49DF-AAC9-908BAD06632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v>Revenue Ton-Miles of Coal</c:v>
          </c:tx>
          <c:spPr>
            <a:ln w="22225" cap="rnd">
              <a:solidFill>
                <a:srgbClr val="0046AD"/>
              </a:solidFill>
              <a:round/>
            </a:ln>
            <a:effectLst/>
          </c:spPr>
          <c:marker>
            <c:symbol val="none"/>
          </c:marker>
          <c:cat>
            <c:numRef>
              <c:f>Segments!$B$1:$K$1</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Segments!$B$14:$K$14</c:f>
              <c:numCache>
                <c:formatCode>_(* #,##0_);_(* \(#,##0\);_(* "-"??_);_(@_)</c:formatCode>
                <c:ptCount val="10"/>
                <c:pt idx="0">
                  <c:v>251408</c:v>
                </c:pt>
                <c:pt idx="1">
                  <c:v>258362</c:v>
                </c:pt>
                <c:pt idx="2">
                  <c:v>218227</c:v>
                </c:pt>
                <c:pt idx="3">
                  <c:v>225583</c:v>
                </c:pt>
                <c:pt idx="4">
                  <c:v>238567</c:v>
                </c:pt>
                <c:pt idx="5">
                  <c:v>207466</c:v>
                </c:pt>
                <c:pt idx="6">
                  <c:v>186902</c:v>
                </c:pt>
                <c:pt idx="7">
                  <c:v>191359</c:v>
                </c:pt>
                <c:pt idx="8">
                  <c:v>151110</c:v>
                </c:pt>
                <c:pt idx="9">
                  <c:v>117101</c:v>
                </c:pt>
              </c:numCache>
            </c:numRef>
          </c:val>
          <c:smooth val="0"/>
          <c:extLst>
            <c:ext xmlns:c16="http://schemas.microsoft.com/office/drawing/2014/chart" uri="{C3380CC4-5D6E-409C-BE32-E72D297353CC}">
              <c16:uniqueId val="{00000000-CBD4-41E7-9B55-CB27D494DC60}"/>
            </c:ext>
          </c:extLst>
        </c:ser>
        <c:dLbls>
          <c:showLegendKey val="0"/>
          <c:showVal val="0"/>
          <c:showCatName val="0"/>
          <c:showSerName val="0"/>
          <c:showPercent val="0"/>
          <c:showBubbleSize val="0"/>
        </c:dLbls>
        <c:smooth val="0"/>
        <c:axId val="622316192"/>
        <c:axId val="622310944"/>
      </c:lineChart>
      <c:catAx>
        <c:axId val="62231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622310944"/>
        <c:crosses val="autoZero"/>
        <c:auto val="1"/>
        <c:lblAlgn val="ctr"/>
        <c:lblOffset val="100"/>
        <c:noMultiLvlLbl val="0"/>
      </c:catAx>
      <c:valAx>
        <c:axId val="6223109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622316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Agricultural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'Revenue Model'!$A$104</c:f>
              <c:strCache>
                <c:ptCount val="1"/>
                <c:pt idx="0">
                  <c:v>Agricultural Revenues</c:v>
                </c:pt>
              </c:strCache>
            </c:strRef>
          </c:tx>
          <c:spPr>
            <a:solidFill>
              <a:srgbClr val="0046AD"/>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Model'!$B$104:$P$104</c:f>
              <c:numCache>
                <c:formatCode>_(* #,##0_);_(* \(#,##0\);_(* "-"??_);_(@_)</c:formatCode>
                <c:ptCount val="15"/>
                <c:pt idx="0">
                  <c:v>2160.0884532210839</c:v>
                </c:pt>
                <c:pt idx="1">
                  <c:v>2546.8642680549065</c:v>
                </c:pt>
                <c:pt idx="2">
                  <c:v>2367.2280336736312</c:v>
                </c:pt>
                <c:pt idx="3">
                  <c:v>2596.4835088393543</c:v>
                </c:pt>
                <c:pt idx="4">
                  <c:v>2744.5247016423677</c:v>
                </c:pt>
                <c:pt idx="5">
                  <c:v>2716.3648896300406</c:v>
                </c:pt>
                <c:pt idx="6">
                  <c:v>2720.0398543961173</c:v>
                </c:pt>
                <c:pt idx="7">
                  <c:v>3169.986638259626</c:v>
                </c:pt>
                <c:pt idx="8">
                  <c:v>3211.4108177760368</c:v>
                </c:pt>
                <c:pt idx="9">
                  <c:v>3507.6356219285271</c:v>
                </c:pt>
              </c:numCache>
            </c:numRef>
          </c:val>
          <c:extLst>
            <c:ext xmlns:c16="http://schemas.microsoft.com/office/drawing/2014/chart" uri="{C3380CC4-5D6E-409C-BE32-E72D297353CC}">
              <c16:uniqueId val="{00000000-A294-4B44-8E20-7B7AAB4FC4B1}"/>
            </c:ext>
          </c:extLst>
        </c:ser>
        <c:ser>
          <c:idx val="1"/>
          <c:order val="1"/>
          <c:tx>
            <c:strRef>
              <c:f>'Revenue Model'!$A$105</c:f>
              <c:strCache>
                <c:ptCount val="1"/>
                <c:pt idx="0">
                  <c:v>Best Case</c:v>
                </c:pt>
              </c:strCache>
            </c:strRef>
          </c:tx>
          <c:spPr>
            <a:solidFill>
              <a:srgbClr val="FFC000">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Model'!$B$105:$P$105</c:f>
              <c:numCache>
                <c:formatCode>_(* #,##0_);_(* \(#,##0\);_(* "-"??_);_(@_)</c:formatCode>
                <c:ptCount val="15"/>
                <c:pt idx="10">
                  <c:v>3665.9816738095487</c:v>
                </c:pt>
                <c:pt idx="11">
                  <c:v>3831.4759801984096</c:v>
                </c:pt>
                <c:pt idx="12">
                  <c:v>4004.4412364948489</c:v>
                </c:pt>
                <c:pt idx="13">
                  <c:v>4185.2147056158774</c:v>
                </c:pt>
                <c:pt idx="14">
                  <c:v>4374.1488756207727</c:v>
                </c:pt>
              </c:numCache>
            </c:numRef>
          </c:val>
          <c:extLst>
            <c:ext xmlns:c16="http://schemas.microsoft.com/office/drawing/2014/chart" uri="{C3380CC4-5D6E-409C-BE32-E72D297353CC}">
              <c16:uniqueId val="{00000001-A294-4B44-8E20-7B7AAB4FC4B1}"/>
            </c:ext>
          </c:extLst>
        </c:ser>
        <c:ser>
          <c:idx val="2"/>
          <c:order val="2"/>
          <c:tx>
            <c:strRef>
              <c:f>'Revenue Model'!$A$106</c:f>
              <c:strCache>
                <c:ptCount val="1"/>
                <c:pt idx="0">
                  <c:v>Worst Case</c:v>
                </c:pt>
              </c:strCache>
            </c:strRef>
          </c:tx>
          <c:spPr>
            <a:solidFill>
              <a:srgbClr val="0046AD">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Model'!$B$106:$P$106</c:f>
              <c:numCache>
                <c:formatCode>_(* #,##0_);_(* \(#,##0\);_(* "-"??_);_(@_)</c:formatCode>
                <c:ptCount val="15"/>
                <c:pt idx="10">
                  <c:v>3585.803737035008</c:v>
                </c:pt>
                <c:pt idx="11">
                  <c:v>3665.7138387324285</c:v>
                </c:pt>
                <c:pt idx="12">
                  <c:v>3747.404747418067</c:v>
                </c:pt>
                <c:pt idx="13">
                  <c:v>3830.916148606796</c:v>
                </c:pt>
                <c:pt idx="14">
                  <c:v>3916.2886122103369</c:v>
                </c:pt>
              </c:numCache>
            </c:numRef>
          </c:val>
          <c:extLst>
            <c:ext xmlns:c16="http://schemas.microsoft.com/office/drawing/2014/chart" uri="{C3380CC4-5D6E-409C-BE32-E72D297353CC}">
              <c16:uniqueId val="{00000002-A294-4B44-8E20-7B7AAB4FC4B1}"/>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Model'!$A$107</c:f>
              <c:strCache>
                <c:ptCount val="1"/>
                <c:pt idx="0">
                  <c:v>Change</c:v>
                </c:pt>
              </c:strCache>
            </c:strRef>
          </c:tx>
          <c:spPr>
            <a:ln w="19050" cap="rnd">
              <a:solidFill>
                <a:schemeClr val="tx1"/>
              </a:solidFill>
              <a:round/>
            </a:ln>
            <a:effectLst/>
          </c:spPr>
          <c:marker>
            <c:symbol val="none"/>
          </c:marker>
          <c:val>
            <c:numRef>
              <c:f>'Revenue Model'!$B$107:$P$107</c:f>
              <c:numCache>
                <c:formatCode>0%</c:formatCode>
                <c:ptCount val="15"/>
                <c:pt idx="1">
                  <c:v>0.17905554481209762</c:v>
                </c:pt>
                <c:pt idx="2">
                  <c:v>-7.0532315614317054E-2</c:v>
                </c:pt>
                <c:pt idx="3">
                  <c:v>9.6845539130401503E-2</c:v>
                </c:pt>
                <c:pt idx="4">
                  <c:v>5.7016034301403673E-2</c:v>
                </c:pt>
                <c:pt idx="5">
                  <c:v>-1.0260360198425578E-2</c:v>
                </c:pt>
                <c:pt idx="6">
                  <c:v>1.3528980514017075E-3</c:v>
                </c:pt>
                <c:pt idx="7">
                  <c:v>0.16541918793443644</c:v>
                </c:pt>
                <c:pt idx="8">
                  <c:v>1.3067619597019187E-2</c:v>
                </c:pt>
                <c:pt idx="9">
                  <c:v>9.2241329733587785E-2</c:v>
                </c:pt>
              </c:numCache>
            </c:numRef>
          </c:val>
          <c:smooth val="0"/>
          <c:extLst>
            <c:ext xmlns:c16="http://schemas.microsoft.com/office/drawing/2014/chart" uri="{C3380CC4-5D6E-409C-BE32-E72D297353CC}">
              <c16:uniqueId val="{00000003-A294-4B44-8E20-7B7AAB4FC4B1}"/>
            </c:ext>
          </c:extLst>
        </c:ser>
        <c:ser>
          <c:idx val="4"/>
          <c:order val="4"/>
          <c:tx>
            <c:strRef>
              <c:f>'Revenue Model'!$A$108</c:f>
              <c:strCache>
                <c:ptCount val="1"/>
                <c:pt idx="0">
                  <c:v>Best Case Change</c:v>
                </c:pt>
              </c:strCache>
            </c:strRef>
          </c:tx>
          <c:spPr>
            <a:ln w="19050" cap="rnd">
              <a:solidFill>
                <a:schemeClr val="tx1"/>
              </a:solidFill>
              <a:prstDash val="sysDot"/>
              <a:round/>
            </a:ln>
            <a:effectLst/>
          </c:spPr>
          <c:marker>
            <c:symbol val="none"/>
          </c:marker>
          <c:val>
            <c:numRef>
              <c:f>'Revenue Model'!$B$108:$P$108</c:f>
              <c:numCache>
                <c:formatCode>_(* #,##0_);_(* \(#,##0\);_(* "-"??_);_(@_)</c:formatCode>
                <c:ptCount val="15"/>
                <c:pt idx="9" formatCode="0%">
                  <c:v>9.2241329733587785E-2</c:v>
                </c:pt>
                <c:pt idx="10" formatCode="0%">
                  <c:v>4.5143244324209908E-2</c:v>
                </c:pt>
                <c:pt idx="11" formatCode="0%">
                  <c:v>4.514324432421013E-2</c:v>
                </c:pt>
                <c:pt idx="12" formatCode="0%">
                  <c:v>4.514324432421013E-2</c:v>
                </c:pt>
                <c:pt idx="13" formatCode="0%">
                  <c:v>4.5143244324209908E-2</c:v>
                </c:pt>
                <c:pt idx="14" formatCode="0%">
                  <c:v>4.5143244324210352E-2</c:v>
                </c:pt>
              </c:numCache>
            </c:numRef>
          </c:val>
          <c:smooth val="0"/>
          <c:extLst>
            <c:ext xmlns:c16="http://schemas.microsoft.com/office/drawing/2014/chart" uri="{C3380CC4-5D6E-409C-BE32-E72D297353CC}">
              <c16:uniqueId val="{00000004-A294-4B44-8E20-7B7AAB4FC4B1}"/>
            </c:ext>
          </c:extLst>
        </c:ser>
        <c:ser>
          <c:idx val="5"/>
          <c:order val="5"/>
          <c:tx>
            <c:strRef>
              <c:f>'Revenue Model'!$A$109</c:f>
              <c:strCache>
                <c:ptCount val="1"/>
                <c:pt idx="0">
                  <c:v>Worst Case Change</c:v>
                </c:pt>
              </c:strCache>
            </c:strRef>
          </c:tx>
          <c:spPr>
            <a:ln w="19050" cap="rnd">
              <a:solidFill>
                <a:schemeClr val="tx1"/>
              </a:solidFill>
              <a:prstDash val="dash"/>
              <a:round/>
            </a:ln>
            <a:effectLst/>
          </c:spPr>
          <c:marker>
            <c:symbol val="none"/>
          </c:marker>
          <c:val>
            <c:numRef>
              <c:f>'Revenue Model'!$B$109:$P$109</c:f>
              <c:numCache>
                <c:formatCode>_(* #,##0_);_(* \(#,##0\);_(* "-"??_);_(@_)</c:formatCode>
                <c:ptCount val="15"/>
                <c:pt idx="9" formatCode="0%">
                  <c:v>9.2241329733587785E-2</c:v>
                </c:pt>
                <c:pt idx="10" formatCode="0%">
                  <c:v>2.2285129794497704E-2</c:v>
                </c:pt>
                <c:pt idx="11" formatCode="0%">
                  <c:v>2.2285129794497927E-2</c:v>
                </c:pt>
                <c:pt idx="12" formatCode="0%">
                  <c:v>2.2285129794497704E-2</c:v>
                </c:pt>
                <c:pt idx="13" formatCode="0%">
                  <c:v>2.2285129794497927E-2</c:v>
                </c:pt>
                <c:pt idx="14" formatCode="0%">
                  <c:v>2.2285129794497927E-2</c:v>
                </c:pt>
              </c:numCache>
            </c:numRef>
          </c:val>
          <c:smooth val="0"/>
          <c:extLst>
            <c:ext xmlns:c16="http://schemas.microsoft.com/office/drawing/2014/chart" uri="{C3380CC4-5D6E-409C-BE32-E72D297353CC}">
              <c16:uniqueId val="{00000005-A294-4B44-8E20-7B7AAB4FC4B1}"/>
            </c:ext>
          </c:extLst>
        </c:ser>
        <c:dLbls>
          <c:showLegendKey val="0"/>
          <c:showVal val="0"/>
          <c:showCatName val="0"/>
          <c:showSerName val="0"/>
          <c:showPercent val="0"/>
          <c:showBubbleSize val="0"/>
        </c:dLbls>
        <c:marker val="1"/>
        <c:smooth val="0"/>
        <c:axId val="311366400"/>
        <c:axId val="311363072"/>
      </c:lineChart>
      <c:dateAx>
        <c:axId val="311344128"/>
        <c:scaling>
          <c:orientation val="minMax"/>
        </c:scaling>
        <c:delete val="0"/>
        <c:axPos val="b"/>
        <c:numFmt formatCode="yyyy"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Offset val="100"/>
        <c:baseTimeUnit val="years"/>
        <c:majorUnit val="2"/>
        <c:majorTimeUnit val="years"/>
      </c:date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catAx>
        <c:axId val="311366400"/>
        <c:scaling>
          <c:orientation val="minMax"/>
        </c:scaling>
        <c:delete val="1"/>
        <c:axPos val="b"/>
        <c:numFmt formatCode="yyyy\ &quot;A&quot;" sourceLinked="1"/>
        <c:majorTickMark val="out"/>
        <c:minorTickMark val="none"/>
        <c:tickLblPos val="nextTo"/>
        <c:crossAx val="31136307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Automotive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'Revenue Model'!$A$111</c:f>
              <c:strCache>
                <c:ptCount val="1"/>
                <c:pt idx="0">
                  <c:v>Automotive Revenues</c:v>
                </c:pt>
              </c:strCache>
            </c:strRef>
          </c:tx>
          <c:spPr>
            <a:solidFill>
              <a:srgbClr val="0046AD"/>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Model'!$B$111:$P$111</c:f>
              <c:numCache>
                <c:formatCode>_(* #,##0_);_(* \(#,##0\);_(* "-"??_);_(@_)</c:formatCode>
                <c:ptCount val="15"/>
                <c:pt idx="0">
                  <c:v>1361.4179747083269</c:v>
                </c:pt>
                <c:pt idx="1">
                  <c:v>1245.0180633488023</c:v>
                </c:pt>
                <c:pt idx="2">
                  <c:v>818.16517108107882</c:v>
                </c:pt>
                <c:pt idx="3">
                  <c:v>1211.0856802459646</c:v>
                </c:pt>
                <c:pt idx="4">
                  <c:v>1424.4607262714526</c:v>
                </c:pt>
                <c:pt idx="5">
                  <c:v>1703.5465399886014</c:v>
                </c:pt>
                <c:pt idx="6">
                  <c:v>1965.8890587082321</c:v>
                </c:pt>
                <c:pt idx="7">
                  <c:v>1994.8459852009264</c:v>
                </c:pt>
                <c:pt idx="8">
                  <c:v>2078.4951209706514</c:v>
                </c:pt>
                <c:pt idx="9">
                  <c:v>1976.8538575313707</c:v>
                </c:pt>
              </c:numCache>
            </c:numRef>
          </c:val>
          <c:extLst>
            <c:ext xmlns:c16="http://schemas.microsoft.com/office/drawing/2014/chart" uri="{C3380CC4-5D6E-409C-BE32-E72D297353CC}">
              <c16:uniqueId val="{00000000-44ED-417B-8A2A-C104D4EDD241}"/>
            </c:ext>
          </c:extLst>
        </c:ser>
        <c:ser>
          <c:idx val="1"/>
          <c:order val="1"/>
          <c:tx>
            <c:strRef>
              <c:f>'Revenue Model'!$A$112</c:f>
              <c:strCache>
                <c:ptCount val="1"/>
                <c:pt idx="0">
                  <c:v>Best Case</c:v>
                </c:pt>
              </c:strCache>
            </c:strRef>
          </c:tx>
          <c:spPr>
            <a:solidFill>
              <a:srgbClr val="FFC000">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Model'!$B$112:$P$112</c:f>
              <c:numCache>
                <c:formatCode>_(* #,##0_);_(* \(#,##0\);_(* "-"??_);_(@_)</c:formatCode>
                <c:ptCount val="15"/>
                <c:pt idx="10">
                  <c:v>2288.196218135769</c:v>
                </c:pt>
                <c:pt idx="11">
                  <c:v>2648.5730914014962</c:v>
                </c:pt>
                <c:pt idx="12">
                  <c:v>3065.7071123958353</c:v>
                </c:pt>
                <c:pt idx="13">
                  <c:v>3548.5371838544011</c:v>
                </c:pt>
                <c:pt idx="14">
                  <c:v>4107.4100308808183</c:v>
                </c:pt>
              </c:numCache>
            </c:numRef>
          </c:val>
          <c:extLst>
            <c:ext xmlns:c16="http://schemas.microsoft.com/office/drawing/2014/chart" uri="{C3380CC4-5D6E-409C-BE32-E72D297353CC}">
              <c16:uniqueId val="{00000001-44ED-417B-8A2A-C104D4EDD241}"/>
            </c:ext>
          </c:extLst>
        </c:ser>
        <c:ser>
          <c:idx val="2"/>
          <c:order val="2"/>
          <c:tx>
            <c:strRef>
              <c:f>'Revenue Model'!$A$113</c:f>
              <c:strCache>
                <c:ptCount val="1"/>
                <c:pt idx="0">
                  <c:v>Worst Case</c:v>
                </c:pt>
              </c:strCache>
            </c:strRef>
          </c:tx>
          <c:spPr>
            <a:solidFill>
              <a:srgbClr val="0046AD">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Model'!$B$113:$P$113</c:f>
              <c:numCache>
                <c:formatCode>_(* #,##0_);_(* \(#,##0\);_(* "-"??_);_(@_)</c:formatCode>
                <c:ptCount val="15"/>
                <c:pt idx="10">
                  <c:v>2004.6793296267178</c:v>
                </c:pt>
                <c:pt idx="11">
                  <c:v>2032.8964628933647</c:v>
                </c:pt>
                <c:pt idx="12">
                  <c:v>2061.5107702107543</c:v>
                </c:pt>
                <c:pt idx="13">
                  <c:v>2090.5278420556047</c:v>
                </c:pt>
                <c:pt idx="14">
                  <c:v>2119.9533475941398</c:v>
                </c:pt>
              </c:numCache>
            </c:numRef>
          </c:val>
          <c:extLst>
            <c:ext xmlns:c16="http://schemas.microsoft.com/office/drawing/2014/chart" uri="{C3380CC4-5D6E-409C-BE32-E72D297353CC}">
              <c16:uniqueId val="{00000002-44ED-417B-8A2A-C104D4EDD241}"/>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Model'!$A$114</c:f>
              <c:strCache>
                <c:ptCount val="1"/>
                <c:pt idx="0">
                  <c:v>Change</c:v>
                </c:pt>
              </c:strCache>
            </c:strRef>
          </c:tx>
          <c:spPr>
            <a:ln w="19050" cap="rnd">
              <a:solidFill>
                <a:schemeClr val="tx1"/>
              </a:solidFill>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Model'!$B$114:$P$114</c:f>
              <c:numCache>
                <c:formatCode>0%</c:formatCode>
                <c:ptCount val="15"/>
                <c:pt idx="1">
                  <c:v>-8.549902639890028E-2</c:v>
                </c:pt>
                <c:pt idx="2">
                  <c:v>-0.34284875443460705</c:v>
                </c:pt>
                <c:pt idx="3">
                  <c:v>0.48024594917148833</c:v>
                </c:pt>
                <c:pt idx="4">
                  <c:v>0.17618493018772452</c:v>
                </c:pt>
                <c:pt idx="5">
                  <c:v>0.19592383880435937</c:v>
                </c:pt>
                <c:pt idx="6">
                  <c:v>0.15399785832759583</c:v>
                </c:pt>
                <c:pt idx="7">
                  <c:v>1.4729684955732791E-2</c:v>
                </c:pt>
                <c:pt idx="8">
                  <c:v>4.1932628578992714E-2</c:v>
                </c:pt>
                <c:pt idx="9">
                  <c:v>-4.8901372158051792E-2</c:v>
                </c:pt>
              </c:numCache>
            </c:numRef>
          </c:val>
          <c:smooth val="0"/>
          <c:extLst>
            <c:ext xmlns:c16="http://schemas.microsoft.com/office/drawing/2014/chart" uri="{C3380CC4-5D6E-409C-BE32-E72D297353CC}">
              <c16:uniqueId val="{00000003-44ED-417B-8A2A-C104D4EDD241}"/>
            </c:ext>
          </c:extLst>
        </c:ser>
        <c:ser>
          <c:idx val="4"/>
          <c:order val="4"/>
          <c:tx>
            <c:strRef>
              <c:f>'Revenue Model'!$A$115</c:f>
              <c:strCache>
                <c:ptCount val="1"/>
                <c:pt idx="0">
                  <c:v>Best Case Change</c:v>
                </c:pt>
              </c:strCache>
            </c:strRef>
          </c:tx>
          <c:spPr>
            <a:ln w="19050" cap="rnd">
              <a:solidFill>
                <a:schemeClr val="tx1"/>
              </a:solidFill>
              <a:prstDash val="sysDot"/>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Model'!$B$115:$P$115</c:f>
              <c:numCache>
                <c:formatCode>_(* #,##0_);_(* \(#,##0\);_(* "-"??_);_(@_)</c:formatCode>
                <c:ptCount val="15"/>
                <c:pt idx="9" formatCode="0%">
                  <c:v>-4.8901372158051792E-2</c:v>
                </c:pt>
                <c:pt idx="10" formatCode="0%">
                  <c:v>0.15749386805618104</c:v>
                </c:pt>
                <c:pt idx="11" formatCode="0%">
                  <c:v>0.15749386805618104</c:v>
                </c:pt>
                <c:pt idx="12" formatCode="0%">
                  <c:v>0.15749386805618126</c:v>
                </c:pt>
                <c:pt idx="13" formatCode="0%">
                  <c:v>0.15749386805618104</c:v>
                </c:pt>
                <c:pt idx="14" formatCode="0%">
                  <c:v>0.15749386805618104</c:v>
                </c:pt>
              </c:numCache>
            </c:numRef>
          </c:val>
          <c:smooth val="0"/>
          <c:extLst>
            <c:ext xmlns:c16="http://schemas.microsoft.com/office/drawing/2014/chart" uri="{C3380CC4-5D6E-409C-BE32-E72D297353CC}">
              <c16:uniqueId val="{00000004-44ED-417B-8A2A-C104D4EDD241}"/>
            </c:ext>
          </c:extLst>
        </c:ser>
        <c:ser>
          <c:idx val="5"/>
          <c:order val="5"/>
          <c:tx>
            <c:strRef>
              <c:f>'Revenue Model'!$A$116</c:f>
              <c:strCache>
                <c:ptCount val="1"/>
                <c:pt idx="0">
                  <c:v>Worst Case Change</c:v>
                </c:pt>
              </c:strCache>
            </c:strRef>
          </c:tx>
          <c:spPr>
            <a:ln w="19050" cap="rnd">
              <a:solidFill>
                <a:schemeClr val="tx1"/>
              </a:solidFill>
              <a:prstDash val="dash"/>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Model'!$B$116:$P$116</c:f>
              <c:numCache>
                <c:formatCode>_(* #,##0_);_(* \(#,##0\);_(* "-"??_);_(@_)</c:formatCode>
                <c:ptCount val="15"/>
                <c:pt idx="9" formatCode="0%">
                  <c:v>-4.8901372158051792E-2</c:v>
                </c:pt>
                <c:pt idx="10" formatCode="0%">
                  <c:v>1.4075634366869538E-2</c:v>
                </c:pt>
                <c:pt idx="11" formatCode="0%">
                  <c:v>1.4075634366869538E-2</c:v>
                </c:pt>
                <c:pt idx="12" formatCode="0%">
                  <c:v>1.407563436686976E-2</c:v>
                </c:pt>
                <c:pt idx="13" formatCode="0%">
                  <c:v>1.4075634366869538E-2</c:v>
                </c:pt>
                <c:pt idx="14" formatCode="0%">
                  <c:v>1.4075634366869316E-2</c:v>
                </c:pt>
              </c:numCache>
            </c:numRef>
          </c:val>
          <c:smooth val="0"/>
          <c:extLst>
            <c:ext xmlns:c16="http://schemas.microsoft.com/office/drawing/2014/chart" uri="{C3380CC4-5D6E-409C-BE32-E72D297353CC}">
              <c16:uniqueId val="{00000005-44ED-417B-8A2A-C104D4EDD241}"/>
            </c:ext>
          </c:extLst>
        </c:ser>
        <c:dLbls>
          <c:showLegendKey val="0"/>
          <c:showVal val="0"/>
          <c:showCatName val="0"/>
          <c:showSerName val="0"/>
          <c:showPercent val="0"/>
          <c:showBubbleSize val="0"/>
        </c:dLbls>
        <c:marker val="1"/>
        <c:smooth val="0"/>
        <c:axId val="311366400"/>
        <c:axId val="311363072"/>
      </c:lineChart>
      <c:dateAx>
        <c:axId val="311344128"/>
        <c:scaling>
          <c:orientation val="minMax"/>
        </c:scaling>
        <c:delete val="0"/>
        <c:axPos val="b"/>
        <c:numFmt formatCode="yyyy"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Offset val="100"/>
        <c:baseTimeUnit val="years"/>
        <c:majorUnit val="2"/>
        <c:majorTimeUnit val="years"/>
      </c:date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dateAx>
        <c:axId val="311366400"/>
        <c:scaling>
          <c:orientation val="minMax"/>
        </c:scaling>
        <c:delete val="1"/>
        <c:axPos val="b"/>
        <c:numFmt formatCode="yyyy" sourceLinked="1"/>
        <c:majorTickMark val="out"/>
        <c:minorTickMark val="none"/>
        <c:tickLblPos val="nextTo"/>
        <c:crossAx val="311363072"/>
        <c:crosses val="autoZero"/>
        <c:auto val="1"/>
        <c:lblOffset val="100"/>
        <c:baseTimeUnit val="years"/>
      </c:dateAx>
      <c:spPr>
        <a:noFill/>
        <a:ln>
          <a:noFill/>
        </a:ln>
        <a:effectLst/>
      </c:spPr>
    </c:plotArea>
    <c:legend>
      <c:legendPos val="t"/>
      <c:layout>
        <c:manualLayout>
          <c:xMode val="edge"/>
          <c:yMode val="edge"/>
          <c:x val="0.12013801399825022"/>
          <c:y val="0.13319444444444445"/>
          <c:w val="0.77639063867016611"/>
          <c:h val="0.21672717993584134"/>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Chemicals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'Revenue Model'!$A$118</c:f>
              <c:strCache>
                <c:ptCount val="1"/>
                <c:pt idx="0">
                  <c:v>Chemicals Revenues</c:v>
                </c:pt>
              </c:strCache>
            </c:strRef>
          </c:tx>
          <c:spPr>
            <a:solidFill>
              <a:srgbClr val="0046AD"/>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Model'!$B$118:$P$118</c:f>
              <c:numCache>
                <c:formatCode>_(* #,##0_);_(* \(#,##0\);_(* "-"??_);_(@_)</c:formatCode>
                <c:ptCount val="15"/>
                <c:pt idx="0">
                  <c:v>1974.7409534658136</c:v>
                </c:pt>
                <c:pt idx="1">
                  <c:v>2106.0080816734235</c:v>
                </c:pt>
                <c:pt idx="2">
                  <c:v>1925.1989010576224</c:v>
                </c:pt>
                <c:pt idx="3">
                  <c:v>2165.9238316679475</c:v>
                </c:pt>
                <c:pt idx="4">
                  <c:v>2423.3374779802239</c:v>
                </c:pt>
                <c:pt idx="5">
                  <c:v>2766.5327694099719</c:v>
                </c:pt>
                <c:pt idx="6">
                  <c:v>2992.7373646630576</c:v>
                </c:pt>
                <c:pt idx="7">
                  <c:v>3177.741558396664</c:v>
                </c:pt>
                <c:pt idx="8">
                  <c:v>3245.4004638840497</c:v>
                </c:pt>
                <c:pt idx="9">
                  <c:v>3388.8000063616269</c:v>
                </c:pt>
              </c:numCache>
            </c:numRef>
          </c:val>
          <c:extLst>
            <c:ext xmlns:c16="http://schemas.microsoft.com/office/drawing/2014/chart" uri="{C3380CC4-5D6E-409C-BE32-E72D297353CC}">
              <c16:uniqueId val="{00000000-0641-41C7-9D53-56D82B0FFFF5}"/>
            </c:ext>
          </c:extLst>
        </c:ser>
        <c:ser>
          <c:idx val="1"/>
          <c:order val="1"/>
          <c:tx>
            <c:strRef>
              <c:f>'Revenue Model'!$A$119</c:f>
              <c:strCache>
                <c:ptCount val="1"/>
                <c:pt idx="0">
                  <c:v>Best Case</c:v>
                </c:pt>
              </c:strCache>
            </c:strRef>
          </c:tx>
          <c:spPr>
            <a:solidFill>
              <a:srgbClr val="FFC000">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Model'!$B$119:$P$119</c:f>
              <c:numCache>
                <c:formatCode>General</c:formatCode>
                <c:ptCount val="15"/>
                <c:pt idx="9" formatCode="0%">
                  <c:v>-4.8901372158051792E-2</c:v>
                </c:pt>
                <c:pt idx="10" formatCode="_(* #,##0_);_(* \(#,##0\);_(* &quot;-&quot;??_);_(@_)">
                  <c:v>3738.9333179863083</c:v>
                </c:pt>
                <c:pt idx="11" formatCode="_(* #,##0_);_(* \(#,##0\);_(* &quot;-&quot;??_);_(@_)">
                  <c:v>4125.2426611499213</c:v>
                </c:pt>
                <c:pt idx="12" formatCode="_(* #,##0_);_(* \(#,##0\);_(* &quot;-&quot;??_);_(@_)">
                  <c:v>4551.4657700652788</c:v>
                </c:pt>
                <c:pt idx="13" formatCode="_(* #,##0_);_(* \(#,##0\);_(* &quot;-&quot;??_);_(@_)">
                  <c:v>5021.7265643959308</c:v>
                </c:pt>
                <c:pt idx="14" formatCode="_(* #,##0_);_(* \(#,##0\);_(* &quot;-&quot;??_);_(@_)">
                  <c:v>5540.5750502212559</c:v>
                </c:pt>
              </c:numCache>
            </c:numRef>
          </c:val>
          <c:extLst>
            <c:ext xmlns:c16="http://schemas.microsoft.com/office/drawing/2014/chart" uri="{C3380CC4-5D6E-409C-BE32-E72D297353CC}">
              <c16:uniqueId val="{00000001-0641-41C7-9D53-56D82B0FFFF5}"/>
            </c:ext>
          </c:extLst>
        </c:ser>
        <c:ser>
          <c:idx val="2"/>
          <c:order val="2"/>
          <c:tx>
            <c:strRef>
              <c:f>'Revenue Model'!$A$120</c:f>
              <c:strCache>
                <c:ptCount val="1"/>
                <c:pt idx="0">
                  <c:v>Worst Case</c:v>
                </c:pt>
              </c:strCache>
            </c:strRef>
          </c:tx>
          <c:spPr>
            <a:solidFill>
              <a:srgbClr val="0046AD">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Model'!$B$120:$P$120</c:f>
              <c:numCache>
                <c:formatCode>General</c:formatCode>
                <c:ptCount val="15"/>
                <c:pt idx="10" formatCode="_(* #,##0_);_(* \(#,##0\);_(* &quot;-&quot;??_);_(@_)">
                  <c:v>3565.0610280515502</c:v>
                </c:pt>
                <c:pt idx="11" formatCode="_(* #,##0_);_(* \(#,##0\);_(* &quot;-&quot;??_);_(@_)">
                  <c:v>3750.4898813363911</c:v>
                </c:pt>
                <c:pt idx="12" formatCode="_(* #,##0_);_(* \(#,##0\);_(* &quot;-&quot;??_);_(@_)">
                  <c:v>3945.5634109283087</c:v>
                </c:pt>
                <c:pt idx="13" formatCode="_(* #,##0_);_(* \(#,##0\);_(* &quot;-&quot;??_);_(@_)">
                  <c:v>4150.7832635743989</c:v>
                </c:pt>
                <c:pt idx="14" formatCode="_(* #,##0_);_(* \(#,##0\);_(* &quot;-&quot;??_);_(@_)">
                  <c:v>4366.6771780803083</c:v>
                </c:pt>
              </c:numCache>
            </c:numRef>
          </c:val>
          <c:extLst>
            <c:ext xmlns:c16="http://schemas.microsoft.com/office/drawing/2014/chart" uri="{C3380CC4-5D6E-409C-BE32-E72D297353CC}">
              <c16:uniqueId val="{00000002-0641-41C7-9D53-56D82B0FFFF5}"/>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Model'!$A$121</c:f>
              <c:strCache>
                <c:ptCount val="1"/>
                <c:pt idx="0">
                  <c:v>Change</c:v>
                </c:pt>
              </c:strCache>
            </c:strRef>
          </c:tx>
          <c:spPr>
            <a:ln w="19050" cap="rnd">
              <a:solidFill>
                <a:schemeClr val="tx1"/>
              </a:solidFill>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Model'!$B$121:$P$121</c:f>
              <c:numCache>
                <c:formatCode>0%</c:formatCode>
                <c:ptCount val="15"/>
                <c:pt idx="1">
                  <c:v>6.6473087509137052E-2</c:v>
                </c:pt>
                <c:pt idx="2">
                  <c:v>-8.5853982322865119E-2</c:v>
                </c:pt>
                <c:pt idx="3">
                  <c:v>0.12503899232338078</c:v>
                </c:pt>
                <c:pt idx="4">
                  <c:v>0.11884704464147555</c:v>
                </c:pt>
                <c:pt idx="5">
                  <c:v>0.14162092343646271</c:v>
                </c:pt>
                <c:pt idx="6">
                  <c:v>8.1764654210594756E-2</c:v>
                </c:pt>
                <c:pt idx="7">
                  <c:v>6.1817717758348989E-2</c:v>
                </c:pt>
                <c:pt idx="8">
                  <c:v>2.129150663892343E-2</c:v>
                </c:pt>
                <c:pt idx="9">
                  <c:v>4.4185469273631206E-2</c:v>
                </c:pt>
              </c:numCache>
            </c:numRef>
          </c:val>
          <c:smooth val="0"/>
          <c:extLst>
            <c:ext xmlns:c16="http://schemas.microsoft.com/office/drawing/2014/chart" uri="{C3380CC4-5D6E-409C-BE32-E72D297353CC}">
              <c16:uniqueId val="{00000003-0641-41C7-9D53-56D82B0FFFF5}"/>
            </c:ext>
          </c:extLst>
        </c:ser>
        <c:ser>
          <c:idx val="4"/>
          <c:order val="4"/>
          <c:tx>
            <c:strRef>
              <c:f>'Revenue Model'!$A$122</c:f>
              <c:strCache>
                <c:ptCount val="1"/>
                <c:pt idx="0">
                  <c:v>Best Case Change</c:v>
                </c:pt>
              </c:strCache>
            </c:strRef>
          </c:tx>
          <c:spPr>
            <a:ln w="19050" cap="rnd">
              <a:solidFill>
                <a:schemeClr val="tx1"/>
              </a:solidFill>
              <a:prstDash val="sysDot"/>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Model'!$B$122:$P$122</c:f>
              <c:numCache>
                <c:formatCode>_(* #,##0_);_(* \(#,##0\);_(* "-"??_);_(@_)</c:formatCode>
                <c:ptCount val="15"/>
                <c:pt idx="9" formatCode="0%">
                  <c:v>4.4185469273631206E-2</c:v>
                </c:pt>
                <c:pt idx="10" formatCode="0%">
                  <c:v>0.10332073623919791</c:v>
                </c:pt>
                <c:pt idx="11" formatCode="0%">
                  <c:v>0.10332073623919813</c:v>
                </c:pt>
                <c:pt idx="12" formatCode="0%">
                  <c:v>0.10332073623919791</c:v>
                </c:pt>
                <c:pt idx="13" formatCode="0%">
                  <c:v>0.10332073623919791</c:v>
                </c:pt>
                <c:pt idx="14" formatCode="0%">
                  <c:v>0.10332073623919791</c:v>
                </c:pt>
              </c:numCache>
            </c:numRef>
          </c:val>
          <c:smooth val="0"/>
          <c:extLst>
            <c:ext xmlns:c16="http://schemas.microsoft.com/office/drawing/2014/chart" uri="{C3380CC4-5D6E-409C-BE32-E72D297353CC}">
              <c16:uniqueId val="{00000004-0641-41C7-9D53-56D82B0FFFF5}"/>
            </c:ext>
          </c:extLst>
        </c:ser>
        <c:ser>
          <c:idx val="5"/>
          <c:order val="5"/>
          <c:tx>
            <c:strRef>
              <c:f>'Revenue Model'!$A$123</c:f>
              <c:strCache>
                <c:ptCount val="1"/>
                <c:pt idx="0">
                  <c:v>Worst Case Change</c:v>
                </c:pt>
              </c:strCache>
            </c:strRef>
          </c:tx>
          <c:spPr>
            <a:ln w="19050" cap="rnd">
              <a:solidFill>
                <a:schemeClr val="tx1"/>
              </a:solidFill>
              <a:prstDash val="dash"/>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Model'!$B$123:$P$123</c:f>
              <c:numCache>
                <c:formatCode>_(* #,##0_);_(* \(#,##0\);_(* "-"??_);_(@_)</c:formatCode>
                <c:ptCount val="15"/>
                <c:pt idx="9" formatCode="0%">
                  <c:v>4.4185469273631206E-2</c:v>
                </c:pt>
                <c:pt idx="10" formatCode="0%">
                  <c:v>5.2012813196127716E-2</c:v>
                </c:pt>
                <c:pt idx="11" formatCode="0%">
                  <c:v>5.2012813196127938E-2</c:v>
                </c:pt>
                <c:pt idx="12" formatCode="0%">
                  <c:v>5.2012813196127938E-2</c:v>
                </c:pt>
                <c:pt idx="13" formatCode="0%">
                  <c:v>5.2012813196127716E-2</c:v>
                </c:pt>
                <c:pt idx="14" formatCode="0%">
                  <c:v>5.2012813196127938E-2</c:v>
                </c:pt>
              </c:numCache>
            </c:numRef>
          </c:val>
          <c:smooth val="0"/>
          <c:extLst>
            <c:ext xmlns:c16="http://schemas.microsoft.com/office/drawing/2014/chart" uri="{C3380CC4-5D6E-409C-BE32-E72D297353CC}">
              <c16:uniqueId val="{00000005-0641-41C7-9D53-56D82B0FFFF5}"/>
            </c:ext>
          </c:extLst>
        </c:ser>
        <c:dLbls>
          <c:showLegendKey val="0"/>
          <c:showVal val="0"/>
          <c:showCatName val="0"/>
          <c:showSerName val="0"/>
          <c:showPercent val="0"/>
          <c:showBubbleSize val="0"/>
        </c:dLbls>
        <c:marker val="1"/>
        <c:smooth val="0"/>
        <c:axId val="311366400"/>
        <c:axId val="311363072"/>
      </c:lineChart>
      <c:dateAx>
        <c:axId val="311344128"/>
        <c:scaling>
          <c:orientation val="minMax"/>
        </c:scaling>
        <c:delete val="0"/>
        <c:axPos val="b"/>
        <c:numFmt formatCode="yyyy"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Offset val="100"/>
        <c:baseTimeUnit val="years"/>
        <c:majorUnit val="2"/>
        <c:majorTimeUnit val="years"/>
      </c:date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dateAx>
        <c:axId val="311366400"/>
        <c:scaling>
          <c:orientation val="minMax"/>
        </c:scaling>
        <c:delete val="1"/>
        <c:axPos val="b"/>
        <c:numFmt formatCode="yyyy" sourceLinked="1"/>
        <c:majorTickMark val="out"/>
        <c:minorTickMark val="none"/>
        <c:tickLblPos val="nextTo"/>
        <c:crossAx val="311363072"/>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Coal Revenue History &amp; Scenarios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71303587051618"/>
          <c:y val="0.36381051326917468"/>
          <c:w val="0.7839212598425197"/>
          <c:h val="0.52117454068241464"/>
        </c:manualLayout>
      </c:layout>
      <c:barChart>
        <c:barDir val="col"/>
        <c:grouping val="clustered"/>
        <c:varyColors val="0"/>
        <c:ser>
          <c:idx val="0"/>
          <c:order val="0"/>
          <c:tx>
            <c:strRef>
              <c:f>'Revenue Model'!$A$125</c:f>
              <c:strCache>
                <c:ptCount val="1"/>
                <c:pt idx="0">
                  <c:v>Coal Revenues</c:v>
                </c:pt>
              </c:strCache>
            </c:strRef>
          </c:tx>
          <c:spPr>
            <a:solidFill>
              <a:srgbClr val="0046AD"/>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Model'!$B$125:$P$125</c:f>
              <c:numCache>
                <c:formatCode>_(* #,##0_);_(* \(#,##0\);_(* "-"??_);_(@_)</c:formatCode>
                <c:ptCount val="15"/>
                <c:pt idx="0">
                  <c:v>1745.0574411092027</c:v>
                </c:pt>
                <c:pt idx="1">
                  <c:v>1980.9933402176559</c:v>
                </c:pt>
                <c:pt idx="2">
                  <c:v>2315.1121960483151</c:v>
                </c:pt>
                <c:pt idx="3">
                  <c:v>2411.3686817832436</c:v>
                </c:pt>
                <c:pt idx="4">
                  <c:v>2514.7253217780408</c:v>
                </c:pt>
                <c:pt idx="5">
                  <c:v>2475.5741176064216</c:v>
                </c:pt>
                <c:pt idx="6">
                  <c:v>2693.6375070001868</c:v>
                </c:pt>
                <c:pt idx="7">
                  <c:v>2894.8606823875743</c:v>
                </c:pt>
                <c:pt idx="8">
                  <c:v>2609.860865710722</c:v>
                </c:pt>
                <c:pt idx="9">
                  <c:v>2291.0094311115354</c:v>
                </c:pt>
              </c:numCache>
            </c:numRef>
          </c:val>
          <c:extLst>
            <c:ext xmlns:c16="http://schemas.microsoft.com/office/drawing/2014/chart" uri="{C3380CC4-5D6E-409C-BE32-E72D297353CC}">
              <c16:uniqueId val="{00000000-F3B6-4F57-9502-5D222C0011D4}"/>
            </c:ext>
          </c:extLst>
        </c:ser>
        <c:ser>
          <c:idx val="1"/>
          <c:order val="1"/>
          <c:tx>
            <c:strRef>
              <c:f>'Revenue Model'!$A$126</c:f>
              <c:strCache>
                <c:ptCount val="1"/>
                <c:pt idx="0">
                  <c:v>Best Case</c:v>
                </c:pt>
              </c:strCache>
            </c:strRef>
          </c:tx>
          <c:spPr>
            <a:solidFill>
              <a:srgbClr val="FFC000">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Model'!$B$126:$P$126</c:f>
              <c:numCache>
                <c:formatCode>General</c:formatCode>
                <c:ptCount val="15"/>
                <c:pt idx="10" formatCode="_(* #,##0_);_(* \(#,##0\);_(* &quot;-&quot;??_);_(@_)">
                  <c:v>2400.9720482783364</c:v>
                </c:pt>
                <c:pt idx="11" formatCode="_(* #,##0_);_(* \(#,##0\);_(* &quot;-&quot;??_);_(@_)">
                  <c:v>2516.2125909787333</c:v>
                </c:pt>
                <c:pt idx="12" formatCode="_(* #,##0_);_(* \(#,##0\);_(* &quot;-&quot;??_);_(@_)">
                  <c:v>2636.984386194712</c:v>
                </c:pt>
                <c:pt idx="13" formatCode="_(* #,##0_);_(* \(#,##0\);_(* &quot;-&quot;??_);_(@_)">
                  <c:v>2763.5529199581356</c:v>
                </c:pt>
                <c:pt idx="14" formatCode="_(* #,##0_);_(* \(#,##0\);_(* &quot;-&quot;??_);_(@_)">
                  <c:v>2896.1964209541629</c:v>
                </c:pt>
              </c:numCache>
            </c:numRef>
          </c:val>
          <c:extLst>
            <c:ext xmlns:c16="http://schemas.microsoft.com/office/drawing/2014/chart" uri="{C3380CC4-5D6E-409C-BE32-E72D297353CC}">
              <c16:uniqueId val="{00000001-F3B6-4F57-9502-5D222C0011D4}"/>
            </c:ext>
          </c:extLst>
        </c:ser>
        <c:ser>
          <c:idx val="2"/>
          <c:order val="2"/>
          <c:tx>
            <c:strRef>
              <c:f>'Revenue Model'!$A$127</c:f>
              <c:strCache>
                <c:ptCount val="1"/>
                <c:pt idx="0">
                  <c:v>Worst Case</c:v>
                </c:pt>
              </c:strCache>
            </c:strRef>
          </c:tx>
          <c:spPr>
            <a:solidFill>
              <a:srgbClr val="0046AD">
                <a:alpha val="50000"/>
              </a:srgbClr>
            </a:solidFill>
            <a:ln>
              <a:noFill/>
            </a:ln>
            <a:effectLst/>
          </c:spPr>
          <c:invertIfNegative val="0"/>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Model'!$B$127:$P$127</c:f>
              <c:numCache>
                <c:formatCode>General</c:formatCode>
                <c:ptCount val="15"/>
                <c:pt idx="10" formatCode="_(* #,##0_);_(* \(#,##0\);_(* &quot;-&quot;??_);_(@_)">
                  <c:v>2244.8517284604077</c:v>
                </c:pt>
                <c:pt idx="11" formatCode="_(* #,##0_);_(* \(#,##0\);_(* &quot;-&quot;??_);_(@_)">
                  <c:v>2199.623979865818</c:v>
                </c:pt>
                <c:pt idx="12" formatCode="_(* #,##0_);_(* \(#,##0\);_(* &quot;-&quot;??_);_(@_)">
                  <c:v>2155.3074492447822</c:v>
                </c:pt>
                <c:pt idx="13" formatCode="_(* #,##0_);_(* \(#,##0\);_(* &quot;-&quot;??_);_(@_)">
                  <c:v>2111.8837779961946</c:v>
                </c:pt>
                <c:pt idx="14" formatCode="_(* #,##0_);_(* \(#,##0\);_(* &quot;-&quot;??_);_(@_)">
                  <c:v>2069.3349773955815</c:v>
                </c:pt>
              </c:numCache>
            </c:numRef>
          </c:val>
          <c:extLst>
            <c:ext xmlns:c16="http://schemas.microsoft.com/office/drawing/2014/chart" uri="{C3380CC4-5D6E-409C-BE32-E72D297353CC}">
              <c16:uniqueId val="{00000002-F3B6-4F57-9502-5D222C0011D4}"/>
            </c:ext>
          </c:extLst>
        </c:ser>
        <c:dLbls>
          <c:showLegendKey val="0"/>
          <c:showVal val="0"/>
          <c:showCatName val="0"/>
          <c:showSerName val="0"/>
          <c:showPercent val="0"/>
          <c:showBubbleSize val="0"/>
        </c:dLbls>
        <c:gapWidth val="0"/>
        <c:axId val="311344128"/>
        <c:axId val="311347456"/>
      </c:barChart>
      <c:lineChart>
        <c:grouping val="standard"/>
        <c:varyColors val="0"/>
        <c:ser>
          <c:idx val="3"/>
          <c:order val="3"/>
          <c:tx>
            <c:strRef>
              <c:f>'Revenue Model'!$A$128</c:f>
              <c:strCache>
                <c:ptCount val="1"/>
                <c:pt idx="0">
                  <c:v>Change</c:v>
                </c:pt>
              </c:strCache>
            </c:strRef>
          </c:tx>
          <c:spPr>
            <a:ln w="19050" cap="rnd">
              <a:solidFill>
                <a:schemeClr val="tx1"/>
              </a:solidFill>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Model'!$B$128:$P$128</c:f>
              <c:numCache>
                <c:formatCode>0%</c:formatCode>
                <c:ptCount val="15"/>
                <c:pt idx="1">
                  <c:v>0.13520236844380684</c:v>
                </c:pt>
                <c:pt idx="2">
                  <c:v>0.16866228121390292</c:v>
                </c:pt>
                <c:pt idx="3">
                  <c:v>4.1577460435493929E-2</c:v>
                </c:pt>
                <c:pt idx="4">
                  <c:v>4.28622303904036E-2</c:v>
                </c:pt>
                <c:pt idx="5">
                  <c:v>-1.5568779553202794E-2</c:v>
                </c:pt>
                <c:pt idx="6">
                  <c:v>8.8085986940518612E-2</c:v>
                </c:pt>
                <c:pt idx="7">
                  <c:v>7.4703138363811705E-2</c:v>
                </c:pt>
                <c:pt idx="8">
                  <c:v>-9.8450270305165399E-2</c:v>
                </c:pt>
                <c:pt idx="9">
                  <c:v>-0.12217181336690008</c:v>
                </c:pt>
              </c:numCache>
            </c:numRef>
          </c:val>
          <c:smooth val="0"/>
          <c:extLst>
            <c:ext xmlns:c16="http://schemas.microsoft.com/office/drawing/2014/chart" uri="{C3380CC4-5D6E-409C-BE32-E72D297353CC}">
              <c16:uniqueId val="{00000003-F3B6-4F57-9502-5D222C0011D4}"/>
            </c:ext>
          </c:extLst>
        </c:ser>
        <c:ser>
          <c:idx val="4"/>
          <c:order val="4"/>
          <c:tx>
            <c:strRef>
              <c:f>'Revenue Model'!$A$129</c:f>
              <c:strCache>
                <c:ptCount val="1"/>
                <c:pt idx="0">
                  <c:v>Best Case Change</c:v>
                </c:pt>
              </c:strCache>
            </c:strRef>
          </c:tx>
          <c:spPr>
            <a:ln w="19050" cap="rnd">
              <a:solidFill>
                <a:schemeClr val="tx1"/>
              </a:solidFill>
              <a:prstDash val="sysDot"/>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Model'!$B$129:$P$129</c:f>
              <c:numCache>
                <c:formatCode>_(* #,##0_);_(* \(#,##0\);_(* "-"??_);_(@_)</c:formatCode>
                <c:ptCount val="15"/>
                <c:pt idx="9" formatCode="0%">
                  <c:v>-0.12217181336690008</c:v>
                </c:pt>
                <c:pt idx="10" formatCode="0%">
                  <c:v>4.7997452857909018E-2</c:v>
                </c:pt>
                <c:pt idx="11" formatCode="0%">
                  <c:v>4.7997452857909018E-2</c:v>
                </c:pt>
                <c:pt idx="12" formatCode="0%">
                  <c:v>4.7997452857909018E-2</c:v>
                </c:pt>
                <c:pt idx="13" formatCode="0%">
                  <c:v>4.799745285790924E-2</c:v>
                </c:pt>
                <c:pt idx="14" formatCode="0%">
                  <c:v>4.7997452857909018E-2</c:v>
                </c:pt>
              </c:numCache>
            </c:numRef>
          </c:val>
          <c:smooth val="0"/>
          <c:extLst>
            <c:ext xmlns:c16="http://schemas.microsoft.com/office/drawing/2014/chart" uri="{C3380CC4-5D6E-409C-BE32-E72D297353CC}">
              <c16:uniqueId val="{00000004-F3B6-4F57-9502-5D222C0011D4}"/>
            </c:ext>
          </c:extLst>
        </c:ser>
        <c:ser>
          <c:idx val="5"/>
          <c:order val="5"/>
          <c:tx>
            <c:strRef>
              <c:f>'Revenue Model'!$A$130</c:f>
              <c:strCache>
                <c:ptCount val="1"/>
                <c:pt idx="0">
                  <c:v>Worst Case Change</c:v>
                </c:pt>
              </c:strCache>
            </c:strRef>
          </c:tx>
          <c:spPr>
            <a:ln w="19050" cap="rnd">
              <a:solidFill>
                <a:schemeClr val="tx1"/>
              </a:solidFill>
              <a:prstDash val="dash"/>
              <a:round/>
            </a:ln>
            <a:effectLst/>
          </c:spPr>
          <c:marker>
            <c:symbol val="none"/>
          </c:marker>
          <c:cat>
            <c:numRef>
              <c:f>'Revenue Model'!$B$1:$P$1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numCache>
            </c:numRef>
          </c:cat>
          <c:val>
            <c:numRef>
              <c:f>'Revenue Model'!$B$130:$P$130</c:f>
              <c:numCache>
                <c:formatCode>_(* #,##0_);_(* \(#,##0\);_(* "-"??_);_(@_)</c:formatCode>
                <c:ptCount val="15"/>
                <c:pt idx="9" formatCode="0%">
                  <c:v>-0.12217181336690008</c:v>
                </c:pt>
                <c:pt idx="10" formatCode="0%">
                  <c:v>-2.0147321099736049E-2</c:v>
                </c:pt>
                <c:pt idx="11" formatCode="0%">
                  <c:v>-2.014732109973616E-2</c:v>
                </c:pt>
                <c:pt idx="12" formatCode="0%">
                  <c:v>-2.0147321099735938E-2</c:v>
                </c:pt>
                <c:pt idx="13" formatCode="0%">
                  <c:v>-2.0147321099736049E-2</c:v>
                </c:pt>
                <c:pt idx="14" formatCode="0%">
                  <c:v>-2.0147321099736049E-2</c:v>
                </c:pt>
              </c:numCache>
            </c:numRef>
          </c:val>
          <c:smooth val="0"/>
          <c:extLst>
            <c:ext xmlns:c16="http://schemas.microsoft.com/office/drawing/2014/chart" uri="{C3380CC4-5D6E-409C-BE32-E72D297353CC}">
              <c16:uniqueId val="{00000005-F3B6-4F57-9502-5D222C0011D4}"/>
            </c:ext>
          </c:extLst>
        </c:ser>
        <c:dLbls>
          <c:showLegendKey val="0"/>
          <c:showVal val="0"/>
          <c:showCatName val="0"/>
          <c:showSerName val="0"/>
          <c:showPercent val="0"/>
          <c:showBubbleSize val="0"/>
        </c:dLbls>
        <c:marker val="1"/>
        <c:smooth val="0"/>
        <c:axId val="311366400"/>
        <c:axId val="311363072"/>
      </c:lineChart>
      <c:dateAx>
        <c:axId val="311344128"/>
        <c:scaling>
          <c:orientation val="minMax"/>
        </c:scaling>
        <c:delete val="0"/>
        <c:axPos val="b"/>
        <c:numFmt formatCode="yyyy"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7456"/>
        <c:crosses val="autoZero"/>
        <c:auto val="1"/>
        <c:lblOffset val="100"/>
        <c:baseTimeUnit val="years"/>
        <c:majorUnit val="2"/>
        <c:majorTimeUnit val="years"/>
      </c:dateAx>
      <c:valAx>
        <c:axId val="3113474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44128"/>
        <c:crosses val="autoZero"/>
        <c:crossBetween val="between"/>
      </c:valAx>
      <c:valAx>
        <c:axId val="31136307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311366400"/>
        <c:crosses val="max"/>
        <c:crossBetween val="between"/>
      </c:valAx>
      <c:dateAx>
        <c:axId val="311366400"/>
        <c:scaling>
          <c:orientation val="minMax"/>
        </c:scaling>
        <c:delete val="1"/>
        <c:axPos val="b"/>
        <c:numFmt formatCode="yyyy" sourceLinked="1"/>
        <c:majorTickMark val="out"/>
        <c:minorTickMark val="none"/>
        <c:tickLblPos val="nextTo"/>
        <c:crossAx val="311363072"/>
        <c:crosses val="autoZero"/>
        <c:auto val="1"/>
        <c:lblOffset val="100"/>
        <c:baseTimeUnit val="years"/>
      </c:dateAx>
      <c:spPr>
        <a:noFill/>
        <a:ln>
          <a:noFill/>
        </a:ln>
        <a:effectLst/>
      </c:spPr>
    </c:plotArea>
    <c:legend>
      <c:legendPos val="t"/>
      <c:layout>
        <c:manualLayout>
          <c:xMode val="edge"/>
          <c:yMode val="edge"/>
          <c:x val="0.11656846019247596"/>
          <c:y val="0.13319444444444445"/>
          <c:w val="0.78075196850393702"/>
          <c:h val="0.2074679206765821"/>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E755999-FF22-40F0-8464-DED8D2F624D6}">
  <sheetPr/>
  <sheetViews>
    <sheetView zoomScale="80" workbookViewId="0"/>
  </sheetViews>
  <pageMargins left="0.7" right="0.7" top="0.75" bottom="0.75" header="0.3" footer="0.3"/>
  <pageSetup paperSize="5" orientation="landscape" horizontalDpi="0" verticalDpi="0" r:id="rId1"/>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zoomScale="83"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zoomScale="68" workbookViewId="0" zoomToFit="1"/>
  </sheetViews>
  <pageMargins left="0.7" right="0.7" top="0.75" bottom="0.75" header="0.3" footer="0.3"/>
  <pageSetup paperSize="5" orientation="landscape" horizontalDpi="0" verticalDpi="0" r:id="rId1"/>
  <drawing r:id="rId2"/>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7" workbookViewId="0" zoomToFit="1"/>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0057F46-AE03-47F3-84F1-7F17890A0A31}">
  <sheetPr/>
  <sheetViews>
    <sheetView zoomScale="72" workbookViewId="0" zoomToFit="1"/>
  </sheetViews>
  <pageMargins left="0.7" right="0.7" top="0.75" bottom="0.75" header="0.3" footer="0.3"/>
  <pageSetup paperSize="5" orientation="landscape" horizontalDpi="0" verticalDpi="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1404ECD-1B98-4F50-8E6C-FC2774F3D24A}">
  <sheetPr/>
  <sheetViews>
    <sheetView zoomScale="72" workbookViewId="0" zoomToFit="1"/>
  </sheetViews>
  <pageMargins left="0.7" right="0.7" top="0.75" bottom="0.75" header="0.3" footer="0.3"/>
  <pageSetup paperSize="5" orientation="landscape" horizontalDpi="0" verticalDpi="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74AFBF1-A2FE-445D-B3D3-F9D552529611}">
  <sheetPr/>
  <sheetViews>
    <sheetView zoomScale="126" workbookViewId="0" zoomToFit="1"/>
  </sheetViews>
  <pageMargins left="0.7" right="0.7" top="0.75" bottom="0.75" header="0.3" footer="0.3"/>
  <pageSetup paperSize="5" orientation="landscape" horizontalDpi="0" verticalDpi="0"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83" workbookViewId="0" zoomToFit="1"/>
  </sheetViews>
  <pageMargins left="0.7" right="0.7" top="0.75" bottom="0.75" header="0.3" footer="0.3"/>
  <pageSetup paperSize="5" orientation="landscape" horizontalDpi="0" verticalDpi="0"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83" workbookViewId="0" zoomToFit="1"/>
  </sheetViews>
  <pageMargins left="0.7" right="0.7" top="0.75" bottom="0.75" header="0.3" footer="0.3"/>
  <pageSetup paperSize="5" orientation="landscape" horizontalDpi="0" verticalDpi="0"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83" workbookViewId="0" zoomToFit="1"/>
  </sheetViews>
  <pageMargins left="0.7" right="0.7" top="0.75" bottom="0.75" header="0.3" footer="0.3"/>
  <pageSetup paperSize="5" orientation="landscape" horizontalDpi="0" verticalDpi="0"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83" workbookViewId="0" zoomToFit="1"/>
  </sheetViews>
  <pageMargins left="0.7" right="0.7" top="0.75" bottom="0.75" header="0.3" footer="0.3"/>
  <pageSetup paperSize="5" orientation="landscape" horizontalDpi="0" verticalDpi="0"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zoomScale="83" workbookViewId="0" zoomToFit="1"/>
  </sheetViews>
  <pageMargins left="0.7" right="0.7" top="0.75" bottom="0.75" header="0.3" footer="0.3"/>
  <pageSetup paperSize="5" orientation="landscape" horizontalDpi="0" verticalDpi="0" r:id="rId1"/>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14</xdr:col>
      <xdr:colOff>549735</xdr:colOff>
      <xdr:row>67</xdr:row>
      <xdr:rowOff>16329</xdr:rowOff>
    </xdr:from>
    <xdr:to>
      <xdr:col>25</xdr:col>
      <xdr:colOff>223163</xdr:colOff>
      <xdr:row>82</xdr:row>
      <xdr:rowOff>168729</xdr:rowOff>
    </xdr:to>
    <xdr:graphicFrame macro="">
      <xdr:nvGraphicFramePr>
        <xdr:cNvPr id="2" name="Chart 1">
          <a:extLst>
            <a:ext uri="{FF2B5EF4-FFF2-40B4-BE49-F238E27FC236}">
              <a16:creationId xmlns:a16="http://schemas.microsoft.com/office/drawing/2014/main" id="{50A3277D-9599-444C-B185-088FB52B27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85</xdr:row>
      <xdr:rowOff>0</xdr:rowOff>
    </xdr:from>
    <xdr:to>
      <xdr:col>23</xdr:col>
      <xdr:colOff>326571</xdr:colOff>
      <xdr:row>99</xdr:row>
      <xdr:rowOff>152400</xdr:rowOff>
    </xdr:to>
    <xdr:graphicFrame macro="">
      <xdr:nvGraphicFramePr>
        <xdr:cNvPr id="3" name="Chart 2">
          <a:extLst>
            <a:ext uri="{FF2B5EF4-FFF2-40B4-BE49-F238E27FC236}">
              <a16:creationId xmlns:a16="http://schemas.microsoft.com/office/drawing/2014/main" id="{11F2367F-5F0C-4285-B701-889EA9390A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125186</xdr:colOff>
      <xdr:row>22</xdr:row>
      <xdr:rowOff>5442</xdr:rowOff>
    </xdr:from>
    <xdr:to>
      <xdr:col>23</xdr:col>
      <xdr:colOff>451757</xdr:colOff>
      <xdr:row>36</xdr:row>
      <xdr:rowOff>157842</xdr:rowOff>
    </xdr:to>
    <xdr:graphicFrame macro="">
      <xdr:nvGraphicFramePr>
        <xdr:cNvPr id="4" name="Chart 3">
          <a:extLst>
            <a:ext uri="{FF2B5EF4-FFF2-40B4-BE49-F238E27FC236}">
              <a16:creationId xmlns:a16="http://schemas.microsoft.com/office/drawing/2014/main" id="{CE463B40-129F-4D5D-9153-5351FE12CE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506192</xdr:colOff>
      <xdr:row>91</xdr:row>
      <xdr:rowOff>114300</xdr:rowOff>
    </xdr:from>
    <xdr:to>
      <xdr:col>8</xdr:col>
      <xdr:colOff>114306</xdr:colOff>
      <xdr:row>111</xdr:row>
      <xdr:rowOff>70757</xdr:rowOff>
    </xdr:to>
    <xdr:graphicFrame macro="">
      <xdr:nvGraphicFramePr>
        <xdr:cNvPr id="5" name="Chart 4">
          <a:extLst>
            <a:ext uri="{FF2B5EF4-FFF2-40B4-BE49-F238E27FC236}">
              <a16:creationId xmlns:a16="http://schemas.microsoft.com/office/drawing/2014/main" id="{06087733-03C4-4D43-BD42-4AB5ABA3D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285756</xdr:colOff>
      <xdr:row>4</xdr:row>
      <xdr:rowOff>80962</xdr:rowOff>
    </xdr:from>
    <xdr:to>
      <xdr:col>28</xdr:col>
      <xdr:colOff>438156</xdr:colOff>
      <xdr:row>16</xdr:row>
      <xdr:rowOff>80962</xdr:rowOff>
    </xdr:to>
    <xdr:graphicFrame macro="">
      <xdr:nvGraphicFramePr>
        <xdr:cNvPr id="6" name="Chart 5">
          <a:extLst>
            <a:ext uri="{FF2B5EF4-FFF2-40B4-BE49-F238E27FC236}">
              <a16:creationId xmlns:a16="http://schemas.microsoft.com/office/drawing/2014/main" id="{88573760-E12E-473D-8EC3-54F6D04E57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24</xdr:col>
      <xdr:colOff>0</xdr:colOff>
      <xdr:row>21</xdr:row>
      <xdr:rowOff>171450</xdr:rowOff>
    </xdr:from>
    <xdr:to>
      <xdr:col>34</xdr:col>
      <xdr:colOff>335837</xdr:colOff>
      <xdr:row>36</xdr:row>
      <xdr:rowOff>148836</xdr:rowOff>
    </xdr:to>
    <xdr:pic>
      <xdr:nvPicPr>
        <xdr:cNvPr id="8" name="Picture 7">
          <a:extLst>
            <a:ext uri="{FF2B5EF4-FFF2-40B4-BE49-F238E27FC236}">
              <a16:creationId xmlns:a16="http://schemas.microsoft.com/office/drawing/2014/main" id="{AC88973D-DDE1-47E3-8FEF-F7A346A9DA37}"/>
            </a:ext>
          </a:extLst>
        </xdr:cNvPr>
        <xdr:cNvPicPr>
          <a:picLocks noChangeAspect="1"/>
        </xdr:cNvPicPr>
      </xdr:nvPicPr>
      <xdr:blipFill>
        <a:blip xmlns:r="http://schemas.openxmlformats.org/officeDocument/2006/relationships" r:embed="rId6"/>
        <a:stretch>
          <a:fillRect/>
        </a:stretch>
      </xdr:blipFill>
      <xdr:spPr>
        <a:xfrm>
          <a:off x="17259300" y="4171950"/>
          <a:ext cx="6431837" cy="28348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8A6F66A0-28F9-4A48-A6B0-DCE22B4E084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0.09393</cdr:x>
      <cdr:y>0.07413</cdr:y>
    </cdr:from>
    <cdr:to>
      <cdr:x>0.37342</cdr:x>
      <cdr:y>0.18297</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813593" y="466327"/>
          <a:ext cx="2420937" cy="6846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0.08554</cdr:y>
    </cdr:from>
    <cdr:to>
      <cdr:x>0.37113</cdr:x>
      <cdr:y>0.1092</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4072" y="537996"/>
          <a:ext cx="980146" cy="148805"/>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0.28536</cdr:x>
      <cdr:y>0.12136</cdr:y>
    </cdr:from>
    <cdr:to>
      <cdr:x>0.37127</cdr:x>
      <cdr:y>0.13694</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55669" y="763296"/>
          <a:ext cx="980146" cy="97987"/>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8669225" cy="629535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11408989" cy="6289301"/>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62051" cy="6293013"/>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62051" cy="6293013"/>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13721443" y="19131643"/>
    <xdr:ext cx="4572000" cy="2743200"/>
    <xdr:graphicFrame macro="">
      <xdr:nvGraphicFramePr>
        <xdr:cNvPr id="2" name="Chart 1">
          <a:extLst>
            <a:ext uri="{FF2B5EF4-FFF2-40B4-BE49-F238E27FC236}">
              <a16:creationId xmlns:a16="http://schemas.microsoft.com/office/drawing/2014/main" id="{A8EDDC42-FE56-40EA-9E6A-EE69B7F812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3726886" y="21918386"/>
    <xdr:ext cx="4572000" cy="2743200"/>
    <xdr:graphicFrame macro="">
      <xdr:nvGraphicFramePr>
        <xdr:cNvPr id="3" name="Chart 2">
          <a:extLst>
            <a:ext uri="{FF2B5EF4-FFF2-40B4-BE49-F238E27FC236}">
              <a16:creationId xmlns:a16="http://schemas.microsoft.com/office/drawing/2014/main" id="{47A330D1-D0C1-4597-A7AD-860DEDA96B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0889685" y="19137086"/>
    <xdr:ext cx="4572000" cy="2743200"/>
    <xdr:graphicFrame macro="">
      <xdr:nvGraphicFramePr>
        <xdr:cNvPr id="4" name="Chart 3">
          <a:extLst>
            <a:ext uri="{FF2B5EF4-FFF2-40B4-BE49-F238E27FC236}">
              <a16:creationId xmlns:a16="http://schemas.microsoft.com/office/drawing/2014/main" id="{5F919501-DC87-4784-9524-BD8EF30563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20895128" y="21912943"/>
    <xdr:ext cx="4572000" cy="2743200"/>
    <xdr:graphicFrame macro="">
      <xdr:nvGraphicFramePr>
        <xdr:cNvPr id="5" name="Chart 4">
          <a:extLst>
            <a:ext uri="{FF2B5EF4-FFF2-40B4-BE49-F238E27FC236}">
              <a16:creationId xmlns:a16="http://schemas.microsoft.com/office/drawing/2014/main" id="{328A81C2-AA7E-4561-853C-574E8E8321E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13726885" y="24716014"/>
    <xdr:ext cx="4572000" cy="2743200"/>
    <xdr:graphicFrame macro="">
      <xdr:nvGraphicFramePr>
        <xdr:cNvPr id="6" name="Chart 5">
          <a:extLst>
            <a:ext uri="{FF2B5EF4-FFF2-40B4-BE49-F238E27FC236}">
              <a16:creationId xmlns:a16="http://schemas.microsoft.com/office/drawing/2014/main" id="{C5E0EEA7-C9A1-497F-9E64-96BB969D348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20906014" y="24683357"/>
    <xdr:ext cx="4572000" cy="2743200"/>
    <xdr:graphicFrame macro="">
      <xdr:nvGraphicFramePr>
        <xdr:cNvPr id="7" name="Chart 6">
          <a:extLst>
            <a:ext uri="{FF2B5EF4-FFF2-40B4-BE49-F238E27FC236}">
              <a16:creationId xmlns:a16="http://schemas.microsoft.com/office/drawing/2014/main" id="{7AB52AAE-5E2F-4599-A95A-843E5895FE3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absoluteAnchor>
    <xdr:pos x="13726886" y="27508199"/>
    <xdr:ext cx="4572000" cy="2743200"/>
    <xdr:graphicFrame macro="">
      <xdr:nvGraphicFramePr>
        <xdr:cNvPr id="8" name="Chart 7">
          <a:extLst>
            <a:ext uri="{FF2B5EF4-FFF2-40B4-BE49-F238E27FC236}">
              <a16:creationId xmlns:a16="http://schemas.microsoft.com/office/drawing/2014/main" id="{B539912E-5469-4DD9-BCD9-95B6615BC5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absoluteAnchor>
  <xdr:absoluteAnchor>
    <xdr:pos x="20911457" y="27480985"/>
    <xdr:ext cx="4572000" cy="2743200"/>
    <xdr:graphicFrame macro="">
      <xdr:nvGraphicFramePr>
        <xdr:cNvPr id="9" name="Chart 8">
          <a:extLst>
            <a:ext uri="{FF2B5EF4-FFF2-40B4-BE49-F238E27FC236}">
              <a16:creationId xmlns:a16="http://schemas.microsoft.com/office/drawing/2014/main" id="{C9A42F73-836F-4E29-9760-B3A2DCB5463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0234" cy="6280547"/>
    <xdr:graphicFrame macro="">
      <xdr:nvGraphicFramePr>
        <xdr:cNvPr id="2" name="Chart 1">
          <a:extLst>
            <a:ext uri="{FF2B5EF4-FFF2-40B4-BE49-F238E27FC236}">
              <a16:creationId xmlns:a16="http://schemas.microsoft.com/office/drawing/2014/main" id="{FFD8CCAF-CA86-4A9A-AC78-32565191FA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9</xdr:col>
      <xdr:colOff>400050</xdr:colOff>
      <xdr:row>0</xdr:row>
      <xdr:rowOff>0</xdr:rowOff>
    </xdr:from>
    <xdr:to>
      <xdr:col>20</xdr:col>
      <xdr:colOff>552450</xdr:colOff>
      <xdr:row>14</xdr:row>
      <xdr:rowOff>76200</xdr:rowOff>
    </xdr:to>
    <xdr:graphicFrame macro="">
      <xdr:nvGraphicFramePr>
        <xdr:cNvPr id="2" name="Chart 1">
          <a:extLst>
            <a:ext uri="{FF2B5EF4-FFF2-40B4-BE49-F238E27FC236}">
              <a16:creationId xmlns:a16="http://schemas.microsoft.com/office/drawing/2014/main" id="{D22AB1D8-D993-4E43-A39F-9A107C403A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390525</xdr:colOff>
      <xdr:row>14</xdr:row>
      <xdr:rowOff>104775</xdr:rowOff>
    </xdr:from>
    <xdr:to>
      <xdr:col>20</xdr:col>
      <xdr:colOff>542925</xdr:colOff>
      <xdr:row>28</xdr:row>
      <xdr:rowOff>180975</xdr:rowOff>
    </xdr:to>
    <xdr:graphicFrame macro="">
      <xdr:nvGraphicFramePr>
        <xdr:cNvPr id="3" name="Chart 2">
          <a:extLst>
            <a:ext uri="{FF2B5EF4-FFF2-40B4-BE49-F238E27FC236}">
              <a16:creationId xmlns:a16="http://schemas.microsoft.com/office/drawing/2014/main" id="{2053239A-534A-451A-BE46-A4D594091C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381000</xdr:colOff>
      <xdr:row>29</xdr:row>
      <xdr:rowOff>47625</xdr:rowOff>
    </xdr:from>
    <xdr:to>
      <xdr:col>20</xdr:col>
      <xdr:colOff>533400</xdr:colOff>
      <xdr:row>43</xdr:row>
      <xdr:rowOff>123825</xdr:rowOff>
    </xdr:to>
    <xdr:graphicFrame macro="">
      <xdr:nvGraphicFramePr>
        <xdr:cNvPr id="4" name="Chart 3">
          <a:extLst>
            <a:ext uri="{FF2B5EF4-FFF2-40B4-BE49-F238E27FC236}">
              <a16:creationId xmlns:a16="http://schemas.microsoft.com/office/drawing/2014/main" id="{F704188B-8E8A-4D81-92AA-941C071AF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338137</xdr:colOff>
      <xdr:row>44</xdr:row>
      <xdr:rowOff>52387</xdr:rowOff>
    </xdr:from>
    <xdr:to>
      <xdr:col>20</xdr:col>
      <xdr:colOff>490537</xdr:colOff>
      <xdr:row>58</xdr:row>
      <xdr:rowOff>128587</xdr:rowOff>
    </xdr:to>
    <xdr:graphicFrame macro="">
      <xdr:nvGraphicFramePr>
        <xdr:cNvPr id="5" name="Chart 4">
          <a:extLst>
            <a:ext uri="{FF2B5EF4-FFF2-40B4-BE49-F238E27FC236}">
              <a16:creationId xmlns:a16="http://schemas.microsoft.com/office/drawing/2014/main" id="{A19D1BE9-D9F4-4B31-B551-09ED78FA58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435BAAA9-6E78-476F-8DDE-90B5BF098DE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F7042532-5810-4BAA-9FE9-F3EC4FE56A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46983E42-D4A6-4332-B4DA-0E583D6E1E4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F68230B8-DF3B-4990-B330-235A6142A6B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1dfedd50d51e5ce/Documents/Business/Company%20Research/UNP%20-%20Union%20Pacific/IOI%20Valuation%20Model%20-%20Union%20Pacific%20(UNP)%202017.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sheetData sheetId="1"/>
      <sheetData sheetId="2"/>
      <sheetData sheetId="3"/>
      <sheetData sheetId="4"/>
      <sheetData sheetId="5"/>
      <sheetData sheetId="6">
        <row r="3">
          <cell r="B3" t="b">
            <v>0</v>
          </cell>
        </row>
        <row r="5">
          <cell r="B5" t="b">
            <v>0</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Segments"/>
      <sheetName val="Freight Revenue Comparisons"/>
      <sheetName val="Revenue Model"/>
      <sheetName val="Update Comparisons"/>
      <sheetName val="LT OCP Chart"/>
      <sheetName val="LT OCP Chart Details"/>
      <sheetName val="Profit Study"/>
      <sheetName val="LT CAGR Chart"/>
      <sheetName val="Profit Study (2)"/>
      <sheetName val="Investments"/>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1">
          <cell r="C21">
            <v>7.0000000000000007E-2</v>
          </cell>
        </row>
        <row r="22">
          <cell r="C22">
            <v>0.02</v>
          </cell>
        </row>
        <row r="91">
          <cell r="L91">
            <v>4919.2564622085238</v>
          </cell>
          <cell r="M91">
            <v>5024.1748479749431</v>
          </cell>
          <cell r="N91">
            <v>5356.5574967914336</v>
          </cell>
          <cell r="O91">
            <v>5475.1306405496398</v>
          </cell>
          <cell r="P91">
            <v>5598.5176162963835</v>
          </cell>
        </row>
        <row r="159">
          <cell r="L159">
            <v>5396.8703937049168</v>
          </cell>
          <cell r="M159">
            <v>5797.6627243379444</v>
          </cell>
          <cell r="N159">
            <v>6486.3892493759158</v>
          </cell>
          <cell r="O159">
            <v>6987.6052706702103</v>
          </cell>
          <cell r="P159">
            <v>7538.1581215221986</v>
          </cell>
        </row>
      </sheetData>
      <sheetData sheetId="1"/>
      <sheetData sheetId="2"/>
      <sheetData sheetId="3"/>
      <sheetData sheetId="5">
        <row r="86">
          <cell r="U86" t="str">
            <v>Worst-Case (ex-Fuel)</v>
          </cell>
          <cell r="V86" t="str">
            <v>Extrapolated Actual (incl. Fuel)</v>
          </cell>
          <cell r="W86" t="str">
            <v>Best-Case (ex-Fuel)</v>
          </cell>
        </row>
        <row r="87">
          <cell r="T87" t="str">
            <v>Agricultural</v>
          </cell>
          <cell r="U87">
            <v>3585.803737035008</v>
          </cell>
          <cell r="V87">
            <v>3684</v>
          </cell>
          <cell r="W87">
            <v>3665.9816738095487</v>
          </cell>
        </row>
        <row r="88">
          <cell r="T88" t="str">
            <v>Automotive</v>
          </cell>
          <cell r="U88">
            <v>2004.6793296267178</v>
          </cell>
          <cell r="V88">
            <v>1981.3333333333333</v>
          </cell>
          <cell r="W88">
            <v>2288.196218135769</v>
          </cell>
        </row>
        <row r="89">
          <cell r="T89" t="str">
            <v>Chemicals</v>
          </cell>
          <cell r="U89">
            <v>3565.0610280515502</v>
          </cell>
          <cell r="V89">
            <v>3572</v>
          </cell>
          <cell r="W89">
            <v>3738.9333179863083</v>
          </cell>
        </row>
        <row r="90">
          <cell r="T90" t="str">
            <v>Coal</v>
          </cell>
          <cell r="U90">
            <v>2244.8517284604077</v>
          </cell>
          <cell r="V90">
            <v>2637.3333333333335</v>
          </cell>
          <cell r="W90">
            <v>2400.9720482783364</v>
          </cell>
        </row>
        <row r="91">
          <cell r="T91" t="str">
            <v>Industrial</v>
          </cell>
          <cell r="U91">
            <v>3334.4451071812027</v>
          </cell>
          <cell r="V91">
            <v>4021.3333333333335</v>
          </cell>
          <cell r="W91">
            <v>3498.4644131046775</v>
          </cell>
        </row>
        <row r="92">
          <cell r="T92" t="str">
            <v>Intermodal</v>
          </cell>
          <cell r="U92">
            <v>3680.0403738515083</v>
          </cell>
          <cell r="V92">
            <v>3770.6666666666665</v>
          </cell>
          <cell r="W92">
            <v>3887.9633169645358</v>
          </cell>
        </row>
        <row r="93">
          <cell r="T93" t="str">
            <v>Fuel Surcharge</v>
          </cell>
          <cell r="U93">
            <v>1568.6</v>
          </cell>
          <cell r="W93">
            <v>2300</v>
          </cell>
        </row>
        <row r="94">
          <cell r="T94" t="str">
            <v>Other</v>
          </cell>
          <cell r="U94">
            <v>1400.3</v>
          </cell>
          <cell r="V94">
            <v>1386.6666666666667</v>
          </cell>
          <cell r="W94">
            <v>1474.0000000000002</v>
          </cell>
        </row>
      </sheetData>
      <sheetData sheetId="6">
        <row r="1">
          <cell r="B1" t="str">
            <v>Worst-Case (Old)</v>
          </cell>
          <cell r="C1" t="str">
            <v>Actual</v>
          </cell>
          <cell r="D1" t="str">
            <v>Best-Case (Old)</v>
          </cell>
          <cell r="E1" t="str">
            <v>Worst-Case (New)</v>
          </cell>
          <cell r="F1" t="str">
            <v>Best-Case (New)</v>
          </cell>
        </row>
        <row r="2">
          <cell r="A2">
            <v>2016</v>
          </cell>
          <cell r="B2">
            <v>19588.074000000001</v>
          </cell>
          <cell r="C2">
            <v>19941</v>
          </cell>
          <cell r="D2">
            <v>20896.853999999999</v>
          </cell>
        </row>
        <row r="3">
          <cell r="A3">
            <v>2017</v>
          </cell>
          <cell r="B3">
            <v>19869.519302814017</v>
          </cell>
          <cell r="D3">
            <v>22278.248662564198</v>
          </cell>
          <cell r="E3">
            <v>22653.311027424446</v>
          </cell>
          <cell r="F3">
            <v>24555.056032230579</v>
          </cell>
        </row>
        <row r="4">
          <cell r="A4">
            <v>2018</v>
          </cell>
          <cell r="B4">
            <v>20259.054584430778</v>
          </cell>
          <cell r="D4">
            <v>23770.877612492528</v>
          </cell>
          <cell r="E4">
            <v>23298.790108060864</v>
          </cell>
          <cell r="F4">
            <v>26567.964116454496</v>
          </cell>
        </row>
        <row r="5">
          <cell r="A5">
            <v>2019</v>
          </cell>
          <cell r="B5">
            <v>20757.511939710152</v>
          </cell>
          <cell r="D5">
            <v>25384.941452738865</v>
          </cell>
          <cell r="E5">
            <v>23969.741971123149</v>
          </cell>
          <cell r="F5">
            <v>28791.386856759451</v>
          </cell>
        </row>
        <row r="6">
          <cell r="A6">
            <v>2020</v>
          </cell>
          <cell r="B6">
            <v>21366.699390098016</v>
          </cell>
          <cell r="D6">
            <v>27131.629574110102</v>
          </cell>
          <cell r="E6">
            <v>24667.30474459385</v>
          </cell>
          <cell r="F6">
            <v>31249.489854073479</v>
          </cell>
        </row>
        <row r="7">
          <cell r="A7">
            <v>2021</v>
          </cell>
          <cell r="E7">
            <v>25392.672182132414</v>
          </cell>
          <cell r="F7">
            <v>33969.455587962868</v>
          </cell>
        </row>
        <row r="12">
          <cell r="B12" t="str">
            <v>Worst-Case (Old)</v>
          </cell>
          <cell r="C12" t="str">
            <v>Actual</v>
          </cell>
          <cell r="D12" t="str">
            <v>Best-Case (Old)</v>
          </cell>
          <cell r="E12" t="str">
            <v>Worst-Case (New)</v>
          </cell>
          <cell r="F12" t="str">
            <v>Best-Case (New)</v>
          </cell>
        </row>
        <row r="13">
          <cell r="A13">
            <v>2016</v>
          </cell>
          <cell r="B13">
            <v>4505.25702</v>
          </cell>
          <cell r="C13">
            <v>5445</v>
          </cell>
          <cell r="D13">
            <v>5642.1505800000004</v>
          </cell>
        </row>
        <row r="14">
          <cell r="A14">
            <v>2017</v>
          </cell>
          <cell r="B14">
            <v>4569.9894396472237</v>
          </cell>
          <cell r="D14">
            <v>6015.1271388923342</v>
          </cell>
          <cell r="E14">
            <v>5210.2615363076229</v>
          </cell>
          <cell r="F14">
            <v>6629.8651287022567</v>
          </cell>
        </row>
        <row r="15">
          <cell r="A15">
            <v>2018</v>
          </cell>
          <cell r="B15">
            <v>4659.5825544190793</v>
          </cell>
          <cell r="D15">
            <v>6418.1369553729828</v>
          </cell>
          <cell r="E15">
            <v>5358.7217248539991</v>
          </cell>
          <cell r="F15">
            <v>7173.350311442714</v>
          </cell>
        </row>
        <row r="16">
          <cell r="A16">
            <v>2019</v>
          </cell>
          <cell r="B16">
            <v>4774.2277461333351</v>
          </cell>
          <cell r="D16">
            <v>6853.9341922394942</v>
          </cell>
          <cell r="E16">
            <v>5513.0406533583246</v>
          </cell>
          <cell r="F16">
            <v>7773.6744513250524</v>
          </cell>
        </row>
        <row r="17">
          <cell r="A17">
            <v>2020</v>
          </cell>
          <cell r="B17">
            <v>4914.3408597225443</v>
          </cell>
          <cell r="D17">
            <v>7325.5399850097283</v>
          </cell>
          <cell r="E17">
            <v>5673.4800912565861</v>
          </cell>
          <cell r="F17">
            <v>8437.3622605998407</v>
          </cell>
        </row>
        <row r="18">
          <cell r="A18">
            <v>2021</v>
          </cell>
          <cell r="E18">
            <v>5840.3146018904554</v>
          </cell>
          <cell r="F18">
            <v>9171.7530087499745</v>
          </cell>
        </row>
        <row r="23">
          <cell r="B23" t="str">
            <v>Worst-Case (Old)</v>
          </cell>
          <cell r="C23" t="str">
            <v>Actual</v>
          </cell>
          <cell r="D23" t="str">
            <v>Best-Case (Old)</v>
          </cell>
          <cell r="E23" t="str">
            <v>Worst-Case (New)</v>
          </cell>
          <cell r="F23" t="str">
            <v>Best-Case (New)</v>
          </cell>
        </row>
        <row r="24">
          <cell r="A24">
            <v>2016</v>
          </cell>
          <cell r="B24">
            <v>2477.891361</v>
          </cell>
          <cell r="C24">
            <v>3998.5156626984126</v>
          </cell>
          <cell r="D24">
            <v>3103.1828190000001</v>
          </cell>
        </row>
        <row r="25">
          <cell r="A25">
            <v>2017</v>
          </cell>
          <cell r="B25">
            <v>2513.4941918059731</v>
          </cell>
          <cell r="D25">
            <v>3308.3199263907836</v>
          </cell>
          <cell r="E25">
            <v>2865.6438449691927</v>
          </cell>
          <cell r="F25">
            <v>3646.4258207862413</v>
          </cell>
        </row>
        <row r="26">
          <cell r="A26">
            <v>2018</v>
          </cell>
          <cell r="B26">
            <v>2562.7704049304934</v>
          </cell>
          <cell r="D26">
            <v>3529.9753254551406</v>
          </cell>
          <cell r="E26">
            <v>2947.2969486696993</v>
          </cell>
          <cell r="F26">
            <v>3945.3426712934925</v>
          </cell>
        </row>
        <row r="27">
          <cell r="A27">
            <v>2019</v>
          </cell>
          <cell r="B27">
            <v>2625.8252603733345</v>
          </cell>
          <cell r="D27">
            <v>3769.6638057317218</v>
          </cell>
          <cell r="E27">
            <v>3032.1723593470783</v>
          </cell>
          <cell r="F27">
            <v>4275.5209482287792</v>
          </cell>
        </row>
        <row r="28">
          <cell r="A28">
            <v>2020</v>
          </cell>
          <cell r="B28">
            <v>2702.8874728473993</v>
          </cell>
          <cell r="D28">
            <v>4029.0469917553505</v>
          </cell>
          <cell r="E28">
            <v>3120.4140501911224</v>
          </cell>
          <cell r="F28">
            <v>4640.5492433299123</v>
          </cell>
        </row>
        <row r="29">
          <cell r="A29">
            <v>2021</v>
          </cell>
          <cell r="E29">
            <v>3212.1730310397502</v>
          </cell>
          <cell r="F29">
            <v>5044.4641548124855</v>
          </cell>
        </row>
        <row r="34">
          <cell r="B34" t="str">
            <v>FCFO (LHS)</v>
          </cell>
          <cell r="C34" t="str">
            <v>FCFO Margin (RHS)</v>
          </cell>
        </row>
        <row r="35">
          <cell r="A35">
            <v>2006</v>
          </cell>
          <cell r="B35">
            <v>157.49145418319995</v>
          </cell>
          <cell r="C35">
            <v>1.0109863537244829E-2</v>
          </cell>
        </row>
        <row r="36">
          <cell r="A36">
            <v>2007</v>
          </cell>
          <cell r="B36">
            <v>230.89074795065994</v>
          </cell>
          <cell r="C36">
            <v>1.4179865378042127E-2</v>
          </cell>
        </row>
        <row r="37">
          <cell r="A37">
            <v>2008</v>
          </cell>
          <cell r="B37">
            <v>872.26463817893</v>
          </cell>
          <cell r="C37">
            <v>4.8540046643234837E-2</v>
          </cell>
        </row>
        <row r="38">
          <cell r="A38">
            <v>2009</v>
          </cell>
          <cell r="B38">
            <v>755.97482539715998</v>
          </cell>
          <cell r="C38">
            <v>5.3452225510652616E-2</v>
          </cell>
        </row>
        <row r="39">
          <cell r="A39">
            <v>2010</v>
          </cell>
          <cell r="B39">
            <v>1567.50980952384</v>
          </cell>
          <cell r="C39">
            <v>9.2396687858758625E-2</v>
          </cell>
        </row>
        <row r="40">
          <cell r="A40">
            <v>2011</v>
          </cell>
          <cell r="B40">
            <v>2569.70658730173</v>
          </cell>
          <cell r="C40">
            <v>0.13139574511948304</v>
          </cell>
        </row>
        <row r="41">
          <cell r="A41">
            <v>2012</v>
          </cell>
          <cell r="B41">
            <v>2088.9440755199998</v>
          </cell>
          <cell r="C41">
            <v>9.9825292722928408E-2</v>
          </cell>
        </row>
        <row r="42">
          <cell r="A42">
            <v>2013</v>
          </cell>
          <cell r="B42">
            <v>3274.1757130952001</v>
          </cell>
          <cell r="C42">
            <v>0.14907688899946273</v>
          </cell>
        </row>
        <row r="43">
          <cell r="A43">
            <v>2014</v>
          </cell>
          <cell r="B43">
            <v>2835.7487137692001</v>
          </cell>
          <cell r="C43">
            <v>0.11821530405907954</v>
          </cell>
        </row>
        <row r="44">
          <cell r="A44">
            <v>2015</v>
          </cell>
          <cell r="B44">
            <v>2835.6194047619101</v>
          </cell>
          <cell r="C44">
            <v>0.12999676361627974</v>
          </cell>
        </row>
      </sheetData>
      <sheetData sheetId="9">
        <row r="1">
          <cell r="B1" t="str">
            <v>Historical OCP</v>
          </cell>
          <cell r="C1" t="str">
            <v>Best-Case</v>
          </cell>
          <cell r="D1" t="str">
            <v>Worst-Case</v>
          </cell>
        </row>
        <row r="2">
          <cell r="A2">
            <v>2001</v>
          </cell>
          <cell r="B2">
            <v>740</v>
          </cell>
        </row>
        <row r="3">
          <cell r="A3">
            <v>2002</v>
          </cell>
          <cell r="B3">
            <v>999</v>
          </cell>
        </row>
        <row r="4">
          <cell r="A4">
            <v>2003</v>
          </cell>
          <cell r="B4">
            <v>1219</v>
          </cell>
        </row>
        <row r="5">
          <cell r="A5">
            <v>2004</v>
          </cell>
          <cell r="B5">
            <v>929</v>
          </cell>
        </row>
        <row r="6">
          <cell r="A6">
            <v>2005</v>
          </cell>
          <cell r="B6">
            <v>1123</v>
          </cell>
        </row>
        <row r="7">
          <cell r="A7">
            <v>2006</v>
          </cell>
          <cell r="B7">
            <v>1393</v>
          </cell>
        </row>
        <row r="8">
          <cell r="A8">
            <v>2007</v>
          </cell>
          <cell r="B8">
            <v>1578</v>
          </cell>
        </row>
        <row r="9">
          <cell r="A9">
            <v>2008</v>
          </cell>
          <cell r="B9">
            <v>2196</v>
          </cell>
        </row>
        <row r="10">
          <cell r="A10">
            <v>2009</v>
          </cell>
          <cell r="B10">
            <v>1477</v>
          </cell>
        </row>
        <row r="11">
          <cell r="A11">
            <v>2010</v>
          </cell>
          <cell r="B11">
            <v>2302</v>
          </cell>
        </row>
        <row r="12">
          <cell r="A12">
            <v>2011</v>
          </cell>
          <cell r="B12">
            <v>3794</v>
          </cell>
        </row>
        <row r="13">
          <cell r="A13">
            <v>2012</v>
          </cell>
          <cell r="B13">
            <v>3956</v>
          </cell>
        </row>
        <row r="14">
          <cell r="A14">
            <v>2013</v>
          </cell>
          <cell r="B14">
            <v>4508</v>
          </cell>
        </row>
        <row r="15">
          <cell r="A15">
            <v>2014</v>
          </cell>
          <cell r="B15">
            <v>4978</v>
          </cell>
        </row>
        <row r="16">
          <cell r="A16">
            <v>2015</v>
          </cell>
          <cell r="B16">
            <v>4855</v>
          </cell>
        </row>
        <row r="17">
          <cell r="A17">
            <v>2016</v>
          </cell>
          <cell r="B17">
            <v>4998</v>
          </cell>
        </row>
        <row r="18">
          <cell r="A18">
            <v>2017</v>
          </cell>
          <cell r="C18">
            <v>5396.8703937049168</v>
          </cell>
          <cell r="D18">
            <v>4919.2564622085238</v>
          </cell>
        </row>
        <row r="19">
          <cell r="A19">
            <v>2018</v>
          </cell>
          <cell r="C19">
            <v>5797.6627243379444</v>
          </cell>
          <cell r="D19">
            <v>5024.1748479749431</v>
          </cell>
        </row>
        <row r="20">
          <cell r="A20">
            <v>2019</v>
          </cell>
          <cell r="C20">
            <v>6486.3892493759158</v>
          </cell>
          <cell r="D20">
            <v>5356.5574967914336</v>
          </cell>
        </row>
        <row r="21">
          <cell r="A21">
            <v>2020</v>
          </cell>
          <cell r="C21">
            <v>6987.6052706702103</v>
          </cell>
          <cell r="D21">
            <v>5475.1306405496398</v>
          </cell>
        </row>
        <row r="22">
          <cell r="A22">
            <v>2021</v>
          </cell>
          <cell r="C22">
            <v>7538.1581215221986</v>
          </cell>
          <cell r="D22">
            <v>5598.5176162963835</v>
          </cell>
        </row>
        <row r="23">
          <cell r="A23">
            <v>2022</v>
          </cell>
          <cell r="C23">
            <v>8065.8291900287531</v>
          </cell>
          <cell r="D23">
            <v>5710.4879686223112</v>
          </cell>
        </row>
        <row r="24">
          <cell r="A24">
            <v>2023</v>
          </cell>
          <cell r="C24">
            <v>8630.4372333307656</v>
          </cell>
          <cell r="D24">
            <v>5824.6977279947578</v>
          </cell>
        </row>
        <row r="25">
          <cell r="A25">
            <v>2024</v>
          </cell>
          <cell r="C25">
            <v>9234.5678396639196</v>
          </cell>
          <cell r="D25">
            <v>5941.1916825546532</v>
          </cell>
        </row>
        <row r="26">
          <cell r="A26">
            <v>2025</v>
          </cell>
          <cell r="C26">
            <v>9880.9875884403937</v>
          </cell>
          <cell r="D26">
            <v>6060.0155162057463</v>
          </cell>
        </row>
        <row r="27">
          <cell r="A27">
            <v>2026</v>
          </cell>
          <cell r="C27">
            <v>10572.656719631223</v>
          </cell>
          <cell r="D27">
            <v>6181.2158265298613</v>
          </cell>
        </row>
      </sheetData>
      <sheetData sheetId="11">
        <row r="1">
          <cell r="B1" t="str">
            <v>OCP</v>
          </cell>
          <cell r="C1" t="str">
            <v>Best-Best</v>
          </cell>
          <cell r="D1" t="str">
            <v>Best-Worse</v>
          </cell>
          <cell r="E1" t="str">
            <v>Worst-Best</v>
          </cell>
          <cell r="F1" t="str">
            <v>Worst-Worst</v>
          </cell>
        </row>
        <row r="2">
          <cell r="A2">
            <v>2001</v>
          </cell>
          <cell r="B2">
            <v>740</v>
          </cell>
        </row>
        <row r="3">
          <cell r="A3">
            <v>2002</v>
          </cell>
          <cell r="B3">
            <v>999</v>
          </cell>
        </row>
        <row r="4">
          <cell r="A4">
            <v>2003</v>
          </cell>
          <cell r="B4">
            <v>1219</v>
          </cell>
        </row>
        <row r="5">
          <cell r="A5">
            <v>2004</v>
          </cell>
          <cell r="B5">
            <v>929</v>
          </cell>
        </row>
        <row r="6">
          <cell r="A6">
            <v>2005</v>
          </cell>
          <cell r="B6">
            <v>1123</v>
          </cell>
        </row>
        <row r="7">
          <cell r="A7">
            <v>2006</v>
          </cell>
          <cell r="B7">
            <v>1393</v>
          </cell>
        </row>
        <row r="8">
          <cell r="A8">
            <v>2007</v>
          </cell>
          <cell r="B8">
            <v>1578</v>
          </cell>
        </row>
        <row r="9">
          <cell r="A9">
            <v>2008</v>
          </cell>
          <cell r="B9">
            <v>2196</v>
          </cell>
        </row>
        <row r="10">
          <cell r="A10">
            <v>2009</v>
          </cell>
          <cell r="B10">
            <v>1477</v>
          </cell>
        </row>
        <row r="11">
          <cell r="A11">
            <v>2010</v>
          </cell>
          <cell r="B11">
            <v>2302</v>
          </cell>
        </row>
        <row r="12">
          <cell r="A12">
            <v>2011</v>
          </cell>
          <cell r="B12">
            <v>3794</v>
          </cell>
        </row>
        <row r="13">
          <cell r="A13">
            <v>2012</v>
          </cell>
          <cell r="B13">
            <v>3956</v>
          </cell>
        </row>
        <row r="14">
          <cell r="A14">
            <v>2013</v>
          </cell>
          <cell r="B14">
            <v>4508</v>
          </cell>
        </row>
        <row r="15">
          <cell r="A15">
            <v>2014</v>
          </cell>
          <cell r="B15">
            <v>4978</v>
          </cell>
        </row>
        <row r="16">
          <cell r="A16">
            <v>2015</v>
          </cell>
          <cell r="B16">
            <v>4855</v>
          </cell>
        </row>
        <row r="17">
          <cell r="A17">
            <v>2016</v>
          </cell>
          <cell r="B17">
            <v>4998</v>
          </cell>
          <cell r="C17">
            <v>4998</v>
          </cell>
          <cell r="F17">
            <v>4998</v>
          </cell>
        </row>
        <row r="18">
          <cell r="A18">
            <v>2017</v>
          </cell>
          <cell r="C18">
            <v>5396.8703937049168</v>
          </cell>
          <cell r="F18">
            <v>4919.2564622085238</v>
          </cell>
        </row>
        <row r="19">
          <cell r="A19">
            <v>2018</v>
          </cell>
          <cell r="C19">
            <v>5797.6627243379444</v>
          </cell>
          <cell r="F19">
            <v>5024.1748479749431</v>
          </cell>
        </row>
        <row r="20">
          <cell r="A20">
            <v>2019</v>
          </cell>
          <cell r="C20">
            <v>6486.3892493759158</v>
          </cell>
          <cell r="F20">
            <v>5356.5574967914336</v>
          </cell>
        </row>
        <row r="21">
          <cell r="A21">
            <v>2020</v>
          </cell>
          <cell r="C21">
            <v>6987.6052706702103</v>
          </cell>
          <cell r="F21">
            <v>5475.1306405496398</v>
          </cell>
        </row>
        <row r="22">
          <cell r="A22">
            <v>2021</v>
          </cell>
          <cell r="C22">
            <v>7538.1581215221986</v>
          </cell>
          <cell r="D22">
            <v>7538.1581215221986</v>
          </cell>
          <cell r="E22">
            <v>5598.5176162963835</v>
          </cell>
          <cell r="F22">
            <v>5598.5176162963835</v>
          </cell>
        </row>
        <row r="23">
          <cell r="A23">
            <v>2022</v>
          </cell>
          <cell r="C23">
            <v>8065.8291900287531</v>
          </cell>
          <cell r="D23">
            <v>7688.9212839526426</v>
          </cell>
          <cell r="E23">
            <v>5990.4138494371309</v>
          </cell>
          <cell r="F23">
            <v>5710.4879686223112</v>
          </cell>
        </row>
        <row r="24">
          <cell r="A24">
            <v>2023</v>
          </cell>
          <cell r="C24">
            <v>8630.4372333307656</v>
          </cell>
          <cell r="D24">
            <v>7842.6997096316954</v>
          </cell>
          <cell r="E24">
            <v>6409.7428188977301</v>
          </cell>
          <cell r="F24">
            <v>5824.6977279947578</v>
          </cell>
        </row>
        <row r="25">
          <cell r="A25">
            <v>2024</v>
          </cell>
          <cell r="C25">
            <v>9234.5678396639196</v>
          </cell>
          <cell r="D25">
            <v>7999.5537038243292</v>
          </cell>
          <cell r="E25">
            <v>6858.4248162205713</v>
          </cell>
          <cell r="F25">
            <v>5941.1916825546532</v>
          </cell>
        </row>
        <row r="26">
          <cell r="A26">
            <v>2025</v>
          </cell>
          <cell r="C26">
            <v>9880.9875884403937</v>
          </cell>
          <cell r="D26">
            <v>8159.5447779008164</v>
          </cell>
          <cell r="E26">
            <v>7338.5145533560117</v>
          </cell>
          <cell r="F26">
            <v>6060.0155162057463</v>
          </cell>
        </row>
        <row r="27">
          <cell r="A27">
            <v>2026</v>
          </cell>
          <cell r="C27">
            <v>10572.656719631223</v>
          </cell>
          <cell r="D27">
            <v>8322.735673458832</v>
          </cell>
          <cell r="E27">
            <v>7852.2105720909331</v>
          </cell>
          <cell r="F27">
            <v>6181.2158265298613</v>
          </cell>
        </row>
        <row r="30">
          <cell r="C30" t="str">
            <v>Best-Best</v>
          </cell>
          <cell r="D30" t="str">
            <v>Best-Worst</v>
          </cell>
          <cell r="E30" t="str">
            <v>Worst-Best</v>
          </cell>
          <cell r="F30" t="str">
            <v>Worst-Worst</v>
          </cell>
        </row>
        <row r="31">
          <cell r="B31" t="str">
            <v>25-year CAGR</v>
          </cell>
          <cell r="C31">
            <v>0.11223894156566572</v>
          </cell>
          <cell r="D31">
            <v>0.10164425831547819</v>
          </cell>
          <cell r="E31">
            <v>9.90827930277276E-2</v>
          </cell>
          <cell r="F31">
            <v>8.8613429276204414E-2</v>
          </cell>
        </row>
        <row r="32">
          <cell r="B32" t="str">
            <v>10-year CAGR</v>
          </cell>
          <cell r="C32">
            <v>7.7801510645205019E-2</v>
          </cell>
          <cell r="D32">
            <v>5.2317965822396673E-2</v>
          </cell>
          <cell r="E32">
            <v>4.6211690485714385E-2</v>
          </cell>
          <cell r="F32">
            <v>2.1475055543832999E-2</v>
          </cell>
        </row>
      </sheetData>
      <sheetData sheetId="12"/>
      <sheetData sheetId="13"/>
      <sheetData sheetId="19"/>
      <sheetData sheetId="20"/>
      <sheetData sheetId="24"/>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H19" sqref="H19"/>
    </sheetView>
  </sheetViews>
  <sheetFormatPr defaultRowHeight="14.25"/>
  <cols>
    <col min="1" max="1" width="38.73046875" bestFit="1" customWidth="1"/>
    <col min="2" max="7" width="11.73046875" customWidth="1"/>
    <col min="8" max="9" width="10.59765625" bestFit="1" customWidth="1"/>
    <col min="10" max="10" width="11.3984375" customWidth="1"/>
    <col min="11" max="11" width="10.59765625" bestFit="1" customWidth="1"/>
    <col min="12" max="13" width="9.59765625" bestFit="1" customWidth="1"/>
    <col min="14" max="14" width="10.59765625" bestFit="1" customWidth="1"/>
    <col min="15" max="15" width="11.59765625" bestFit="1" customWidth="1"/>
  </cols>
  <sheetData>
    <row r="1" spans="1:13" ht="14.65" thickBot="1">
      <c r="A1" s="163" t="s">
        <v>61</v>
      </c>
      <c r="B1" s="163"/>
      <c r="C1" s="163"/>
      <c r="D1" s="163"/>
      <c r="E1" s="163"/>
      <c r="F1" s="163"/>
      <c r="G1" s="163"/>
      <c r="I1" s="172" t="s">
        <v>51</v>
      </c>
      <c r="J1" s="173"/>
      <c r="K1" s="91" t="s">
        <v>58</v>
      </c>
      <c r="L1" s="63" t="s">
        <v>108</v>
      </c>
    </row>
    <row r="2" spans="1:13">
      <c r="A2" s="51" t="s">
        <v>193</v>
      </c>
      <c r="B2" s="44" t="s">
        <v>194</v>
      </c>
      <c r="C2" s="98" t="str">
        <f>A2&amp;" ("&amp;ticker&amp;")"</f>
        <v>Union Pacific (UNP)</v>
      </c>
      <c r="E2" s="3" t="s">
        <v>57</v>
      </c>
      <c r="F2" s="3"/>
      <c r="G2" s="50">
        <v>128</v>
      </c>
      <c r="I2" s="168" t="str">
        <f>(ROUND(AVERAGE(C9:G9)*100,0)&amp;"% | "&amp;ROUND(AVERAGE(C11:G11)*100,0)&amp;"% | "&amp;ROUND(C18*100,0)&amp;"%")</f>
        <v>3% | 24% | 2%</v>
      </c>
      <c r="J2" s="169"/>
      <c r="K2" s="92">
        <f ca="1">TRUNC(Scenario1)+B13/G4</f>
        <v>80</v>
      </c>
      <c r="L2" s="94" t="s">
        <v>53</v>
      </c>
      <c r="M2" s="45"/>
    </row>
    <row r="3" spans="1:13">
      <c r="A3" t="s">
        <v>0</v>
      </c>
      <c r="B3" s="13">
        <v>42735</v>
      </c>
      <c r="E3" t="s">
        <v>60</v>
      </c>
      <c r="G3" s="31">
        <f>'Company Analysis'!K3</f>
        <v>19941</v>
      </c>
      <c r="I3" s="168" t="str">
        <f>(ROUND(AVERAGE(C9:G9)*100,0)&amp;"% | "&amp;ROUND(AVERAGE(C11:G11)*100,0)&amp;"% | "&amp;ROUND(C17*100,0)&amp;"%")</f>
        <v>3% | 24% | 7%</v>
      </c>
      <c r="J3" s="169"/>
      <c r="K3" s="92">
        <f ca="1">TRUNC(Scenario2)+B13/G4</f>
        <v>96</v>
      </c>
      <c r="L3" s="94" t="s">
        <v>53</v>
      </c>
      <c r="M3" s="46"/>
    </row>
    <row r="4" spans="1:13" ht="14.65" thickBot="1">
      <c r="A4" s="68" t="s">
        <v>1</v>
      </c>
      <c r="B4" s="52">
        <v>0.1</v>
      </c>
      <c r="C4" s="12"/>
      <c r="D4" s="12"/>
      <c r="E4" s="12" t="s">
        <v>6</v>
      </c>
      <c r="F4" s="12"/>
      <c r="G4" s="53">
        <v>787.168815</v>
      </c>
      <c r="I4" s="168" t="str">
        <f>(ROUND(AVERAGE(C9:G9)*100,0)&amp;"% | "&amp;ROUND(AVERAGE(C10:G10)*100,0)&amp;"% | "&amp;ROUND(C18*100,0)&amp;"%")</f>
        <v>3% | 26% | 2%</v>
      </c>
      <c r="J4" s="169"/>
      <c r="K4" s="92">
        <f ca="1">TRUNC(Scenario3)+B13/G4</f>
        <v>87</v>
      </c>
      <c r="L4" s="95" t="s">
        <v>53</v>
      </c>
      <c r="M4" s="47"/>
    </row>
    <row r="5" spans="1:13">
      <c r="B5" s="2"/>
      <c r="I5" s="168" t="str">
        <f>(ROUND(AVERAGE(C9:G9)*100,0)&amp;"% | "&amp;ROUND(AVERAGE(C10:G10)*100,0)&amp;"% | "&amp;ROUND(C17*100,0)&amp;"%")</f>
        <v>3% | 26% | 7%</v>
      </c>
      <c r="J5" s="169"/>
      <c r="K5" s="92">
        <f ca="1">TRUNC(Scenario4)+B13/G4</f>
        <v>104</v>
      </c>
      <c r="L5" s="95" t="s">
        <v>53</v>
      </c>
      <c r="M5" s="47"/>
    </row>
    <row r="6" spans="1:13" s="9" customFormat="1" ht="14.65" thickBot="1">
      <c r="A6" s="163" t="s">
        <v>96</v>
      </c>
      <c r="B6" s="163"/>
      <c r="C6" s="163"/>
      <c r="D6" s="163"/>
      <c r="E6" s="163"/>
      <c r="F6" s="163"/>
      <c r="G6" s="163"/>
      <c r="H6" s="8"/>
      <c r="I6" s="168" t="str">
        <f>(ROUND(AVERAGE(C8:G8)*100,0)&amp;"% | "&amp;ROUND(AVERAGE(C11:G11)*100,0)&amp;"% | "&amp;ROUND(C18*100,0)&amp;"%")</f>
        <v>8% | 24% | 2%</v>
      </c>
      <c r="J6" s="169"/>
      <c r="K6" s="92">
        <f ca="1">TRUNC(Scenario5)+B13/G4</f>
        <v>97</v>
      </c>
      <c r="L6" s="94" t="s">
        <v>53</v>
      </c>
      <c r="M6" s="48"/>
    </row>
    <row r="7" spans="1:13">
      <c r="A7" s="7"/>
      <c r="B7" s="7" t="s">
        <v>2</v>
      </c>
      <c r="C7" s="40">
        <v>1</v>
      </c>
      <c r="D7" s="40">
        <v>2</v>
      </c>
      <c r="E7" s="40">
        <v>3</v>
      </c>
      <c r="F7" s="40">
        <v>4</v>
      </c>
      <c r="G7" s="40">
        <v>5</v>
      </c>
      <c r="I7" s="168" t="str">
        <f>(ROUND(AVERAGE(C8:G8)*100,0)&amp;"% | "&amp;ROUND(AVERAGE(C11:G11)*100,0)&amp;"% | "&amp;ROUND(C17*100,0)&amp;"%")</f>
        <v>8% | 24% | 7%</v>
      </c>
      <c r="J7" s="169"/>
      <c r="K7" s="92">
        <f ca="1">TRUNC(Scenario6)+B13/G4</f>
        <v>116</v>
      </c>
      <c r="L7" s="96" t="s">
        <v>53</v>
      </c>
    </row>
    <row r="8" spans="1:13">
      <c r="A8" s="166" t="s">
        <v>5</v>
      </c>
      <c r="B8" s="22" t="s">
        <v>3</v>
      </c>
      <c r="C8" s="23">
        <f>C9+0.01</f>
        <v>8.2567653318272191E-2</v>
      </c>
      <c r="D8" s="23">
        <f>'Revenue Model'!M84</f>
        <v>7.4263842077905817E-2</v>
      </c>
      <c r="E8" s="23">
        <f>'Revenue Model'!N84</f>
        <v>7.5763292266496807E-2</v>
      </c>
      <c r="F8" s="23">
        <f>'Revenue Model'!O84</f>
        <v>7.7271961645305032E-2</v>
      </c>
      <c r="G8" s="23">
        <f>'Revenue Model'!P84</f>
        <v>7.8789918652514723E-2</v>
      </c>
      <c r="I8" s="168" t="str">
        <f>(ROUND(AVERAGE(C8:G8)*100,0)&amp;"% | "&amp;ROUND(AVERAGE(C10:G10)*100,0)&amp;"% | "&amp;ROUND(C18*100,0)&amp;"%")</f>
        <v>8% | 26% | 2%</v>
      </c>
      <c r="J8" s="169"/>
      <c r="K8" s="92">
        <f ca="1">TRUNC(Scenario7)+B13/G4</f>
        <v>105</v>
      </c>
      <c r="L8" s="96" t="s">
        <v>53</v>
      </c>
    </row>
    <row r="9" spans="1:13">
      <c r="A9" s="167"/>
      <c r="B9" s="14" t="s">
        <v>4</v>
      </c>
      <c r="C9" s="24">
        <f>'Revenue Model'!L101</f>
        <v>7.2567653318272196E-2</v>
      </c>
      <c r="D9" s="24">
        <f>'Revenue Model'!M101</f>
        <v>2.1328098376744542E-2</v>
      </c>
      <c r="E9" s="24">
        <f>'Revenue Model'!N101</f>
        <v>2.1733469956934037E-2</v>
      </c>
      <c r="F9" s="24">
        <f>'Revenue Model'!O101</f>
        <v>2.2136072249617778E-2</v>
      </c>
      <c r="G9" s="24">
        <f>'Revenue Model'!P101</f>
        <v>2.2535896190845506E-2</v>
      </c>
      <c r="I9" s="170" t="str">
        <f>(ROUND(AVERAGE(C8:G8)*100,0)&amp;"% | "&amp;ROUND(AVERAGE(C10:G10)*100,0)&amp;"% | "&amp;ROUND(C17*100,0)&amp;"%")</f>
        <v>8% | 26% | 7%</v>
      </c>
      <c r="J9" s="171"/>
      <c r="K9" s="93">
        <f ca="1">TRUNC(Scenario8)+B13/G4</f>
        <v>126</v>
      </c>
      <c r="L9" s="97" t="s">
        <v>53</v>
      </c>
    </row>
    <row r="10" spans="1:13">
      <c r="A10" s="164" t="s">
        <v>124</v>
      </c>
      <c r="B10" s="22" t="s">
        <v>3</v>
      </c>
      <c r="C10" s="138">
        <v>0.25</v>
      </c>
      <c r="D10" s="138">
        <v>0.25</v>
      </c>
      <c r="E10" s="138">
        <v>0.26</v>
      </c>
      <c r="F10" s="138">
        <v>0.26</v>
      </c>
      <c r="G10" s="138">
        <v>0.26</v>
      </c>
    </row>
    <row r="11" spans="1:13">
      <c r="A11" s="165"/>
      <c r="B11" s="14" t="s">
        <v>4</v>
      </c>
      <c r="C11" s="139">
        <v>0.23</v>
      </c>
      <c r="D11" s="139">
        <v>0.23</v>
      </c>
      <c r="E11" s="139">
        <v>0.24</v>
      </c>
      <c r="F11" s="139">
        <v>0.24</v>
      </c>
      <c r="G11" s="139">
        <v>0.24</v>
      </c>
      <c r="I11" s="174" t="str">
        <f>A2&amp;" ("&amp;B2&amp;")"</f>
        <v>Union Pacific (UNP)</v>
      </c>
      <c r="J11" s="175"/>
      <c r="K11" s="175"/>
      <c r="L11" s="176"/>
    </row>
    <row r="12" spans="1:13">
      <c r="A12" s="1" t="s">
        <v>62</v>
      </c>
      <c r="B12" s="14"/>
      <c r="C12" s="25">
        <v>0.15</v>
      </c>
      <c r="D12" s="25">
        <v>0.25</v>
      </c>
      <c r="E12" s="25">
        <v>0.25</v>
      </c>
      <c r="F12" s="25">
        <v>0.25</v>
      </c>
      <c r="G12" s="25">
        <v>0.3</v>
      </c>
      <c r="I12" s="154" t="str">
        <f ca="1">"$"&amp;ROUND(F21/G4,0)&amp;" Scenario"</f>
        <v>$88 Scenario</v>
      </c>
      <c r="J12" s="155"/>
      <c r="K12" s="155"/>
      <c r="L12" s="156"/>
    </row>
    <row r="13" spans="1:13">
      <c r="A13" s="67" t="s">
        <v>10</v>
      </c>
      <c r="B13" s="26">
        <v>0</v>
      </c>
      <c r="I13" s="73" t="s">
        <v>16</v>
      </c>
      <c r="K13" s="74"/>
      <c r="L13" s="65" t="s">
        <v>4</v>
      </c>
    </row>
    <row r="14" spans="1:13">
      <c r="B14" s="2"/>
      <c r="I14" s="71" t="s">
        <v>17</v>
      </c>
      <c r="K14" s="72"/>
      <c r="L14" s="65" t="s">
        <v>3</v>
      </c>
    </row>
    <row r="15" spans="1:13" ht="14.65" thickBot="1">
      <c r="A15" s="163" t="s">
        <v>97</v>
      </c>
      <c r="B15" s="163"/>
      <c r="C15" s="163"/>
      <c r="D15" s="3"/>
      <c r="E15" s="163" t="s">
        <v>98</v>
      </c>
      <c r="F15" s="163"/>
      <c r="G15" s="163"/>
      <c r="I15" s="75" t="s">
        <v>118</v>
      </c>
      <c r="J15" s="76"/>
      <c r="K15" s="76"/>
      <c r="L15" s="66" t="s">
        <v>4</v>
      </c>
    </row>
    <row r="16" spans="1:13">
      <c r="A16" s="67" t="s">
        <v>11</v>
      </c>
      <c r="B16" s="27">
        <v>5</v>
      </c>
      <c r="C16" t="s">
        <v>12</v>
      </c>
      <c r="E16" s="28" t="s">
        <v>14</v>
      </c>
      <c r="G16" s="32">
        <v>2.5000000000000001E-2</v>
      </c>
      <c r="I16" s="49" t="s">
        <v>117</v>
      </c>
      <c r="K16" s="3"/>
      <c r="L16" s="57">
        <f>(F26/G3)^0.2-1</f>
        <v>3.1865220920432424E-2</v>
      </c>
    </row>
    <row r="17" spans="1:12">
      <c r="A17" s="161" t="s">
        <v>59</v>
      </c>
      <c r="B17" s="21" t="s">
        <v>3</v>
      </c>
      <c r="C17" s="23">
        <v>7.0000000000000007E-2</v>
      </c>
      <c r="D17" s="37">
        <f>IF(C17=B$4,C17-0.0001,C17)</f>
        <v>7.0000000000000007E-2</v>
      </c>
      <c r="E17" s="28" t="s">
        <v>15</v>
      </c>
      <c r="G17" s="32">
        <v>2.5000000000000001E-2</v>
      </c>
      <c r="I17" s="71" t="s">
        <v>116</v>
      </c>
      <c r="K17" s="72"/>
      <c r="L17" s="54">
        <f>SUM(B29:F29)/SUM(B26:F26)</f>
        <v>0.19416919754016787</v>
      </c>
    </row>
    <row r="18" spans="1:12">
      <c r="A18" s="162"/>
      <c r="B18" s="15" t="s">
        <v>4</v>
      </c>
      <c r="C18" s="24">
        <v>0.02</v>
      </c>
      <c r="D18" s="37">
        <f>IF(C18=B$4,C18-0.0001,C18)</f>
        <v>0.02</v>
      </c>
      <c r="G18" s="11"/>
      <c r="I18" s="75" t="s">
        <v>119</v>
      </c>
      <c r="K18" s="28"/>
      <c r="L18" s="56">
        <f ca="1">(F21/G4)/G2-1</f>
        <v>-0.31506454566466058</v>
      </c>
    </row>
    <row r="19" spans="1:12">
      <c r="C19" s="3"/>
      <c r="D19" s="3"/>
      <c r="E19" s="3"/>
      <c r="F19" s="3"/>
      <c r="J19" s="55"/>
      <c r="K19" s="55"/>
      <c r="L19" s="55"/>
    </row>
    <row r="20" spans="1:12" ht="14.65" thickBot="1">
      <c r="A20" s="59" t="s">
        <v>7</v>
      </c>
      <c r="B20" s="64" t="s">
        <v>92</v>
      </c>
      <c r="C20" s="64" t="s">
        <v>93</v>
      </c>
      <c r="D20" s="64" t="s">
        <v>94</v>
      </c>
      <c r="E20" s="64" t="s">
        <v>95</v>
      </c>
      <c r="F20" s="64" t="s">
        <v>8</v>
      </c>
      <c r="I20" s="157" t="s">
        <v>123</v>
      </c>
      <c r="J20" s="158"/>
      <c r="K20" s="158"/>
      <c r="L20" s="159"/>
    </row>
    <row r="21" spans="1:12">
      <c r="A21" s="16" t="s">
        <v>13</v>
      </c>
      <c r="B21" s="17">
        <f ca="1">SUM(B43:F43)</f>
        <v>17848.396156165974</v>
      </c>
      <c r="C21" s="17">
        <f ca="1">B54*F43</f>
        <v>11341.357064190212</v>
      </c>
      <c r="D21" s="17">
        <f ca="1">B51*B50</f>
        <v>39822.705012045182</v>
      </c>
      <c r="E21" s="17">
        <f>B13</f>
        <v>0</v>
      </c>
      <c r="F21" s="17">
        <f ca="1">B21+C21+D21+E21</f>
        <v>69012.458232401375</v>
      </c>
      <c r="I21" s="101"/>
      <c r="J21" s="102"/>
      <c r="K21" s="69" t="s">
        <v>120</v>
      </c>
      <c r="L21" s="70" t="s">
        <v>121</v>
      </c>
    </row>
    <row r="22" spans="1:12">
      <c r="A22" s="16" t="s">
        <v>9</v>
      </c>
      <c r="B22" s="60">
        <f ca="1">IFERROR(B21/$F21,"")</f>
        <v>0.25862571212955499</v>
      </c>
      <c r="C22" s="60">
        <f ca="1">IFERROR(C21/$F21,"")</f>
        <v>0.16433782181758946</v>
      </c>
      <c r="D22" s="60">
        <f ca="1">IFERROR(D21/$F21,"")</f>
        <v>0.57703646605285552</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43100</v>
      </c>
      <c r="C25" s="33">
        <f t="shared" ref="C25:F25" si="0">DATE(YEAR($B$3)+C24,MONTH($B$3),DAY($B$3))</f>
        <v>43465</v>
      </c>
      <c r="D25" s="33">
        <f t="shared" si="0"/>
        <v>43830</v>
      </c>
      <c r="E25" s="33">
        <f t="shared" si="0"/>
        <v>44196</v>
      </c>
      <c r="F25" s="33">
        <f t="shared" si="0"/>
        <v>44561</v>
      </c>
      <c r="I25" s="9" t="s">
        <v>57</v>
      </c>
      <c r="L25" s="9">
        <v>26.29</v>
      </c>
    </row>
    <row r="26" spans="1:12" hidden="1">
      <c r="A26" t="s">
        <v>37</v>
      </c>
      <c r="B26" s="30">
        <f>(CHOOSE($B36,C8,C9)+1)*G3</f>
        <v>21388.071574819667</v>
      </c>
      <c r="C26" s="30">
        <f>(CHOOSE($B36,D8,D9)+1)*B26</f>
        <v>21844.238469456275</v>
      </c>
      <c r="D26" s="30">
        <f>(CHOOSE($B36,E8,E9)+1)*C26</f>
        <v>22318.989569964306</v>
      </c>
      <c r="E26" s="30">
        <f>(CHOOSE($B36,F8,F9)+1)*D26</f>
        <v>22813.044335623501</v>
      </c>
      <c r="F26" s="30">
        <f>(CHOOSE($B36,G8,G9)+1)*E26</f>
        <v>23327.156734568267</v>
      </c>
    </row>
    <row r="27" spans="1:12" hidden="1">
      <c r="A27" t="s">
        <v>71</v>
      </c>
      <c r="B27" s="58">
        <f>CHOOSE($B37,C10,C11)*B26</f>
        <v>5347.0178937049168</v>
      </c>
      <c r="C27" s="5">
        <f>CHOOSE($B37,D10,D11)*C26</f>
        <v>5461.0596173640688</v>
      </c>
      <c r="D27" s="5">
        <f>CHOOSE($B37,E10,E11)*D26</f>
        <v>5802.9372881907193</v>
      </c>
      <c r="E27" s="5">
        <f>CHOOSE($B37,F10,F11)*E26</f>
        <v>5931.3915272621107</v>
      </c>
      <c r="F27" s="5">
        <f>CHOOSE($B37,G10,G11)*F26</f>
        <v>6065.06075098775</v>
      </c>
    </row>
    <row r="28" spans="1:12" hidden="1">
      <c r="A28" t="s">
        <v>72</v>
      </c>
      <c r="B28" s="58">
        <f>-C12*B27</f>
        <v>-802.05268405573747</v>
      </c>
      <c r="C28" s="58">
        <f t="shared" ref="C28:E28" si="1">-D12*C27</f>
        <v>-1365.2649043410172</v>
      </c>
      <c r="D28" s="58">
        <f t="shared" si="1"/>
        <v>-1450.7343220476798</v>
      </c>
      <c r="E28" s="58">
        <f t="shared" si="1"/>
        <v>-1482.8478818155277</v>
      </c>
      <c r="F28" s="58">
        <f>-G12*F27</f>
        <v>-1819.518225296325</v>
      </c>
    </row>
    <row r="29" spans="1:12" ht="14.65" hidden="1" thickBot="1">
      <c r="A29" t="s">
        <v>73</v>
      </c>
      <c r="B29" s="4">
        <f>B27+B28</f>
        <v>4544.9652096491791</v>
      </c>
      <c r="C29" s="4">
        <f>C27+C28</f>
        <v>4095.7947130230514</v>
      </c>
      <c r="D29" s="4">
        <f>D27+D28</f>
        <v>4352.2029661430397</v>
      </c>
      <c r="E29" s="4">
        <f>E27+E28</f>
        <v>4448.5436454465835</v>
      </c>
      <c r="F29" s="4">
        <f>F27+F28</f>
        <v>4245.542525691425</v>
      </c>
    </row>
    <row r="30" spans="1:12" ht="14.6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60" t="s">
        <v>35</v>
      </c>
      <c r="B41" s="160"/>
      <c r="C41" s="160"/>
      <c r="D41" s="160"/>
      <c r="E41" s="160"/>
      <c r="F41" s="160"/>
    </row>
    <row r="42" spans="1:16" hidden="1">
      <c r="A42" t="s">
        <v>21</v>
      </c>
      <c r="B42" s="19">
        <f ca="1">B25-TODAY()</f>
        <v>22</v>
      </c>
      <c r="C42" s="19">
        <f ca="1">C25-TODAY()</f>
        <v>387</v>
      </c>
      <c r="D42" s="19">
        <f ca="1">D25-TODAY()</f>
        <v>752</v>
      </c>
      <c r="E42" s="19">
        <f ca="1">E25-TODAY()</f>
        <v>1118</v>
      </c>
      <c r="F42" s="19">
        <f ca="1">F25-TODAY()</f>
        <v>1483</v>
      </c>
      <c r="P42" s="38"/>
    </row>
    <row r="43" spans="1:16" hidden="1">
      <c r="A43" t="s">
        <v>22</v>
      </c>
      <c r="B43" s="17">
        <f ca="1">B29*EXP(-$B$4*B42/365.25)</f>
        <v>4517.6719291191084</v>
      </c>
      <c r="C43" s="17">
        <f ca="1">C29*EXP(-$B$4*C42/365.25)</f>
        <v>3684.0251387265553</v>
      </c>
      <c r="D43" s="17">
        <f ca="1">D29*EXP(-$B$4*D42/365.25)</f>
        <v>3542.3691925279741</v>
      </c>
      <c r="E43" s="17">
        <f ca="1">E29*EXP(-$B$4*E42/365.25)</f>
        <v>3275.5475761185667</v>
      </c>
      <c r="F43" s="17">
        <f ca="1">F29*EXP(-$B$4*F42/365.25)</f>
        <v>2828.7823196737709</v>
      </c>
      <c r="O43" s="39"/>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3309</v>
      </c>
      <c r="C48" s="34"/>
    </row>
    <row r="49" spans="1:7" hidden="1">
      <c r="A49" s="6" t="s">
        <v>24</v>
      </c>
      <c r="B49" s="17">
        <f>F29*EXP(CHOOSE(B38,C17,C18)*B16)</f>
        <v>4692.0501308475959</v>
      </c>
    </row>
    <row r="50" spans="1:7" hidden="1">
      <c r="A50" s="6" t="s">
        <v>29</v>
      </c>
      <c r="B50" s="17">
        <f ca="1">B49*EXP(-B4*B48/365.25)</f>
        <v>1896.3192862878659</v>
      </c>
    </row>
    <row r="51" spans="1:7" hidden="1">
      <c r="A51" s="6" t="s">
        <v>31</v>
      </c>
      <c r="B51" s="17">
        <f>(1+SUM(G16,G17))/(B4-SUM(G16,G17))</f>
        <v>21</v>
      </c>
    </row>
    <row r="52" spans="1:7" hidden="1">
      <c r="A52" s="6" t="s">
        <v>32</v>
      </c>
      <c r="B52" s="18">
        <f>(1+CHOOSE(B38,D17,D18))/(B4-(CHOOSE(B38,D17,D18)))</f>
        <v>12.75</v>
      </c>
      <c r="F52" s="38"/>
    </row>
    <row r="53" spans="1:7" hidden="1">
      <c r="A53" s="6" t="s">
        <v>33</v>
      </c>
      <c r="B53" s="38">
        <f>1-(((1+CHOOSE(B38,D17,D18))/(1+B4))^B16)</f>
        <v>0.31445268691284145</v>
      </c>
      <c r="F53" s="39"/>
    </row>
    <row r="54" spans="1:7" hidden="1">
      <c r="A54" s="6" t="s">
        <v>30</v>
      </c>
      <c r="B54" s="36">
        <f>B52*B53</f>
        <v>4.0092717581387287</v>
      </c>
    </row>
    <row r="55" spans="1:7" hidden="1"/>
    <row r="56" spans="1:7" hidden="1"/>
    <row r="57" spans="1:7" hidden="1">
      <c r="A57" s="41" t="s">
        <v>36</v>
      </c>
    </row>
    <row r="58" spans="1:7" hidden="1">
      <c r="A58" t="s">
        <v>37</v>
      </c>
      <c r="B58" s="18">
        <f>$G$3*(1+C$9)</f>
        <v>21388.071574819667</v>
      </c>
      <c r="C58" s="18">
        <f>B58*(1+D$9)</f>
        <v>21844.238469456275</v>
      </c>
      <c r="D58" s="18">
        <f>C58*(1+E$9)</f>
        <v>22318.989569964306</v>
      </c>
      <c r="E58" s="18">
        <f>D58*(1+F$9)</f>
        <v>22813.044335623501</v>
      </c>
      <c r="F58" s="18">
        <f>E58*(1+G$9)</f>
        <v>23327.156734568267</v>
      </c>
    </row>
    <row r="59" spans="1:7" hidden="1">
      <c r="A59" t="s">
        <v>38</v>
      </c>
      <c r="B59" s="18">
        <f>B58*C$11</f>
        <v>4919.2564622085238</v>
      </c>
      <c r="C59" s="18">
        <f>C58*D$11</f>
        <v>5024.1748479749431</v>
      </c>
      <c r="D59" s="18">
        <f>D58*E$11</f>
        <v>5356.5574967914336</v>
      </c>
      <c r="E59" s="18">
        <f>E58*F$11</f>
        <v>5475.1306405496398</v>
      </c>
      <c r="F59" s="18">
        <f>F58*G$11</f>
        <v>5598.5176162963835</v>
      </c>
    </row>
    <row r="60" spans="1:7" hidden="1">
      <c r="B60" s="20">
        <f>B59/B58</f>
        <v>0.23</v>
      </c>
      <c r="C60" s="20">
        <f>C59/C58</f>
        <v>0.22999999999999998</v>
      </c>
      <c r="D60" s="20">
        <f>D59/D58</f>
        <v>0.24000000000000002</v>
      </c>
      <c r="E60" s="20">
        <f>E59/E58</f>
        <v>0.24</v>
      </c>
      <c r="F60" s="20">
        <f>F59/F58</f>
        <v>0.23999999999999996</v>
      </c>
    </row>
    <row r="61" spans="1:7" hidden="1">
      <c r="A61" t="s">
        <v>39</v>
      </c>
      <c r="B61" s="38">
        <f t="shared" ref="B61:E61" si="2">B59-(C$12*B59)</f>
        <v>4181.3679928772453</v>
      </c>
      <c r="C61" s="38">
        <f t="shared" si="2"/>
        <v>3768.1311359812071</v>
      </c>
      <c r="D61" s="38">
        <f t="shared" si="2"/>
        <v>4017.4181225935754</v>
      </c>
      <c r="E61" s="38">
        <f t="shared" si="2"/>
        <v>4106.3479804122298</v>
      </c>
      <c r="F61" s="38">
        <f>F59-(G$12*F59)</f>
        <v>3918.9623314074688</v>
      </c>
    </row>
    <row r="62" spans="1:7" hidden="1">
      <c r="A62" t="s">
        <v>42</v>
      </c>
      <c r="B62" s="18">
        <f ca="1">B61*EXP(-$B$4*B$42/365.25)</f>
        <v>4156.2581747895802</v>
      </c>
      <c r="C62" s="18">
        <f ca="1">C61*EXP(-$B$4*C$42/365.25)</f>
        <v>3389.3031276284305</v>
      </c>
      <c r="D62" s="18">
        <f ca="1">D61*EXP(-$B$4*D$42/365.25)</f>
        <v>3269.8792546412074</v>
      </c>
      <c r="E62" s="18">
        <f ca="1">E61*EXP(-$B$4*E$42/365.25)</f>
        <v>3023.582377955599</v>
      </c>
      <c r="F62" s="18">
        <f ca="1">F61*EXP(-$B$4*F$42/365.25)</f>
        <v>2611.183679698865</v>
      </c>
      <c r="G62" s="18">
        <f ca="1">SUM(B62:F62)</f>
        <v>16450.206614713683</v>
      </c>
    </row>
    <row r="63" spans="1:7" hidden="1">
      <c r="A63" t="s">
        <v>41</v>
      </c>
      <c r="F63" s="38">
        <f>((1+$D$18)/($B$4-$D$18)*(1-(((1+$D$18)/(1+$B$4))^$B$16)))</f>
        <v>4.0092717581387287</v>
      </c>
      <c r="G63" s="18">
        <f ca="1">F63*F62</f>
        <v>10468.944982329424</v>
      </c>
    </row>
    <row r="64" spans="1:7" hidden="1">
      <c r="A64" t="s">
        <v>40</v>
      </c>
      <c r="B64" s="38"/>
      <c r="F64" s="18">
        <f>F61*EXP($C$18*$B$16)</f>
        <v>4331.1231977054731</v>
      </c>
    </row>
    <row r="65" spans="1:7" hidden="1">
      <c r="A65" t="s">
        <v>43</v>
      </c>
      <c r="F65" s="18">
        <f ca="1">F64*EXP(-$B$4*B$48/365.25)</f>
        <v>1750.44857195803</v>
      </c>
      <c r="G65" s="42">
        <f ca="1">F65*B$51</f>
        <v>36759.420011118629</v>
      </c>
    </row>
    <row r="66" spans="1:7" hidden="1">
      <c r="A66" t="s">
        <v>44</v>
      </c>
      <c r="G66" s="18">
        <f ca="1">SUM(G62:G63,G65)</f>
        <v>63678.571608161736</v>
      </c>
    </row>
    <row r="67" spans="1:7" hidden="1">
      <c r="A67" t="s">
        <v>25</v>
      </c>
      <c r="G67" s="43">
        <f ca="1">G66/$G$4</f>
        <v>80.895699111456466</v>
      </c>
    </row>
    <row r="68" spans="1:7" hidden="1">
      <c r="G68" s="38"/>
    </row>
    <row r="69" spans="1:7" hidden="1">
      <c r="A69" s="41" t="s">
        <v>45</v>
      </c>
    </row>
    <row r="70" spans="1:7" hidden="1">
      <c r="A70" t="s">
        <v>37</v>
      </c>
      <c r="B70" s="18">
        <f>$G$3*(1+C$9)</f>
        <v>21388.071574819667</v>
      </c>
      <c r="C70" s="18">
        <f>B70*(1+D$9)</f>
        <v>21844.238469456275</v>
      </c>
      <c r="D70" s="18">
        <f>C70*(1+E$9)</f>
        <v>22318.989569964306</v>
      </c>
      <c r="E70" s="18">
        <f>D70*(1+F$9)</f>
        <v>22813.044335623501</v>
      </c>
      <c r="F70" s="18">
        <f>E70*(1+G$9)</f>
        <v>23327.156734568267</v>
      </c>
    </row>
    <row r="71" spans="1:7" hidden="1">
      <c r="A71" t="s">
        <v>38</v>
      </c>
      <c r="B71" s="18">
        <f>B70*C$11</f>
        <v>4919.2564622085238</v>
      </c>
      <c r="C71" s="18">
        <f>C70*D$11</f>
        <v>5024.1748479749431</v>
      </c>
      <c r="D71" s="18">
        <f>D70*E$11</f>
        <v>5356.5574967914336</v>
      </c>
      <c r="E71" s="18">
        <f>E70*F$11</f>
        <v>5475.1306405496398</v>
      </c>
      <c r="F71" s="18">
        <f>F70*G$11</f>
        <v>5598.5176162963835</v>
      </c>
    </row>
    <row r="72" spans="1:7" hidden="1">
      <c r="A72" t="s">
        <v>39</v>
      </c>
      <c r="B72" s="38">
        <f t="shared" ref="B72:E72" si="3">B71-(C$12*B71)</f>
        <v>4181.3679928772453</v>
      </c>
      <c r="C72" s="38">
        <f t="shared" si="3"/>
        <v>3768.1311359812071</v>
      </c>
      <c r="D72" s="38">
        <f t="shared" si="3"/>
        <v>4017.4181225935754</v>
      </c>
      <c r="E72" s="38">
        <f t="shared" si="3"/>
        <v>4106.3479804122298</v>
      </c>
      <c r="F72" s="38">
        <f>F71-(G$12*F71)</f>
        <v>3918.9623314074688</v>
      </c>
    </row>
    <row r="73" spans="1:7" hidden="1">
      <c r="A73" t="s">
        <v>42</v>
      </c>
      <c r="B73" s="18">
        <f ca="1">B72*EXP(-$B$4*B$42/365.25)</f>
        <v>4156.2581747895802</v>
      </c>
      <c r="C73" s="18">
        <f ca="1">C72*EXP(-$B$4*C$42/365.25)</f>
        <v>3389.3031276284305</v>
      </c>
      <c r="D73" s="18">
        <f ca="1">D72*EXP(-$B$4*D$42/365.25)</f>
        <v>3269.8792546412074</v>
      </c>
      <c r="E73" s="18">
        <f ca="1">E72*EXP(-$B$4*E$42/365.25)</f>
        <v>3023.582377955599</v>
      </c>
      <c r="F73" s="18">
        <f ca="1">F72*EXP(-$B$4*F$42/365.25)</f>
        <v>2611.183679698865</v>
      </c>
      <c r="G73" s="18">
        <f ca="1">SUM(B73:F73)</f>
        <v>16450.206614713683</v>
      </c>
    </row>
    <row r="74" spans="1:7" hidden="1">
      <c r="A74" t="s">
        <v>41</v>
      </c>
      <c r="F74" s="38">
        <f>((1+$D$17)/($B$4-$D$17)*(1-(((1+$D$17)/(1+$B$4))^$B$16)))</f>
        <v>4.6054841458295943</v>
      </c>
      <c r="G74" s="18">
        <f ca="1">F74*F73</f>
        <v>12025.765038702104</v>
      </c>
    </row>
    <row r="75" spans="1:7" hidden="1">
      <c r="A75" t="s">
        <v>40</v>
      </c>
      <c r="B75" s="38"/>
      <c r="F75" s="18">
        <f>F72*EXP($C$17*$B$16)</f>
        <v>5561.2722686597135</v>
      </c>
    </row>
    <row r="76" spans="1:7" hidden="1">
      <c r="A76" t="s">
        <v>43</v>
      </c>
      <c r="F76" s="18">
        <f ca="1">F75*EXP(-$B$4*B$48/365.25)</f>
        <v>2247.6204569988713</v>
      </c>
      <c r="G76" s="42">
        <f ca="1">F76*B$51</f>
        <v>47200.029596976296</v>
      </c>
    </row>
    <row r="77" spans="1:7" hidden="1">
      <c r="A77" t="s">
        <v>44</v>
      </c>
      <c r="G77" s="18">
        <f ca="1">SUM(G73:G74,G76)</f>
        <v>75676.001250392088</v>
      </c>
    </row>
    <row r="78" spans="1:7" hidden="1">
      <c r="A78" t="s">
        <v>25</v>
      </c>
      <c r="G78" s="43">
        <f ca="1">G77/$G$4</f>
        <v>96.136940143382191</v>
      </c>
    </row>
    <row r="79" spans="1:7" hidden="1"/>
    <row r="80" spans="1:7" hidden="1">
      <c r="A80" s="41" t="s">
        <v>46</v>
      </c>
    </row>
    <row r="81" spans="1:7" hidden="1">
      <c r="A81" t="s">
        <v>37</v>
      </c>
      <c r="B81" s="18">
        <f>$G$3*(1+C$9)</f>
        <v>21388.071574819667</v>
      </c>
      <c r="C81" s="18">
        <f>B81*(1+D$9)</f>
        <v>21844.238469456275</v>
      </c>
      <c r="D81" s="18">
        <f>C81*(1+E$9)</f>
        <v>22318.989569964306</v>
      </c>
      <c r="E81" s="18">
        <f>D81*(1+F$9)</f>
        <v>22813.044335623501</v>
      </c>
      <c r="F81" s="18">
        <f>E81*(1+G$9)</f>
        <v>23327.156734568267</v>
      </c>
    </row>
    <row r="82" spans="1:7" hidden="1">
      <c r="A82" t="s">
        <v>38</v>
      </c>
      <c r="B82" s="18">
        <f>B81*C$10</f>
        <v>5347.0178937049168</v>
      </c>
      <c r="C82" s="18">
        <f>C81*D$10</f>
        <v>5461.0596173640688</v>
      </c>
      <c r="D82" s="18">
        <f>D81*E$10</f>
        <v>5802.9372881907193</v>
      </c>
      <c r="E82" s="18">
        <f>E81*F$10</f>
        <v>5931.3915272621107</v>
      </c>
      <c r="F82" s="18">
        <f>F81*G$10</f>
        <v>6065.06075098775</v>
      </c>
    </row>
    <row r="83" spans="1:7" hidden="1">
      <c r="A83" t="s">
        <v>39</v>
      </c>
      <c r="B83" s="38">
        <f>B82-(C$12*B82)</f>
        <v>4544.9652096491791</v>
      </c>
      <c r="C83" s="38">
        <f t="shared" ref="C83:F83" si="4">C82-(D$12*C82)</f>
        <v>4095.7947130230514</v>
      </c>
      <c r="D83" s="38">
        <f t="shared" si="4"/>
        <v>4352.2029661430397</v>
      </c>
      <c r="E83" s="38">
        <f t="shared" si="4"/>
        <v>4448.5436454465835</v>
      </c>
      <c r="F83" s="38">
        <f t="shared" si="4"/>
        <v>4245.542525691425</v>
      </c>
    </row>
    <row r="84" spans="1:7" hidden="1">
      <c r="A84" t="s">
        <v>42</v>
      </c>
      <c r="B84" s="18">
        <f ca="1">B83*EXP(-$B$4*B$42/365.25)</f>
        <v>4517.6719291191084</v>
      </c>
      <c r="C84" s="18">
        <f ca="1">C83*EXP(-$B$4*C$42/365.25)</f>
        <v>3684.0251387265553</v>
      </c>
      <c r="D84" s="18">
        <f ca="1">D83*EXP(-$B$4*D$42/365.25)</f>
        <v>3542.3691925279741</v>
      </c>
      <c r="E84" s="18">
        <f ca="1">E83*EXP(-$B$4*E$42/365.25)</f>
        <v>3275.5475761185667</v>
      </c>
      <c r="F84" s="18">
        <f ca="1">F83*EXP(-$B$4*F$42/365.25)</f>
        <v>2828.7823196737709</v>
      </c>
      <c r="G84" s="18">
        <f ca="1">SUM(B84:F84)</f>
        <v>17848.396156165974</v>
      </c>
    </row>
    <row r="85" spans="1:7" hidden="1">
      <c r="A85" t="s">
        <v>41</v>
      </c>
      <c r="F85" s="38">
        <f>((1+$D$18)/($B$4-$D$18)*(1-(((1+$D$18)/(1+$B$4))^$B$16)))</f>
        <v>4.0092717581387287</v>
      </c>
      <c r="G85" s="18">
        <f ca="1">F85*F84</f>
        <v>11341.357064190212</v>
      </c>
    </row>
    <row r="86" spans="1:7" hidden="1">
      <c r="A86" t="s">
        <v>40</v>
      </c>
      <c r="B86" s="38"/>
      <c r="F86" s="18">
        <f>F83*EXP($C$18*$B$16)</f>
        <v>4692.0501308475959</v>
      </c>
    </row>
    <row r="87" spans="1:7" hidden="1">
      <c r="A87" t="s">
        <v>43</v>
      </c>
      <c r="F87" s="18">
        <f ca="1">F86*EXP(-$B$4*B$48/365.25)</f>
        <v>1896.3192862878659</v>
      </c>
      <c r="G87" s="42">
        <f ca="1">F87*B$51</f>
        <v>39822.705012045182</v>
      </c>
    </row>
    <row r="88" spans="1:7" hidden="1">
      <c r="A88" t="s">
        <v>44</v>
      </c>
      <c r="G88" s="18">
        <f ca="1">SUM(G84:G85,G87)</f>
        <v>69012.458232401375</v>
      </c>
    </row>
    <row r="89" spans="1:7" hidden="1">
      <c r="A89" t="s">
        <v>25</v>
      </c>
      <c r="G89" s="43">
        <f ca="1">G88/$G$4</f>
        <v>87.671738154923446</v>
      </c>
    </row>
    <row r="90" spans="1:7" hidden="1"/>
    <row r="91" spans="1:7" hidden="1">
      <c r="A91" s="41" t="s">
        <v>47</v>
      </c>
    </row>
    <row r="92" spans="1:7" hidden="1">
      <c r="A92" t="s">
        <v>37</v>
      </c>
      <c r="B92" s="18">
        <f>$G$3*(1+C$9)</f>
        <v>21388.071574819667</v>
      </c>
      <c r="C92" s="18">
        <f>B92*(1+D$9)</f>
        <v>21844.238469456275</v>
      </c>
      <c r="D92" s="18">
        <f>C92*(1+E$9)</f>
        <v>22318.989569964306</v>
      </c>
      <c r="E92" s="18">
        <f>D92*(1+F$9)</f>
        <v>22813.044335623501</v>
      </c>
      <c r="F92" s="18">
        <f>E92*(1+G$9)</f>
        <v>23327.156734568267</v>
      </c>
    </row>
    <row r="93" spans="1:7" hidden="1">
      <c r="A93" t="s">
        <v>38</v>
      </c>
      <c r="B93" s="18">
        <f>B92*C$10</f>
        <v>5347.0178937049168</v>
      </c>
      <c r="C93" s="18">
        <f>C92*D$10</f>
        <v>5461.0596173640688</v>
      </c>
      <c r="D93" s="18">
        <f>D92*E$10</f>
        <v>5802.9372881907193</v>
      </c>
      <c r="E93" s="18">
        <f>E92*F$10</f>
        <v>5931.3915272621107</v>
      </c>
      <c r="F93" s="18">
        <f>F92*G$10</f>
        <v>6065.06075098775</v>
      </c>
    </row>
    <row r="94" spans="1:7" hidden="1">
      <c r="A94" t="s">
        <v>39</v>
      </c>
      <c r="B94" s="38">
        <f>B93-(C$12*B93)</f>
        <v>4544.9652096491791</v>
      </c>
      <c r="C94" s="38">
        <f t="shared" ref="C94" si="5">C93-(D$12*C93)</f>
        <v>4095.7947130230514</v>
      </c>
      <c r="D94" s="38">
        <f t="shared" ref="D94" si="6">D93-(E$12*D93)</f>
        <v>4352.2029661430397</v>
      </c>
      <c r="E94" s="38">
        <f t="shared" ref="E94" si="7">E93-(F$12*E93)</f>
        <v>4448.5436454465835</v>
      </c>
      <c r="F94" s="38">
        <f t="shared" ref="F94" si="8">F93-(G$12*F93)</f>
        <v>4245.542525691425</v>
      </c>
    </row>
    <row r="95" spans="1:7" hidden="1">
      <c r="A95" t="s">
        <v>42</v>
      </c>
      <c r="B95" s="18">
        <f ca="1">B94*EXP(-$B$4*B$42/365.25)</f>
        <v>4517.6719291191084</v>
      </c>
      <c r="C95" s="18">
        <f ca="1">C94*EXP(-$B$4*C$42/365.25)</f>
        <v>3684.0251387265553</v>
      </c>
      <c r="D95" s="18">
        <f ca="1">D94*EXP(-$B$4*D$42/365.25)</f>
        <v>3542.3691925279741</v>
      </c>
      <c r="E95" s="18">
        <f ca="1">E94*EXP(-$B$4*E$42/365.25)</f>
        <v>3275.5475761185667</v>
      </c>
      <c r="F95" s="18">
        <f ca="1">F94*EXP(-$B$4*F$42/365.25)</f>
        <v>2828.7823196737709</v>
      </c>
      <c r="G95" s="18">
        <f ca="1">SUM(B95:F95)</f>
        <v>17848.396156165974</v>
      </c>
    </row>
    <row r="96" spans="1:7" hidden="1">
      <c r="A96" t="s">
        <v>41</v>
      </c>
      <c r="F96" s="38">
        <f>((1+$D$17)/($B$4-$D$17)*(1-(((1+$D$17)/(1+$B$4))^$B$16)))</f>
        <v>4.6054841458295943</v>
      </c>
      <c r="G96" s="18">
        <f ca="1">F96*F95</f>
        <v>13027.912125260615</v>
      </c>
    </row>
    <row r="97" spans="1:7" hidden="1">
      <c r="A97" t="s">
        <v>40</v>
      </c>
      <c r="B97" s="38"/>
      <c r="F97" s="18">
        <f>F94*EXP($C$17*$B$16)</f>
        <v>6024.7116243813571</v>
      </c>
    </row>
    <row r="98" spans="1:7" hidden="1">
      <c r="A98" t="s">
        <v>43</v>
      </c>
      <c r="F98" s="18">
        <f ca="1">F97*EXP(-$B$4*B$48/365.25)</f>
        <v>2434.9221617487779</v>
      </c>
      <c r="G98" s="42">
        <f ca="1">F98*B$51</f>
        <v>51133.365396724337</v>
      </c>
    </row>
    <row r="99" spans="1:7" hidden="1">
      <c r="A99" t="s">
        <v>44</v>
      </c>
      <c r="G99" s="18">
        <f ca="1">SUM(G95:G96,G98)</f>
        <v>82009.673678150924</v>
      </c>
    </row>
    <row r="100" spans="1:7" hidden="1">
      <c r="A100" t="s">
        <v>25</v>
      </c>
      <c r="G100" s="43">
        <f ca="1">G99/$G$4</f>
        <v>104.18308260617631</v>
      </c>
    </row>
    <row r="101" spans="1:7" hidden="1"/>
    <row r="102" spans="1:7" hidden="1">
      <c r="A102" s="41" t="s">
        <v>48</v>
      </c>
    </row>
    <row r="103" spans="1:7" hidden="1">
      <c r="A103" t="s">
        <v>37</v>
      </c>
      <c r="B103" s="18">
        <f>$G$3*(1+C$8)</f>
        <v>21587.481574819667</v>
      </c>
      <c r="C103" s="18">
        <f>B103*(1+D$8)</f>
        <v>23190.650897351778</v>
      </c>
      <c r="D103" s="18">
        <f>C103*(1+E$8)</f>
        <v>24947.650959138136</v>
      </c>
      <c r="E103" s="18">
        <f>D103*(1+F$8)</f>
        <v>26875.404887193115</v>
      </c>
      <c r="F103" s="18">
        <f>E103*(1+G$8)</f>
        <v>28992.915852008457</v>
      </c>
    </row>
    <row r="104" spans="1:7" hidden="1">
      <c r="A104" t="s">
        <v>38</v>
      </c>
      <c r="B104" s="18">
        <f>B103*C$11</f>
        <v>4965.120762208524</v>
      </c>
      <c r="C104" s="18">
        <f>C103*D$11</f>
        <v>5333.849706390909</v>
      </c>
      <c r="D104" s="18">
        <f>D103*E$11</f>
        <v>5987.4362301931524</v>
      </c>
      <c r="E104" s="18">
        <f>E103*F$11</f>
        <v>6450.0971729263474</v>
      </c>
      <c r="F104" s="18">
        <f>F103*G$11</f>
        <v>6958.2998044820297</v>
      </c>
    </row>
    <row r="105" spans="1:7" hidden="1">
      <c r="A105" t="s">
        <v>39</v>
      </c>
      <c r="B105" s="38">
        <f>B104-(C$12*B104)</f>
        <v>4220.3526478772455</v>
      </c>
      <c r="C105" s="38">
        <f t="shared" ref="C105" si="9">C104-(D$12*C104)</f>
        <v>4000.3872797931817</v>
      </c>
      <c r="D105" s="38">
        <f t="shared" ref="D105" si="10">D104-(E$12*D104)</f>
        <v>4490.5771726448638</v>
      </c>
      <c r="E105" s="38">
        <f t="shared" ref="E105" si="11">E104-(F$12*E104)</f>
        <v>4837.5728796947606</v>
      </c>
      <c r="F105" s="38">
        <f t="shared" ref="F105" si="12">F104-(G$12*F104)</f>
        <v>4870.8098631374214</v>
      </c>
    </row>
    <row r="106" spans="1:7" hidden="1">
      <c r="A106" t="s">
        <v>42</v>
      </c>
      <c r="B106" s="18">
        <f ca="1">B105*EXP(-$B$4*B$42/365.25)</f>
        <v>4195.0087203792318</v>
      </c>
      <c r="C106" s="18">
        <f ca="1">C105*EXP(-$B$4*C$42/365.25)</f>
        <v>3598.2094650741055</v>
      </c>
      <c r="D106" s="18">
        <f ca="1">D105*EXP(-$B$4*D$42/365.25)</f>
        <v>3654.9954946480157</v>
      </c>
      <c r="E106" s="18">
        <f ca="1">E105*EXP(-$B$4*E$42/365.25)</f>
        <v>3561.9972250020169</v>
      </c>
      <c r="F106" s="18">
        <f ca="1">F105*EXP(-$B$4*F$42/365.25)</f>
        <v>3245.3946085705052</v>
      </c>
      <c r="G106" s="18">
        <f ca="1">SUM(B106:F106)</f>
        <v>18255.605513673876</v>
      </c>
    </row>
    <row r="107" spans="1:7" hidden="1">
      <c r="A107" t="s">
        <v>41</v>
      </c>
      <c r="F107" s="38">
        <f>((1+$D$18)/($B$4-$D$18)*(1-(((1+$D$18)/(1+$B$4))^$B$16)))</f>
        <v>4.0092717581387287</v>
      </c>
      <c r="G107" s="18">
        <f ca="1">F107*F106</f>
        <v>13011.668948157421</v>
      </c>
    </row>
    <row r="108" spans="1:7" hidden="1">
      <c r="A108" t="s">
        <v>40</v>
      </c>
      <c r="B108" s="38"/>
      <c r="F108" s="18">
        <f>F105*EXP($C$18*$B$16)</f>
        <v>5383.077408215504</v>
      </c>
    </row>
    <row r="109" spans="1:7" hidden="1">
      <c r="A109" t="s">
        <v>43</v>
      </c>
      <c r="F109" s="18">
        <f ca="1">F108*EXP(-$B$4*B$48/365.25)</f>
        <v>2175.6019701638456</v>
      </c>
      <c r="G109" s="42">
        <f ca="1">F109*B$51</f>
        <v>45687.641373440762</v>
      </c>
    </row>
    <row r="110" spans="1:7" hidden="1">
      <c r="A110" t="s">
        <v>44</v>
      </c>
      <c r="G110" s="18">
        <f ca="1">SUM(G106:G107,G109)</f>
        <v>76954.915835272055</v>
      </c>
    </row>
    <row r="111" spans="1:7" hidden="1">
      <c r="A111" t="s">
        <v>25</v>
      </c>
      <c r="G111" s="43">
        <f ca="1">G110/$G$4</f>
        <v>97.761641936071939</v>
      </c>
    </row>
    <row r="112" spans="1:7" hidden="1"/>
    <row r="113" spans="1:7" hidden="1">
      <c r="A113" s="41" t="s">
        <v>49</v>
      </c>
    </row>
    <row r="114" spans="1:7" hidden="1">
      <c r="A114" t="s">
        <v>37</v>
      </c>
      <c r="B114" s="18">
        <f>$G$3*(1+C$8)</f>
        <v>21587.481574819667</v>
      </c>
      <c r="C114" s="18">
        <f>B114*(1+D$8)</f>
        <v>23190.650897351778</v>
      </c>
      <c r="D114" s="18">
        <f>C114*(1+E$8)</f>
        <v>24947.650959138136</v>
      </c>
      <c r="E114" s="18">
        <f>D114*(1+F$8)</f>
        <v>26875.404887193115</v>
      </c>
      <c r="F114" s="18">
        <f>E114*(1+G$8)</f>
        <v>28992.915852008457</v>
      </c>
    </row>
    <row r="115" spans="1:7" hidden="1">
      <c r="A115" t="s">
        <v>38</v>
      </c>
      <c r="B115" s="18">
        <f>B114*C$11</f>
        <v>4965.120762208524</v>
      </c>
      <c r="C115" s="18">
        <f>C114*D$11</f>
        <v>5333.849706390909</v>
      </c>
      <c r="D115" s="18">
        <f>D114*E$11</f>
        <v>5987.4362301931524</v>
      </c>
      <c r="E115" s="18">
        <f>E114*F$11</f>
        <v>6450.0971729263474</v>
      </c>
      <c r="F115" s="18">
        <f>F114*G$11</f>
        <v>6958.2998044820297</v>
      </c>
    </row>
    <row r="116" spans="1:7" hidden="1">
      <c r="A116" t="s">
        <v>39</v>
      </c>
      <c r="B116" s="38">
        <f>B115-(C$12*B115)</f>
        <v>4220.3526478772455</v>
      </c>
      <c r="C116" s="38">
        <f t="shared" ref="C116" si="13">C115-(D$12*C115)</f>
        <v>4000.3872797931817</v>
      </c>
      <c r="D116" s="38">
        <f t="shared" ref="D116" si="14">D115-(E$12*D115)</f>
        <v>4490.5771726448638</v>
      </c>
      <c r="E116" s="38">
        <f t="shared" ref="E116" si="15">E115-(F$12*E115)</f>
        <v>4837.5728796947606</v>
      </c>
      <c r="F116" s="38">
        <f t="shared" ref="F116" si="16">F115-(G$12*F115)</f>
        <v>4870.8098631374214</v>
      </c>
    </row>
    <row r="117" spans="1:7" hidden="1">
      <c r="A117" t="s">
        <v>42</v>
      </c>
      <c r="B117" s="18">
        <f ca="1">B116*EXP(-$B$4*B$42/365.25)</f>
        <v>4195.0087203792318</v>
      </c>
      <c r="C117" s="18">
        <f ca="1">C116*EXP(-$B$4*C$42/365.25)</f>
        <v>3598.2094650741055</v>
      </c>
      <c r="D117" s="18">
        <f ca="1">D116*EXP(-$B$4*D$42/365.25)</f>
        <v>3654.9954946480157</v>
      </c>
      <c r="E117" s="18">
        <f ca="1">E116*EXP(-$B$4*E$42/365.25)</f>
        <v>3561.9972250020169</v>
      </c>
      <c r="F117" s="18">
        <f ca="1">F116*EXP(-$B$4*F$42/365.25)</f>
        <v>3245.3946085705052</v>
      </c>
      <c r="G117" s="18">
        <f ca="1">SUM(B117:F117)</f>
        <v>18255.605513673876</v>
      </c>
    </row>
    <row r="118" spans="1:7" hidden="1">
      <c r="A118" t="s">
        <v>41</v>
      </c>
      <c r="F118" s="38">
        <f>((1+$D$17)/($B$4-$D$17)*(1-(((1+$D$17)/(1+$B$4))^$B$16)))</f>
        <v>4.6054841458295943</v>
      </c>
      <c r="G118" s="18">
        <f ca="1">F118*F117</f>
        <v>14946.613416732303</v>
      </c>
    </row>
    <row r="119" spans="1:7" hidden="1">
      <c r="A119" t="s">
        <v>40</v>
      </c>
      <c r="B119" s="38"/>
      <c r="F119" s="18">
        <f>F116*EXP($C$17*$B$16)</f>
        <v>6912.0082121462801</v>
      </c>
    </row>
    <row r="120" spans="1:7" hidden="1">
      <c r="A120" t="s">
        <v>43</v>
      </c>
      <c r="F120" s="18">
        <f ca="1">F119*EXP(-$B$4*B$48/365.25)</f>
        <v>2793.5282262863034</v>
      </c>
      <c r="G120" s="42">
        <f ca="1">F120*B$51</f>
        <v>58664.092752012373</v>
      </c>
    </row>
    <row r="121" spans="1:7" hidden="1">
      <c r="A121" t="s">
        <v>44</v>
      </c>
      <c r="G121" s="18">
        <f ca="1">SUM(G117:G118,G120)</f>
        <v>91866.311682418542</v>
      </c>
    </row>
    <row r="122" spans="1:7" hidden="1">
      <c r="A122" t="s">
        <v>25</v>
      </c>
      <c r="G122" s="43">
        <f ca="1">G121/$G$4</f>
        <v>116.70471432791521</v>
      </c>
    </row>
    <row r="123" spans="1:7" hidden="1"/>
    <row r="124" spans="1:7" hidden="1">
      <c r="A124" s="41" t="s">
        <v>50</v>
      </c>
    </row>
    <row r="125" spans="1:7" hidden="1">
      <c r="A125" t="s">
        <v>37</v>
      </c>
      <c r="B125" s="18">
        <f>$G$3*(1+C$8)</f>
        <v>21587.481574819667</v>
      </c>
      <c r="C125" s="18">
        <f>B125*(1+D$8)</f>
        <v>23190.650897351778</v>
      </c>
      <c r="D125" s="18">
        <f>C125*(1+E$8)</f>
        <v>24947.650959138136</v>
      </c>
      <c r="E125" s="18">
        <f>D125*(1+F$8)</f>
        <v>26875.404887193115</v>
      </c>
      <c r="F125" s="18">
        <f>E125*(1+G$8)</f>
        <v>28992.915852008457</v>
      </c>
    </row>
    <row r="126" spans="1:7" hidden="1">
      <c r="A126" t="s">
        <v>38</v>
      </c>
      <c r="B126" s="18">
        <f>B125*C$10</f>
        <v>5396.8703937049168</v>
      </c>
      <c r="C126" s="18">
        <f>C125*D$10</f>
        <v>5797.6627243379444</v>
      </c>
      <c r="D126" s="18">
        <f>D125*E$10</f>
        <v>6486.3892493759158</v>
      </c>
      <c r="E126" s="18">
        <f>E125*F$10</f>
        <v>6987.6052706702103</v>
      </c>
      <c r="F126" s="18">
        <f>F125*G$10</f>
        <v>7538.1581215221986</v>
      </c>
    </row>
    <row r="127" spans="1:7" hidden="1">
      <c r="A127" t="s">
        <v>39</v>
      </c>
      <c r="B127" s="38">
        <f>B126-(C$12*B126)</f>
        <v>4587.3398346491795</v>
      </c>
      <c r="C127" s="38">
        <f t="shared" ref="C127" si="17">C126-(D$12*C126)</f>
        <v>4348.2470432534583</v>
      </c>
      <c r="D127" s="38">
        <f t="shared" ref="D127" si="18">D126-(E$12*D126)</f>
        <v>4864.7919370319369</v>
      </c>
      <c r="E127" s="38">
        <f t="shared" ref="E127" si="19">E126-(F$12*E126)</f>
        <v>5240.7039530026577</v>
      </c>
      <c r="F127" s="38">
        <f t="shared" ref="F127" si="20">F126-(G$12*F126)</f>
        <v>5276.7106850655391</v>
      </c>
    </row>
    <row r="128" spans="1:7" hidden="1">
      <c r="A128" t="s">
        <v>42</v>
      </c>
      <c r="B128" s="18">
        <f ca="1">B127*EXP(-$B$4*B$42/365.25)</f>
        <v>4559.7920873687299</v>
      </c>
      <c r="C128" s="18">
        <f ca="1">C127*EXP(-$B$4*C$42/365.25)</f>
        <v>3911.0972446457668</v>
      </c>
      <c r="D128" s="18">
        <f ca="1">D127*EXP(-$B$4*D$42/365.25)</f>
        <v>3959.5784525353511</v>
      </c>
      <c r="E128" s="18">
        <f ca="1">E127*EXP(-$B$4*E$42/365.25)</f>
        <v>3858.8303270855185</v>
      </c>
      <c r="F128" s="18">
        <f ca="1">F127*EXP(-$B$4*F$42/365.25)</f>
        <v>3515.8441592847134</v>
      </c>
      <c r="G128" s="18">
        <f ca="1">SUM(B128:F128)</f>
        <v>19805.142270920078</v>
      </c>
    </row>
    <row r="129" spans="1:11" hidden="1">
      <c r="A129" t="s">
        <v>41</v>
      </c>
      <c r="F129" s="38">
        <f>((1+$D$18)/($B$4-$D$18)*(1-(((1+$D$18)/(1+$B$4))^$B$16)))</f>
        <v>4.0092717581387287</v>
      </c>
      <c r="G129" s="18">
        <f ca="1">F129*F128</f>
        <v>14095.974693837203</v>
      </c>
    </row>
    <row r="130" spans="1:11" hidden="1">
      <c r="A130" t="s">
        <v>40</v>
      </c>
      <c r="B130" s="38"/>
      <c r="F130" s="18">
        <f>F127*EXP($C$18*$B$16)</f>
        <v>5831.6671922334617</v>
      </c>
    </row>
    <row r="131" spans="1:11" hidden="1">
      <c r="A131" t="s">
        <v>43</v>
      </c>
      <c r="F131" s="18">
        <f ca="1">F130*EXP(-$B$4*B$48/365.25)</f>
        <v>2356.9021343441655</v>
      </c>
      <c r="G131" s="42">
        <f ca="1">F131*B$51</f>
        <v>49494.944821227473</v>
      </c>
    </row>
    <row r="132" spans="1:11" hidden="1">
      <c r="A132" t="s">
        <v>44</v>
      </c>
      <c r="G132" s="18">
        <f ca="1">SUM(G128:G129,G131)</f>
        <v>83396.061785984755</v>
      </c>
    </row>
    <row r="133" spans="1:11" hidden="1">
      <c r="A133" t="s">
        <v>25</v>
      </c>
      <c r="G133" s="43">
        <f ca="1">G132/$G$4</f>
        <v>105.94431613247376</v>
      </c>
    </row>
    <row r="134" spans="1:11" hidden="1"/>
    <row r="135" spans="1:11" hidden="1">
      <c r="A135" s="41" t="s">
        <v>49</v>
      </c>
    </row>
    <row r="136" spans="1:11" hidden="1">
      <c r="A136" t="s">
        <v>37</v>
      </c>
      <c r="B136" s="18">
        <f>$G$3*(1+C$8)</f>
        <v>21587.481574819667</v>
      </c>
      <c r="C136" s="18">
        <f>B136*(1+D$8)</f>
        <v>23190.650897351778</v>
      </c>
      <c r="D136" s="18">
        <f>C136*(1+E$8)</f>
        <v>24947.650959138136</v>
      </c>
      <c r="E136" s="18">
        <f>D136*(1+F$8)</f>
        <v>26875.404887193115</v>
      </c>
      <c r="F136" s="18">
        <f>E136*(1+G$8)</f>
        <v>28992.915852008457</v>
      </c>
    </row>
    <row r="137" spans="1:11" hidden="1">
      <c r="A137" t="s">
        <v>38</v>
      </c>
      <c r="B137" s="18">
        <f>B136*C$10</f>
        <v>5396.8703937049168</v>
      </c>
      <c r="C137" s="18">
        <f>C136*D$10</f>
        <v>5797.6627243379444</v>
      </c>
      <c r="D137" s="18">
        <f>D136*E$10</f>
        <v>6486.3892493759158</v>
      </c>
      <c r="E137" s="18">
        <f>E136*F$10</f>
        <v>6987.6052706702103</v>
      </c>
      <c r="F137" s="18">
        <f>F136*G$10</f>
        <v>7538.1581215221986</v>
      </c>
    </row>
    <row r="138" spans="1:11" hidden="1">
      <c r="A138" t="s">
        <v>39</v>
      </c>
      <c r="B138" s="38">
        <f>B137-(C$12*B137)</f>
        <v>4587.3398346491795</v>
      </c>
      <c r="C138" s="38">
        <f t="shared" ref="C138" si="21">C137-(D$12*C137)</f>
        <v>4348.2470432534583</v>
      </c>
      <c r="D138" s="38">
        <f t="shared" ref="D138" si="22">D137-(E$12*D137)</f>
        <v>4864.7919370319369</v>
      </c>
      <c r="E138" s="38">
        <f t="shared" ref="E138" si="23">E137-(F$12*E137)</f>
        <v>5240.7039530026577</v>
      </c>
      <c r="F138" s="38">
        <f t="shared" ref="F138" si="24">F137-(G$12*F137)</f>
        <v>5276.7106850655391</v>
      </c>
    </row>
    <row r="139" spans="1:11" hidden="1">
      <c r="A139" t="s">
        <v>42</v>
      </c>
      <c r="B139" s="18">
        <f ca="1">B138*EXP(-$B$4*B$42/365.25)</f>
        <v>4559.7920873687299</v>
      </c>
      <c r="C139" s="18">
        <f ca="1">C138*EXP(-$B$4*C$42/365.25)</f>
        <v>3911.0972446457668</v>
      </c>
      <c r="D139" s="18">
        <f ca="1">D138*EXP(-$B$4*D$42/365.25)</f>
        <v>3959.5784525353511</v>
      </c>
      <c r="E139" s="18">
        <f ca="1">E138*EXP(-$B$4*E$42/365.25)</f>
        <v>3858.8303270855185</v>
      </c>
      <c r="F139" s="18">
        <f ca="1">F138*EXP(-$B$4*F$42/365.25)</f>
        <v>3515.8441592847134</v>
      </c>
      <c r="G139" s="18">
        <f ca="1">SUM(B139:F139)</f>
        <v>19805.142270920078</v>
      </c>
      <c r="H139" s="18"/>
      <c r="I139" s="18"/>
      <c r="J139" s="18"/>
      <c r="K139" s="18"/>
    </row>
    <row r="140" spans="1:11" hidden="1">
      <c r="A140" t="s">
        <v>41</v>
      </c>
      <c r="F140" s="38">
        <f>((1+$D$17)/($B$4-$D$17)*(1-(((1+$D$17)/(1+$B$4))^$B$16)))</f>
        <v>4.6054841458295943</v>
      </c>
      <c r="G140" s="18">
        <f ca="1">F140*F139</f>
        <v>16192.164534793326</v>
      </c>
    </row>
    <row r="141" spans="1:11" hidden="1">
      <c r="A141" t="s">
        <v>40</v>
      </c>
      <c r="B141" s="38"/>
      <c r="F141" s="18">
        <f>F138*EXP($C$17*$B$16)</f>
        <v>7488.0088964918023</v>
      </c>
    </row>
    <row r="142" spans="1:11" hidden="1">
      <c r="A142" t="s">
        <v>43</v>
      </c>
      <c r="F142" s="18">
        <f ca="1">F141*EXP(-$B$4*B$48/365.25)</f>
        <v>3026.3222451434945</v>
      </c>
      <c r="G142" s="42">
        <f ca="1">F142*B$51</f>
        <v>63552.767148013387</v>
      </c>
    </row>
    <row r="143" spans="1:11" hidden="1">
      <c r="A143" t="s">
        <v>44</v>
      </c>
      <c r="G143" s="18">
        <f ca="1">SUM(G139:G140,G142)</f>
        <v>99550.073953726795</v>
      </c>
    </row>
    <row r="144" spans="1:11" hidden="1">
      <c r="A144" t="s">
        <v>25</v>
      </c>
      <c r="G144" s="43">
        <f ca="1">G143/$G$4</f>
        <v>126.46597789030399</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70"/>
  <sheetViews>
    <sheetView topLeftCell="A60" workbookViewId="0">
      <selection activeCell="A70" sqref="A70"/>
    </sheetView>
  </sheetViews>
  <sheetFormatPr defaultRowHeight="14.25"/>
  <cols>
    <col min="1" max="1" width="10.73046875" bestFit="1" customWidth="1"/>
    <col min="3" max="3" width="10.730468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19027.599999999999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showGridLines="0" workbookViewId="0"/>
  </sheetViews>
  <sheetFormatPr defaultRowHeight="14.2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4.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2"/>
  <sheetViews>
    <sheetView workbookViewId="0"/>
  </sheetViews>
  <sheetFormatPr defaultRowHeight="14.2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3"/>
  <sheetViews>
    <sheetView workbookViewId="0"/>
  </sheetViews>
  <sheetFormatPr defaultRowHeight="14.25"/>
  <cols>
    <col min="1" max="5" width="6.265625" bestFit="1" customWidth="1"/>
    <col min="6" max="7" width="11" bestFit="1" customWidth="1"/>
    <col min="8" max="8" width="6.1328125" bestFit="1" customWidth="1"/>
    <col min="9" max="10" width="11" bestFit="1" customWidth="1"/>
    <col min="11" max="11" width="6.1328125" bestFit="1" customWidth="1"/>
    <col min="12" max="13" width="11" bestFit="1" customWidth="1"/>
    <col min="14" max="14" width="6.1328125" bestFit="1" customWidth="1"/>
    <col min="15" max="16" width="11" bestFit="1" customWidth="1"/>
    <col min="17" max="17" width="6.1328125" bestFit="1" customWidth="1"/>
    <col min="18" max="19" width="11" bestFit="1" customWidth="1"/>
    <col min="20" max="20" width="6.1328125" bestFit="1" customWidth="1"/>
    <col min="21" max="22" width="11" bestFit="1" customWidth="1"/>
    <col min="23" max="23" width="6.1328125" bestFit="1" customWidth="1"/>
    <col min="24" max="25" width="11" bestFit="1" customWidth="1"/>
    <col min="26" max="26" width="6.1328125" bestFit="1" customWidth="1"/>
    <col min="27" max="28" width="11" bestFit="1" customWidth="1"/>
    <col min="29" max="29" width="6.13281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showGridLines="0" topLeftCell="A10" zoomScaleNormal="100" workbookViewId="0">
      <selection activeCell="H12" sqref="H12"/>
    </sheetView>
  </sheetViews>
  <sheetFormatPr defaultRowHeight="14.25"/>
  <cols>
    <col min="1" max="1" width="38.73046875" bestFit="1" customWidth="1"/>
    <col min="2" max="7" width="11.73046875" customWidth="1"/>
    <col min="8" max="11" width="10.73046875" customWidth="1"/>
    <col min="12" max="12" width="11.59765625" bestFit="1" customWidth="1"/>
  </cols>
  <sheetData>
    <row r="1" spans="1:11" s="9" customFormat="1" ht="14.6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39447</v>
      </c>
      <c r="C2" s="106">
        <f>DATE(YEAR('Valuation Model'!$B3)+C1,MONTH('Valuation Model'!$B3),DAY('Valuation Model'!$B3))</f>
        <v>39813</v>
      </c>
      <c r="D2" s="106">
        <f>DATE(YEAR('Valuation Model'!$B3)+D1,MONTH('Valuation Model'!$B3),DAY('Valuation Model'!$B3))</f>
        <v>40178</v>
      </c>
      <c r="E2" s="106">
        <f>DATE(YEAR('Valuation Model'!$B3)+E1,MONTH('Valuation Model'!$B3),DAY('Valuation Model'!$B3))</f>
        <v>40543</v>
      </c>
      <c r="F2" s="106">
        <f>DATE(YEAR('Valuation Model'!$B3)+F1,MONTH('Valuation Model'!$B3),DAY('Valuation Model'!$B3))</f>
        <v>40908</v>
      </c>
      <c r="G2" s="106">
        <f>DATE(YEAR('Valuation Model'!$B3)+G1,MONTH('Valuation Model'!$B3),DAY('Valuation Model'!$B3))</f>
        <v>41274</v>
      </c>
      <c r="H2" s="106">
        <f>DATE(YEAR('Valuation Model'!$B3)+H1,MONTH('Valuation Model'!$B3),DAY('Valuation Model'!$B3))</f>
        <v>41639</v>
      </c>
      <c r="I2" s="106">
        <f>DATE(YEAR('Valuation Model'!$B3)+I1,MONTH('Valuation Model'!$B3),DAY('Valuation Model'!$B3))</f>
        <v>42004</v>
      </c>
      <c r="J2" s="106">
        <f>DATE(YEAR('Valuation Model'!$B3)+J1,MONTH('Valuation Model'!$B3),DAY('Valuation Model'!$B3))</f>
        <v>42369</v>
      </c>
      <c r="K2" s="106">
        <f>DATE(YEAR('Valuation Model'!$B3)+K1,MONTH('Valuation Model'!$B3),DAY('Valuation Model'!$B3))</f>
        <v>42735</v>
      </c>
    </row>
    <row r="3" spans="1:11">
      <c r="A3" s="1" t="s">
        <v>37</v>
      </c>
      <c r="B3" s="107">
        <v>16283</v>
      </c>
      <c r="C3" s="107">
        <v>17970</v>
      </c>
      <c r="D3" s="107">
        <v>14143</v>
      </c>
      <c r="E3" s="107">
        <v>16965</v>
      </c>
      <c r="F3" s="107">
        <v>19557</v>
      </c>
      <c r="G3" s="107">
        <v>20926</v>
      </c>
      <c r="H3" s="107">
        <v>21963</v>
      </c>
      <c r="I3" s="107">
        <v>23988</v>
      </c>
      <c r="J3" s="107">
        <v>21813</v>
      </c>
      <c r="K3" s="107">
        <v>19941</v>
      </c>
    </row>
    <row r="4" spans="1:11">
      <c r="A4" s="108" t="s">
        <v>131</v>
      </c>
      <c r="B4" s="108"/>
      <c r="C4" s="109">
        <f t="shared" ref="C4:F4" si="0">IFERROR(C3/B3-1,"")</f>
        <v>0.10360498679604491</v>
      </c>
      <c r="D4" s="109">
        <f t="shared" si="0"/>
        <v>-0.21296605453533668</v>
      </c>
      <c r="E4" s="109">
        <f t="shared" si="0"/>
        <v>0.1995333380470905</v>
      </c>
      <c r="F4" s="109">
        <f t="shared" si="0"/>
        <v>0.15278514588859426</v>
      </c>
      <c r="G4" s="109">
        <f>IFERROR(G3/F3-1,"")</f>
        <v>7.0000511325867931E-2</v>
      </c>
      <c r="H4" s="109">
        <f t="shared" ref="H4:K4" si="1">IFERROR(H3/G3-1,"")</f>
        <v>4.9555576794418466E-2</v>
      </c>
      <c r="I4" s="109">
        <f t="shared" si="1"/>
        <v>9.2200519054773888E-2</v>
      </c>
      <c r="J4" s="109">
        <f t="shared" si="1"/>
        <v>-9.0670335167583826E-2</v>
      </c>
      <c r="K4" s="109">
        <f t="shared" si="1"/>
        <v>-8.5820382340805912E-2</v>
      </c>
    </row>
    <row r="5" spans="1:11">
      <c r="A5" s="108" t="s">
        <v>132</v>
      </c>
      <c r="B5" s="108"/>
      <c r="C5" s="108"/>
      <c r="D5" s="108"/>
      <c r="E5" s="109">
        <f>IFERROR(SUM(C3:E3)/SUM(B3:D3)-1,"")</f>
        <v>1.4092073725101351E-2</v>
      </c>
      <c r="F5" s="109">
        <f t="shared" ref="F5:K5" si="2">IFERROR(SUM(D3:F3)/SUM(C3:E3)-1,"")</f>
        <v>3.2336281022046443E-2</v>
      </c>
      <c r="G5" s="109">
        <f t="shared" si="2"/>
        <v>0.13387940392776088</v>
      </c>
      <c r="H5" s="109">
        <f t="shared" si="2"/>
        <v>8.7000417769113048E-2</v>
      </c>
      <c r="I5" s="109">
        <f t="shared" si="2"/>
        <v>7.0957307113346024E-2</v>
      </c>
      <c r="J5" s="109">
        <f t="shared" si="2"/>
        <v>1.3263154746773864E-2</v>
      </c>
      <c r="K5" s="109">
        <f t="shared" si="2"/>
        <v>-2.9838852488046741E-2</v>
      </c>
    </row>
    <row r="6" spans="1:11">
      <c r="A6" s="108" t="s">
        <v>133</v>
      </c>
      <c r="B6" s="108"/>
      <c r="C6" s="108"/>
      <c r="D6" s="108"/>
      <c r="E6" s="108"/>
      <c r="F6" s="110"/>
      <c r="G6" s="109">
        <f>IFERROR(SUM(C3:G3)/SUM(B3:F3)-1,"")</f>
        <v>5.4676275936786034E-2</v>
      </c>
      <c r="H6" s="109">
        <f t="shared" ref="H6:K6" si="3">IFERROR(SUM(D3:H3)/SUM(C3:G3)-1,"")</f>
        <v>4.4584138185147504E-2</v>
      </c>
      <c r="I6" s="109">
        <f t="shared" si="3"/>
        <v>0.1052333411719435</v>
      </c>
      <c r="J6" s="109">
        <f t="shared" si="3"/>
        <v>4.6886333523534995E-2</v>
      </c>
      <c r="K6" s="109">
        <f t="shared" si="3"/>
        <v>3.5474424233465918E-3</v>
      </c>
    </row>
    <row r="8" spans="1:11" s="9" customFormat="1" ht="14.65" thickBot="1">
      <c r="A8" s="59" t="s">
        <v>134</v>
      </c>
      <c r="B8" s="111">
        <f t="shared" ref="B8:J8" si="4">B2</f>
        <v>39447</v>
      </c>
      <c r="C8" s="111">
        <f t="shared" si="4"/>
        <v>39813</v>
      </c>
      <c r="D8" s="111">
        <f t="shared" si="4"/>
        <v>40178</v>
      </c>
      <c r="E8" s="111">
        <f t="shared" si="4"/>
        <v>40543</v>
      </c>
      <c r="F8" s="111">
        <f t="shared" si="4"/>
        <v>40908</v>
      </c>
      <c r="G8" s="111">
        <f t="shared" si="4"/>
        <v>41274</v>
      </c>
      <c r="H8" s="111">
        <f t="shared" si="4"/>
        <v>41639</v>
      </c>
      <c r="I8" s="111">
        <f t="shared" si="4"/>
        <v>42004</v>
      </c>
      <c r="J8" s="111">
        <f t="shared" si="4"/>
        <v>42369</v>
      </c>
      <c r="K8" s="111">
        <f>K2</f>
        <v>42735</v>
      </c>
    </row>
    <row r="9" spans="1:11">
      <c r="A9" s="112" t="s">
        <v>135</v>
      </c>
      <c r="B9" s="113">
        <v>3277</v>
      </c>
      <c r="C9" s="113">
        <v>4044</v>
      </c>
      <c r="D9" s="113">
        <v>3204</v>
      </c>
      <c r="E9" s="113">
        <v>4105</v>
      </c>
      <c r="F9" s="113">
        <v>5873</v>
      </c>
      <c r="G9" s="113">
        <v>6161</v>
      </c>
      <c r="H9" s="113">
        <v>6823</v>
      </c>
      <c r="I9" s="113">
        <v>7385</v>
      </c>
      <c r="J9" s="113">
        <v>7344</v>
      </c>
      <c r="K9" s="113">
        <v>7525</v>
      </c>
    </row>
    <row r="10" spans="1:11">
      <c r="A10" s="114" t="s">
        <v>136</v>
      </c>
      <c r="B10" s="113">
        <v>-1374.914</v>
      </c>
      <c r="C10" s="113">
        <v>-1367.2485000000001</v>
      </c>
      <c r="D10" s="113">
        <v>-1465.8330000000001</v>
      </c>
      <c r="E10" s="113">
        <v>-1509.2411000000002</v>
      </c>
      <c r="F10" s="113">
        <v>-1664.902</v>
      </c>
      <c r="G10" s="113">
        <v>-1790.6415999999999</v>
      </c>
      <c r="H10" s="113">
        <v>-1803.6851999999999</v>
      </c>
      <c r="I10" s="113">
        <v>-1918.4038</v>
      </c>
      <c r="J10" s="113">
        <v>-2026.6774999999998</v>
      </c>
      <c r="K10" s="113">
        <v>-2080</v>
      </c>
    </row>
    <row r="11" spans="1:11">
      <c r="A11" s="115" t="s">
        <v>137</v>
      </c>
      <c r="B11" s="5">
        <f t="shared" ref="B11:K11" si="5">B9+B10</f>
        <v>1902.086</v>
      </c>
      <c r="C11" s="5">
        <f t="shared" si="5"/>
        <v>2676.7514999999999</v>
      </c>
      <c r="D11" s="5">
        <f t="shared" si="5"/>
        <v>1738.1669999999999</v>
      </c>
      <c r="E11" s="5">
        <f t="shared" si="5"/>
        <v>2595.7588999999998</v>
      </c>
      <c r="F11" s="5">
        <f t="shared" si="5"/>
        <v>4208.098</v>
      </c>
      <c r="G11" s="5">
        <f t="shared" si="5"/>
        <v>4370.3584000000001</v>
      </c>
      <c r="H11" s="5">
        <f t="shared" si="5"/>
        <v>5019.3148000000001</v>
      </c>
      <c r="I11" s="5">
        <f t="shared" si="5"/>
        <v>5466.5962</v>
      </c>
      <c r="J11" s="5">
        <f t="shared" si="5"/>
        <v>5317.3225000000002</v>
      </c>
      <c r="K11" s="5">
        <f t="shared" si="5"/>
        <v>5445</v>
      </c>
    </row>
    <row r="12" spans="1:11">
      <c r="A12" s="108" t="s">
        <v>127</v>
      </c>
      <c r="B12" s="109">
        <f t="shared" ref="B12:K12" si="6">IFERROR(B11/B$3,"")</f>
        <v>0.11681422342320211</v>
      </c>
      <c r="C12" s="109">
        <f t="shared" si="6"/>
        <v>0.14895667779632721</v>
      </c>
      <c r="D12" s="109">
        <f t="shared" si="6"/>
        <v>0.12289945556105493</v>
      </c>
      <c r="E12" s="109">
        <f t="shared" si="6"/>
        <v>0.15300671382257588</v>
      </c>
      <c r="F12" s="109">
        <f t="shared" si="6"/>
        <v>0.21517093623766426</v>
      </c>
      <c r="G12" s="109">
        <f t="shared" si="6"/>
        <v>0.2088482462008984</v>
      </c>
      <c r="H12" s="109">
        <f t="shared" si="6"/>
        <v>0.22853502709101672</v>
      </c>
      <c r="I12" s="109">
        <f t="shared" si="6"/>
        <v>0.22788878605969651</v>
      </c>
      <c r="J12" s="109">
        <f t="shared" si="6"/>
        <v>0.24376850960436439</v>
      </c>
      <c r="K12" s="109">
        <f t="shared" si="6"/>
        <v>0.27305551376560855</v>
      </c>
    </row>
    <row r="13" spans="1:11">
      <c r="A13" s="108" t="s">
        <v>138</v>
      </c>
      <c r="B13" s="108"/>
      <c r="C13" s="109">
        <f t="shared" ref="C13:F13" si="7">IFERROR(C11/B11-1,"")</f>
        <v>0.40727154292708101</v>
      </c>
      <c r="D13" s="109">
        <f t="shared" si="7"/>
        <v>-0.35064312096210648</v>
      </c>
      <c r="E13" s="109">
        <f t="shared" si="7"/>
        <v>0.49338866748707111</v>
      </c>
      <c r="F13" s="109">
        <f t="shared" si="7"/>
        <v>0.62114362778453747</v>
      </c>
      <c r="G13" s="109">
        <f>IFERROR(G11/F11-1,"")</f>
        <v>3.855908298713584E-2</v>
      </c>
      <c r="H13" s="109">
        <f t="shared" ref="H13:K13" si="8">IFERROR(H11/G11-1,"")</f>
        <v>0.14849043044158572</v>
      </c>
      <c r="I13" s="109">
        <f t="shared" si="8"/>
        <v>8.9112043739515867E-2</v>
      </c>
      <c r="J13" s="109">
        <f t="shared" si="8"/>
        <v>-2.7306516621805721E-2</v>
      </c>
      <c r="K13" s="109">
        <f t="shared" si="8"/>
        <v>2.4011614868197251E-2</v>
      </c>
    </row>
    <row r="14" spans="1:11">
      <c r="A14" s="108" t="s">
        <v>139</v>
      </c>
      <c r="B14" s="108"/>
      <c r="C14" s="108"/>
      <c r="D14" s="108"/>
      <c r="E14" s="109">
        <f>IFERROR(SUM(C11:E11)/SUM(B11:D11)-1,"")</f>
        <v>0.10981041726343554</v>
      </c>
      <c r="F14" s="109">
        <f t="shared" ref="F14:K14" si="9">IFERROR(SUM(D11:F11)/SUM(C11:E11)-1,"")</f>
        <v>0.21843060415246041</v>
      </c>
      <c r="G14" s="109">
        <f t="shared" si="9"/>
        <v>0.30814610574901335</v>
      </c>
      <c r="H14" s="109">
        <f t="shared" si="9"/>
        <v>0.21688824091298819</v>
      </c>
      <c r="I14" s="109">
        <f t="shared" si="9"/>
        <v>9.2551799959687653E-2</v>
      </c>
      <c r="J14" s="109">
        <f t="shared" si="9"/>
        <v>6.3741715669211052E-2</v>
      </c>
      <c r="K14" s="109">
        <f t="shared" si="9"/>
        <v>2.6936588641811809E-2</v>
      </c>
    </row>
    <row r="15" spans="1:11">
      <c r="A15" s="108" t="s">
        <v>133</v>
      </c>
      <c r="B15" s="108"/>
      <c r="C15" s="108"/>
      <c r="D15" s="108"/>
      <c r="E15" s="108"/>
      <c r="F15" s="109"/>
      <c r="G15" s="109">
        <f>IFERROR(SUM(C11:G11)/SUM(B11:F11)-1,"")</f>
        <v>0.18811816730264375</v>
      </c>
      <c r="H15" s="109">
        <f t="shared" ref="H15:K15" si="10">IFERROR(SUM(D11:H11)/SUM(C11:G11)-1,"")</f>
        <v>0.15026898415613066</v>
      </c>
      <c r="I15" s="109">
        <f t="shared" si="10"/>
        <v>0.20792394491205179</v>
      </c>
      <c r="J15" s="109">
        <f t="shared" si="10"/>
        <v>0.12564855635213901</v>
      </c>
      <c r="K15" s="109">
        <f t="shared" si="10"/>
        <v>5.0730773997744949E-2</v>
      </c>
    </row>
    <row r="16" spans="1:11" s="9" customFormat="1">
      <c r="A16"/>
      <c r="B16"/>
      <c r="C16"/>
      <c r="D16"/>
      <c r="E16"/>
      <c r="F16"/>
      <c r="G16"/>
      <c r="H16"/>
      <c r="I16"/>
      <c r="J16"/>
      <c r="K16"/>
    </row>
    <row r="17" spans="1:11" s="9" customFormat="1" ht="14.65" thickBot="1">
      <c r="A17" s="59" t="s">
        <v>140</v>
      </c>
      <c r="B17" s="111">
        <f t="shared" ref="B17:J17" si="11">B2</f>
        <v>39447</v>
      </c>
      <c r="C17" s="111">
        <f t="shared" si="11"/>
        <v>39813</v>
      </c>
      <c r="D17" s="111">
        <f t="shared" si="11"/>
        <v>40178</v>
      </c>
      <c r="E17" s="111">
        <f t="shared" si="11"/>
        <v>40543</v>
      </c>
      <c r="F17" s="111">
        <f t="shared" si="11"/>
        <v>40908</v>
      </c>
      <c r="G17" s="111">
        <f t="shared" si="11"/>
        <v>41274</v>
      </c>
      <c r="H17" s="111">
        <f t="shared" si="11"/>
        <v>41639</v>
      </c>
      <c r="I17" s="111">
        <f t="shared" si="11"/>
        <v>42004</v>
      </c>
      <c r="J17" s="111">
        <f t="shared" si="11"/>
        <v>42369</v>
      </c>
      <c r="K17" s="111">
        <f>K2</f>
        <v>42735</v>
      </c>
    </row>
    <row r="18" spans="1:11">
      <c r="A18" s="112" t="s">
        <v>141</v>
      </c>
      <c r="B18" s="113">
        <v>-3117</v>
      </c>
      <c r="C18" s="113">
        <v>-3142</v>
      </c>
      <c r="D18" s="113">
        <v>-2454</v>
      </c>
      <c r="E18" s="113">
        <v>-2482</v>
      </c>
      <c r="F18" s="113">
        <v>-3261</v>
      </c>
      <c r="G18" s="113">
        <v>-4012</v>
      </c>
      <c r="H18" s="113">
        <v>-3496</v>
      </c>
      <c r="I18" s="113">
        <v>-4346</v>
      </c>
      <c r="J18" s="113">
        <v>-4650</v>
      </c>
      <c r="K18" s="113">
        <v>-3505</v>
      </c>
    </row>
    <row r="19" spans="1:11" s="117" customFormat="1">
      <c r="A19" s="114" t="s">
        <v>178</v>
      </c>
      <c r="B19" s="116">
        <f t="shared" ref="B19:K19" si="12">B18-B10</f>
        <v>-1742.086</v>
      </c>
      <c r="C19" s="116">
        <f t="shared" si="12"/>
        <v>-1774.7514999999999</v>
      </c>
      <c r="D19" s="116">
        <f t="shared" si="12"/>
        <v>-988.16699999999992</v>
      </c>
      <c r="E19" s="116">
        <f t="shared" si="12"/>
        <v>-972.75889999999981</v>
      </c>
      <c r="F19" s="116">
        <f t="shared" si="12"/>
        <v>-1596.098</v>
      </c>
      <c r="G19" s="116">
        <f t="shared" si="12"/>
        <v>-2221.3584000000001</v>
      </c>
      <c r="H19" s="116">
        <f t="shared" si="12"/>
        <v>-1692.3148000000001</v>
      </c>
      <c r="I19" s="116">
        <f t="shared" si="12"/>
        <v>-2427.5962</v>
      </c>
      <c r="J19" s="116">
        <f t="shared" si="12"/>
        <v>-2623.3225000000002</v>
      </c>
      <c r="K19" s="116">
        <f t="shared" si="12"/>
        <v>-1425</v>
      </c>
    </row>
    <row r="20" spans="1:11" s="117" customFormat="1">
      <c r="A20" s="114" t="s">
        <v>142</v>
      </c>
      <c r="B20" s="113">
        <v>133</v>
      </c>
      <c r="C20" s="113">
        <v>122</v>
      </c>
      <c r="D20" s="113">
        <v>93</v>
      </c>
      <c r="E20" s="113">
        <v>187</v>
      </c>
      <c r="F20" s="113">
        <v>67</v>
      </c>
      <c r="G20" s="113">
        <v>108</v>
      </c>
      <c r="H20" s="113">
        <v>80</v>
      </c>
      <c r="I20" s="113">
        <v>98</v>
      </c>
      <c r="J20" s="113">
        <v>138</v>
      </c>
      <c r="K20" s="113">
        <v>129</v>
      </c>
    </row>
    <row r="21" spans="1:11" s="117" customFormat="1">
      <c r="A21" s="114" t="s">
        <v>143</v>
      </c>
      <c r="B21" s="113">
        <v>0</v>
      </c>
      <c r="C21" s="113">
        <v>0</v>
      </c>
      <c r="D21" s="113">
        <v>0</v>
      </c>
      <c r="E21" s="113">
        <v>0</v>
      </c>
      <c r="F21" s="113">
        <v>0</v>
      </c>
      <c r="G21" s="113">
        <v>0</v>
      </c>
      <c r="H21" s="113">
        <v>0</v>
      </c>
      <c r="I21" s="113">
        <v>0</v>
      </c>
      <c r="J21" s="113">
        <v>0</v>
      </c>
      <c r="K21" s="113">
        <v>0</v>
      </c>
    </row>
    <row r="22" spans="1:11">
      <c r="A22" s="112" t="s">
        <v>144</v>
      </c>
      <c r="B22" s="113">
        <v>0</v>
      </c>
      <c r="C22" s="113">
        <v>0</v>
      </c>
      <c r="D22" s="113">
        <v>0</v>
      </c>
      <c r="E22" s="113">
        <v>0</v>
      </c>
      <c r="F22" s="113">
        <v>0</v>
      </c>
      <c r="G22" s="113">
        <v>0</v>
      </c>
      <c r="H22" s="113">
        <v>0</v>
      </c>
      <c r="I22" s="113">
        <v>0</v>
      </c>
      <c r="J22" s="113">
        <v>0</v>
      </c>
      <c r="K22" s="113">
        <v>0</v>
      </c>
    </row>
    <row r="23" spans="1:11">
      <c r="A23" s="112" t="s">
        <v>189</v>
      </c>
      <c r="B23" s="113">
        <v>0</v>
      </c>
      <c r="C23" s="113">
        <v>0</v>
      </c>
      <c r="D23" s="113">
        <v>0</v>
      </c>
      <c r="E23" s="113">
        <v>0</v>
      </c>
      <c r="F23" s="113">
        <v>0</v>
      </c>
      <c r="G23" s="113">
        <v>0</v>
      </c>
      <c r="H23" s="113">
        <v>0</v>
      </c>
      <c r="I23" s="113">
        <v>0</v>
      </c>
      <c r="J23" s="113">
        <v>0</v>
      </c>
      <c r="K23" s="113">
        <v>0</v>
      </c>
    </row>
    <row r="24" spans="1:11">
      <c r="A24" s="118" t="s">
        <v>145</v>
      </c>
      <c r="B24" s="119">
        <v>28.394028916300002</v>
      </c>
      <c r="C24" s="119">
        <v>33.1717194111</v>
      </c>
      <c r="D24" s="119">
        <v>26.6213492063</v>
      </c>
      <c r="E24" s="119">
        <v>38.2781845238</v>
      </c>
      <c r="F24" s="119">
        <v>48.481746031699998</v>
      </c>
      <c r="G24" s="119">
        <v>58.356635199999999</v>
      </c>
      <c r="H24" s="119">
        <v>75.412143452400002</v>
      </c>
      <c r="I24" s="119">
        <v>100.368025362</v>
      </c>
      <c r="J24" s="119">
        <v>99.436904761899996</v>
      </c>
      <c r="K24" s="119">
        <v>88.520198412698434</v>
      </c>
    </row>
    <row r="25" spans="1:11">
      <c r="A25" s="120" t="s">
        <v>146</v>
      </c>
      <c r="B25" s="121">
        <v>1.8</v>
      </c>
      <c r="C25" s="121">
        <v>3.7</v>
      </c>
      <c r="D25" s="121">
        <v>6.8</v>
      </c>
      <c r="E25" s="121">
        <v>3.2</v>
      </c>
      <c r="F25" s="121">
        <v>3.1</v>
      </c>
      <c r="G25" s="121">
        <v>2.4</v>
      </c>
      <c r="H25" s="121">
        <v>2</v>
      </c>
      <c r="I25" s="121">
        <v>3.4</v>
      </c>
      <c r="J25" s="121">
        <v>1.1000000000000001</v>
      </c>
      <c r="K25" s="121">
        <v>1.7</v>
      </c>
    </row>
    <row r="26" spans="1:11">
      <c r="A26" s="122" t="s">
        <v>147</v>
      </c>
      <c r="B26" s="123">
        <v>0</v>
      </c>
      <c r="C26" s="123">
        <v>0</v>
      </c>
      <c r="D26" s="123">
        <v>0</v>
      </c>
      <c r="E26" s="123">
        <v>0</v>
      </c>
      <c r="F26" s="123">
        <v>0</v>
      </c>
      <c r="G26" s="123">
        <v>0</v>
      </c>
      <c r="H26" s="123">
        <v>0</v>
      </c>
      <c r="I26" s="123">
        <v>0</v>
      </c>
      <c r="J26" s="123">
        <v>0</v>
      </c>
      <c r="K26" s="123">
        <v>0</v>
      </c>
    </row>
    <row r="27" spans="1:11">
      <c r="A27" s="112" t="s">
        <v>148</v>
      </c>
      <c r="B27" s="124">
        <f t="shared" ref="B27:E27" si="13">-B24*B25+B26</f>
        <v>-51.109252049340007</v>
      </c>
      <c r="C27" s="124">
        <f t="shared" si="13"/>
        <v>-122.73536182107</v>
      </c>
      <c r="D27" s="124">
        <f t="shared" si="13"/>
        <v>-181.02517460284</v>
      </c>
      <c r="E27" s="124">
        <f t="shared" si="13"/>
        <v>-122.49019047616001</v>
      </c>
      <c r="F27" s="124">
        <f>-F24*F25+F26</f>
        <v>-150.29341269827</v>
      </c>
      <c r="G27" s="124">
        <f t="shared" ref="G27:K27" si="14">-G24*G25+G26</f>
        <v>-140.05592447999999</v>
      </c>
      <c r="H27" s="124">
        <f t="shared" si="14"/>
        <v>-150.8242869048</v>
      </c>
      <c r="I27" s="124">
        <f t="shared" si="14"/>
        <v>-341.25128623079996</v>
      </c>
      <c r="J27" s="124">
        <f t="shared" si="14"/>
        <v>-109.38059523809001</v>
      </c>
      <c r="K27" s="124">
        <f t="shared" si="14"/>
        <v>-150.48433730158735</v>
      </c>
    </row>
    <row r="28" spans="1:11">
      <c r="A28" s="1" t="s">
        <v>149</v>
      </c>
      <c r="B28" s="5">
        <f>B19+B20+B21+B22+B23+B27</f>
        <v>-1660.1952520493401</v>
      </c>
      <c r="C28" s="5">
        <f t="shared" ref="C28:K28" si="15">C19+C20+C21+C22+C23+C27</f>
        <v>-1775.4868618210699</v>
      </c>
      <c r="D28" s="5">
        <f t="shared" si="15"/>
        <v>-1076.1921746028399</v>
      </c>
      <c r="E28" s="5">
        <f t="shared" si="15"/>
        <v>-908.24909047615984</v>
      </c>
      <c r="F28" s="5">
        <f t="shared" si="15"/>
        <v>-1679.39141269827</v>
      </c>
      <c r="G28" s="5">
        <f t="shared" si="15"/>
        <v>-2253.4143244800002</v>
      </c>
      <c r="H28" s="5">
        <f t="shared" si="15"/>
        <v>-1763.1390869048</v>
      </c>
      <c r="I28" s="5">
        <f t="shared" si="15"/>
        <v>-2670.8474862307999</v>
      </c>
      <c r="J28" s="5">
        <f t="shared" si="15"/>
        <v>-2594.7030952380901</v>
      </c>
      <c r="K28" s="5">
        <f t="shared" si="15"/>
        <v>-1446.4843373015874</v>
      </c>
    </row>
    <row r="29" spans="1:11">
      <c r="A29" s="108" t="s">
        <v>150</v>
      </c>
      <c r="B29" s="109">
        <f t="shared" ref="B29:E29" si="16">IFERROR(-B28/B11,"")</f>
        <v>0.87282870072611862</v>
      </c>
      <c r="C29" s="109">
        <f t="shared" si="16"/>
        <v>0.6632991003539439</v>
      </c>
      <c r="D29" s="109">
        <f t="shared" si="16"/>
        <v>0.61915349595455438</v>
      </c>
      <c r="E29" s="109">
        <f t="shared" si="16"/>
        <v>0.34989732308195493</v>
      </c>
      <c r="F29" s="109">
        <f>IFERROR(-F28/F11,"")</f>
        <v>0.39908562317186291</v>
      </c>
      <c r="G29" s="109">
        <f t="shared" ref="G29:K29" si="17">IFERROR(-G28/G11,"")</f>
        <v>0.5156131644672437</v>
      </c>
      <c r="H29" s="109">
        <f t="shared" si="17"/>
        <v>0.35127087205305391</v>
      </c>
      <c r="I29" s="109">
        <f t="shared" si="17"/>
        <v>0.4885759599786792</v>
      </c>
      <c r="J29" s="109">
        <f t="shared" si="17"/>
        <v>0.48797173676001221</v>
      </c>
      <c r="K29" s="109">
        <f t="shared" si="17"/>
        <v>0.26565368912793158</v>
      </c>
    </row>
    <row r="31" spans="1:11" s="9" customFormat="1" ht="14.65" thickBot="1">
      <c r="A31" s="59" t="s">
        <v>151</v>
      </c>
      <c r="B31" s="111">
        <f t="shared" ref="B31:J31" si="18">B2</f>
        <v>39447</v>
      </c>
      <c r="C31" s="111">
        <f t="shared" si="18"/>
        <v>39813</v>
      </c>
      <c r="D31" s="111">
        <f t="shared" si="18"/>
        <v>40178</v>
      </c>
      <c r="E31" s="111">
        <f t="shared" si="18"/>
        <v>40543</v>
      </c>
      <c r="F31" s="111">
        <f t="shared" si="18"/>
        <v>40908</v>
      </c>
      <c r="G31" s="111">
        <f t="shared" si="18"/>
        <v>41274</v>
      </c>
      <c r="H31" s="111">
        <f t="shared" si="18"/>
        <v>41639</v>
      </c>
      <c r="I31" s="111">
        <f t="shared" si="18"/>
        <v>42004</v>
      </c>
      <c r="J31" s="111">
        <f t="shared" si="18"/>
        <v>42369</v>
      </c>
      <c r="K31" s="111">
        <f>K2</f>
        <v>42735</v>
      </c>
    </row>
    <row r="32" spans="1:11" ht="14.65" thickBot="1">
      <c r="A32" s="125" t="s">
        <v>152</v>
      </c>
      <c r="B32" s="4">
        <f t="shared" ref="B32:K32" si="19">B11+B28</f>
        <v>241.89074795065994</v>
      </c>
      <c r="C32" s="4">
        <f t="shared" si="19"/>
        <v>901.26463817893</v>
      </c>
      <c r="D32" s="4">
        <f t="shared" si="19"/>
        <v>661.97482539715998</v>
      </c>
      <c r="E32" s="4">
        <f t="shared" si="19"/>
        <v>1687.50980952384</v>
      </c>
      <c r="F32" s="4">
        <f t="shared" si="19"/>
        <v>2528.70658730173</v>
      </c>
      <c r="G32" s="4">
        <f t="shared" si="19"/>
        <v>2116.9440755199998</v>
      </c>
      <c r="H32" s="4">
        <f t="shared" si="19"/>
        <v>3256.1757130952001</v>
      </c>
      <c r="I32" s="4">
        <f t="shared" si="19"/>
        <v>2795.7487137692001</v>
      </c>
      <c r="J32" s="4">
        <f t="shared" si="19"/>
        <v>2722.6194047619101</v>
      </c>
      <c r="K32" s="4">
        <f t="shared" si="19"/>
        <v>3998.5156626984126</v>
      </c>
    </row>
    <row r="33" spans="1:11" ht="14.65" thickTop="1">
      <c r="A33" s="108" t="s">
        <v>128</v>
      </c>
      <c r="B33" s="109">
        <f t="shared" ref="B33:K33" si="20">IFERROR(B32/B$3,"")</f>
        <v>1.4855416566398081E-2</v>
      </c>
      <c r="C33" s="109">
        <f t="shared" si="20"/>
        <v>5.0153847422311076E-2</v>
      </c>
      <c r="D33" s="109">
        <f t="shared" si="20"/>
        <v>4.6805827999516367E-2</v>
      </c>
      <c r="E33" s="109">
        <f t="shared" si="20"/>
        <v>9.9470074242489825E-2</v>
      </c>
      <c r="F33" s="109">
        <f t="shared" si="20"/>
        <v>0.12929930906078285</v>
      </c>
      <c r="G33" s="109">
        <f t="shared" si="20"/>
        <v>0.10116334108381916</v>
      </c>
      <c r="H33" s="109">
        <f t="shared" si="20"/>
        <v>0.14825732883008697</v>
      </c>
      <c r="I33" s="109">
        <f t="shared" si="20"/>
        <v>0.11654780364220443</v>
      </c>
      <c r="J33" s="109">
        <f t="shared" si="20"/>
        <v>0.12481636660532298</v>
      </c>
      <c r="K33" s="109">
        <f t="shared" si="20"/>
        <v>0.20051730919705194</v>
      </c>
    </row>
    <row r="34" spans="1:11">
      <c r="A34" s="108" t="s">
        <v>138</v>
      </c>
      <c r="B34" s="108"/>
      <c r="C34" s="109">
        <f t="shared" ref="C34:F34" si="21">IFERROR(C32/B32-1,"")</f>
        <v>2.7259161245917802</v>
      </c>
      <c r="D34" s="109">
        <f t="shared" si="21"/>
        <v>-0.2655044951783222</v>
      </c>
      <c r="E34" s="109">
        <f t="shared" si="21"/>
        <v>1.5492054150418753</v>
      </c>
      <c r="F34" s="109">
        <f t="shared" si="21"/>
        <v>0.49848408171046321</v>
      </c>
      <c r="G34" s="109">
        <f>IFERROR(G32/F32-1,"")</f>
        <v>-0.1628352272459983</v>
      </c>
      <c r="H34" s="109">
        <f t="shared" ref="H34:K34" si="22">IFERROR(H32/G32-1,"")</f>
        <v>0.53814914184512075</v>
      </c>
      <c r="I34" s="109">
        <f t="shared" si="22"/>
        <v>-0.14140115273089338</v>
      </c>
      <c r="J34" s="109">
        <f t="shared" si="22"/>
        <v>-2.6157325458874281E-2</v>
      </c>
      <c r="K34" s="109">
        <f t="shared" si="22"/>
        <v>0.46862820991613341</v>
      </c>
    </row>
    <row r="35" spans="1:11">
      <c r="A35" s="108" t="s">
        <v>139</v>
      </c>
      <c r="B35" s="108"/>
      <c r="C35" s="108"/>
      <c r="D35" s="108"/>
      <c r="E35" s="109">
        <f>IFERROR(SUM(C32:E32)/SUM(B32:D32)-1,"")</f>
        <v>0.80083921500072797</v>
      </c>
      <c r="F35" s="109">
        <f t="shared" ref="F35" si="23">IFERROR(SUM(D32:F32)/SUM(C32:E32)-1,"")</f>
        <v>0.5006359495609034</v>
      </c>
      <c r="G35" s="109">
        <f t="shared" ref="G35:K35" si="24">IFERROR(SUM(E32:G32)/SUM(D32:F32)-1,"")</f>
        <v>0.29825998691783306</v>
      </c>
      <c r="H35" s="109">
        <f t="shared" si="24"/>
        <v>0.24769085047206851</v>
      </c>
      <c r="I35" s="109">
        <f t="shared" si="24"/>
        <v>3.3794987862724613E-2</v>
      </c>
      <c r="J35" s="109">
        <f t="shared" si="24"/>
        <v>7.4144335787155624E-2</v>
      </c>
      <c r="K35" s="109">
        <f t="shared" si="24"/>
        <v>8.4601543265141466E-2</v>
      </c>
    </row>
    <row r="36" spans="1:11">
      <c r="A36" s="108" t="s">
        <v>133</v>
      </c>
      <c r="B36" s="108"/>
      <c r="C36" s="108"/>
      <c r="D36" s="108"/>
      <c r="E36" s="108"/>
      <c r="F36" s="109"/>
      <c r="G36" s="109">
        <f>IFERROR(SUM(C32:G32)/SUM(B32:F32)-1,"")</f>
        <v>0.31140099541328836</v>
      </c>
      <c r="H36" s="109">
        <f t="shared" ref="H36" si="25">IFERROR(SUM(D32:H32)/SUM(C32:G32)-1,"")</f>
        <v>0.29822591231777662</v>
      </c>
      <c r="I36" s="109">
        <f t="shared" ref="I36:K36" si="26">IFERROR(SUM(E32:I32)/SUM(D32:H32)-1,"")</f>
        <v>0.20814643962281165</v>
      </c>
      <c r="J36" s="109">
        <f t="shared" si="26"/>
        <v>8.3577109374849634E-2</v>
      </c>
      <c r="K36" s="109">
        <f t="shared" si="26"/>
        <v>0.10952218881810905</v>
      </c>
    </row>
    <row r="38" spans="1:11" s="9" customFormat="1" ht="14.65" thickBot="1">
      <c r="A38" s="59" t="s">
        <v>153</v>
      </c>
      <c r="B38" s="126">
        <f t="shared" ref="B38:E38" si="27">B2</f>
        <v>39447</v>
      </c>
      <c r="C38" s="126">
        <f t="shared" si="27"/>
        <v>39813</v>
      </c>
      <c r="D38" s="126">
        <f t="shared" si="27"/>
        <v>40178</v>
      </c>
      <c r="E38" s="126">
        <f t="shared" si="27"/>
        <v>40543</v>
      </c>
      <c r="F38" s="126">
        <f>F2</f>
        <v>40908</v>
      </c>
      <c r="G38" s="126">
        <f t="shared" ref="G38:K38" si="28">G2</f>
        <v>41274</v>
      </c>
      <c r="H38" s="126">
        <f t="shared" si="28"/>
        <v>41639</v>
      </c>
      <c r="I38" s="126">
        <f t="shared" si="28"/>
        <v>42004</v>
      </c>
      <c r="J38" s="126">
        <f t="shared" si="28"/>
        <v>42369</v>
      </c>
      <c r="K38" s="126">
        <f t="shared" si="28"/>
        <v>42735</v>
      </c>
    </row>
    <row r="39" spans="1:11" s="117" customFormat="1" ht="14.65" thickBot="1">
      <c r="A39" s="127" t="s">
        <v>154</v>
      </c>
      <c r="B39" s="128">
        <f>VLOOKUP(B38,'GDP Data'!$A$2:$B$62,2,TRUE)</f>
        <v>14690</v>
      </c>
      <c r="C39" s="128">
        <f>VLOOKUP(C38,'GDP Data'!$A$2:$B$62,2,TRUE)</f>
        <v>14549.9</v>
      </c>
      <c r="D39" s="128">
        <f>VLOOKUP(D38,'GDP Data'!$A$2:$B$62,2,TRUE)</f>
        <v>14566.5</v>
      </c>
      <c r="E39" s="128">
        <f>VLOOKUP(E38,'GDP Data'!$A$2:$B$62,2,TRUE)</f>
        <v>15230.2</v>
      </c>
      <c r="F39" s="128">
        <f>VLOOKUP(F38,'GDP Data'!$A$2:$B$62,2,TRUE)</f>
        <v>15785.3</v>
      </c>
      <c r="G39" s="128">
        <f>VLOOKUP(G38,'GDP Data'!$A$2:$B$62,2,TRUE)</f>
        <v>16332.5</v>
      </c>
      <c r="H39" s="128">
        <f>VLOOKUP(H38,'GDP Data'!$A$2:$B$62,2,TRUE)</f>
        <v>17078.3</v>
      </c>
      <c r="I39" s="128">
        <f>VLOOKUP(I38,'GDP Data'!$A$2:$B$62,2,TRUE)</f>
        <v>17703.7</v>
      </c>
      <c r="J39" s="128">
        <f>VLOOKUP(J38,'GDP Data'!$A$2:$B$62,2,TRUE)</f>
        <v>17665</v>
      </c>
      <c r="K39" s="128">
        <f>VLOOKUP(K38,'GDP Data'!$A$2:$B$62,2,TRUE)</f>
        <v>17665</v>
      </c>
    </row>
    <row r="40" spans="1:11">
      <c r="A40" t="s">
        <v>155</v>
      </c>
      <c r="C40" s="129">
        <f t="shared" ref="C40" si="29">C39/B39-1</f>
        <v>-9.5371000680735118E-3</v>
      </c>
      <c r="D40" s="129">
        <f t="shared" ref="D40" si="30">D39/C39-1</f>
        <v>1.1409013120364797E-3</v>
      </c>
      <c r="E40" s="129">
        <f t="shared" ref="E40:F40" si="31">E39/D39-1</f>
        <v>4.5563450382727577E-2</v>
      </c>
      <c r="F40" s="129">
        <f t="shared" si="31"/>
        <v>3.6447321768591223E-2</v>
      </c>
      <c r="G40" s="129">
        <f>G39/F39-1</f>
        <v>3.4665163158128287E-2</v>
      </c>
      <c r="H40" s="129">
        <f t="shared" ref="H40:K40" si="32">H39/G39-1</f>
        <v>4.5663554262972639E-2</v>
      </c>
      <c r="I40" s="129">
        <f t="shared" si="32"/>
        <v>3.6619569863511003E-2</v>
      </c>
      <c r="J40" s="129">
        <f t="shared" si="32"/>
        <v>-2.1859837209171618E-3</v>
      </c>
      <c r="K40" s="129">
        <f t="shared" si="32"/>
        <v>0</v>
      </c>
    </row>
    <row r="41" spans="1:11">
      <c r="A41" s="130" t="s">
        <v>156</v>
      </c>
      <c r="B41" s="130"/>
      <c r="C41" s="131">
        <f t="shared" ref="C41:F41" si="33">C13</f>
        <v>0.40727154292708101</v>
      </c>
      <c r="D41" s="131">
        <f t="shared" si="33"/>
        <v>-0.35064312096210648</v>
      </c>
      <c r="E41" s="131">
        <f t="shared" si="33"/>
        <v>0.49338866748707111</v>
      </c>
      <c r="F41" s="131">
        <f t="shared" si="33"/>
        <v>0.62114362778453747</v>
      </c>
      <c r="G41" s="131">
        <f>G13</f>
        <v>3.855908298713584E-2</v>
      </c>
      <c r="H41" s="131">
        <f t="shared" ref="H41:K41" si="34">H13</f>
        <v>0.14849043044158572</v>
      </c>
      <c r="I41" s="131">
        <f t="shared" si="34"/>
        <v>8.9112043739515867E-2</v>
      </c>
      <c r="J41" s="131">
        <f t="shared" si="34"/>
        <v>-2.7306516621805721E-2</v>
      </c>
      <c r="K41" s="131">
        <f t="shared" si="34"/>
        <v>2.4011614868197251E-2</v>
      </c>
    </row>
    <row r="42" spans="1:11">
      <c r="A42" t="s">
        <v>157</v>
      </c>
      <c r="D42" s="132"/>
      <c r="E42" s="132">
        <f t="shared" ref="E42" si="35">SUM(C39:E39)/SUM(B39:D39)-1</f>
        <v>1.2331531465721968E-2</v>
      </c>
      <c r="F42" s="132">
        <f t="shared" ref="F42" si="36">SUM(D39:F39)/SUM(C39:E39)-1</f>
        <v>2.7857829010566659E-2</v>
      </c>
      <c r="G42" s="132">
        <f t="shared" ref="G42:J42" si="37">SUM(E39:G39)/SUM(D39:F39)-1</f>
        <v>3.8743363608441994E-2</v>
      </c>
      <c r="H42" s="132">
        <f t="shared" si="37"/>
        <v>3.9032271690462084E-2</v>
      </c>
      <c r="I42" s="132">
        <f t="shared" si="37"/>
        <v>3.8994960982679627E-2</v>
      </c>
      <c r="J42" s="132">
        <f t="shared" si="37"/>
        <v>2.606892369092928E-2</v>
      </c>
      <c r="K42" s="132">
        <f>SUM(I39:K39)/SUM(H39:J39)-1</f>
        <v>1.1186531164794955E-2</v>
      </c>
    </row>
    <row r="43" spans="1:11">
      <c r="A43" s="130" t="s">
        <v>158</v>
      </c>
      <c r="B43" s="130"/>
      <c r="C43" s="130"/>
      <c r="D43" s="131"/>
      <c r="E43" s="131">
        <f t="shared" ref="E43:J43" si="38">E14</f>
        <v>0.10981041726343554</v>
      </c>
      <c r="F43" s="131">
        <f t="shared" si="38"/>
        <v>0.21843060415246041</v>
      </c>
      <c r="G43" s="131">
        <f t="shared" si="38"/>
        <v>0.30814610574901335</v>
      </c>
      <c r="H43" s="131">
        <f t="shared" si="38"/>
        <v>0.21688824091298819</v>
      </c>
      <c r="I43" s="131">
        <f t="shared" si="38"/>
        <v>9.2551799959687653E-2</v>
      </c>
      <c r="J43" s="131">
        <f t="shared" si="38"/>
        <v>6.3741715669211052E-2</v>
      </c>
      <c r="K43" s="131">
        <f>K14</f>
        <v>2.6936588641811809E-2</v>
      </c>
    </row>
    <row r="44" spans="1:11">
      <c r="A44" t="s">
        <v>159</v>
      </c>
      <c r="G44" s="132">
        <f t="shared" ref="G44:J44" si="39">SUM(C39:G39)/SUM(B39:F39)-1</f>
        <v>2.1952128988972586E-2</v>
      </c>
      <c r="H44" s="132">
        <f t="shared" si="39"/>
        <v>3.3066368139944791E-2</v>
      </c>
      <c r="I44" s="132">
        <f t="shared" si="39"/>
        <v>3.9715012001093841E-2</v>
      </c>
      <c r="J44" s="132">
        <f t="shared" si="39"/>
        <v>2.9645683672226975E-2</v>
      </c>
      <c r="K44" s="132">
        <f>SUM(G39:K39)/SUM(F39:J39)-1</f>
        <v>2.2227924621119E-2</v>
      </c>
    </row>
    <row r="45" spans="1:11">
      <c r="A45" s="130" t="s">
        <v>160</v>
      </c>
      <c r="B45" s="130"/>
      <c r="C45" s="130"/>
      <c r="D45" s="130"/>
      <c r="E45" s="131"/>
      <c r="F45" s="131"/>
      <c r="G45" s="131">
        <f t="shared" ref="G45:J45" si="40">G15</f>
        <v>0.18811816730264375</v>
      </c>
      <c r="H45" s="131">
        <f t="shared" si="40"/>
        <v>0.15026898415613066</v>
      </c>
      <c r="I45" s="131">
        <f t="shared" si="40"/>
        <v>0.20792394491205179</v>
      </c>
      <c r="J45" s="131">
        <f t="shared" si="40"/>
        <v>0.12564855635213901</v>
      </c>
      <c r="K45" s="131">
        <f>K15</f>
        <v>5.0730773997744949E-2</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
  <sheetViews>
    <sheetView workbookViewId="0">
      <pane xSplit="1" ySplit="1" topLeftCell="B5" activePane="bottomRight" state="frozen"/>
      <selection activeCell="F19" sqref="F19:K19"/>
      <selection pane="topRight" activeCell="F19" sqref="F19:K19"/>
      <selection pane="bottomLeft" activeCell="F19" sqref="F19:K19"/>
      <selection pane="bottomRight" activeCell="K14" sqref="K14"/>
    </sheetView>
  </sheetViews>
  <sheetFormatPr defaultRowHeight="14.25"/>
  <cols>
    <col min="1" max="1" width="43.1328125" customWidth="1"/>
    <col min="2" max="11" width="9.59765625" customWidth="1"/>
    <col min="13" max="13" width="10.265625" customWidth="1"/>
  </cols>
  <sheetData>
    <row r="1" spans="1:17">
      <c r="B1">
        <v>2007</v>
      </c>
      <c r="C1">
        <v>2008</v>
      </c>
      <c r="D1">
        <v>2009</v>
      </c>
      <c r="E1">
        <v>2010</v>
      </c>
      <c r="F1">
        <v>2011</v>
      </c>
      <c r="G1">
        <v>2012</v>
      </c>
      <c r="H1">
        <v>2013</v>
      </c>
      <c r="I1">
        <v>2014</v>
      </c>
      <c r="J1">
        <v>2015</v>
      </c>
      <c r="K1">
        <v>2016</v>
      </c>
    </row>
    <row r="2" spans="1:17">
      <c r="A2" s="10" t="s">
        <v>195</v>
      </c>
    </row>
    <row r="3" spans="1:17">
      <c r="A3" t="s">
        <v>196</v>
      </c>
      <c r="B3" s="17">
        <v>2605</v>
      </c>
      <c r="C3" s="17">
        <v>3174</v>
      </c>
      <c r="D3" s="17">
        <v>2666</v>
      </c>
      <c r="E3" s="17">
        <v>3018</v>
      </c>
      <c r="F3" s="17">
        <v>3324</v>
      </c>
      <c r="G3" s="17">
        <v>3280</v>
      </c>
      <c r="H3" s="17">
        <v>3276</v>
      </c>
      <c r="I3" s="17">
        <v>3777</v>
      </c>
      <c r="J3" s="17">
        <v>3581</v>
      </c>
      <c r="K3" s="18">
        <v>3625</v>
      </c>
    </row>
    <row r="4" spans="1:17">
      <c r="A4" t="s">
        <v>197</v>
      </c>
      <c r="B4" s="17">
        <v>1458</v>
      </c>
      <c r="C4" s="17">
        <v>1344</v>
      </c>
      <c r="D4" s="17">
        <v>854</v>
      </c>
      <c r="E4" s="17">
        <v>1271</v>
      </c>
      <c r="F4" s="17">
        <v>1510</v>
      </c>
      <c r="G4" s="17">
        <v>1807</v>
      </c>
      <c r="H4" s="17">
        <v>2077</v>
      </c>
      <c r="I4" s="17">
        <v>2103</v>
      </c>
      <c r="J4" s="17">
        <v>2154</v>
      </c>
      <c r="K4" s="18">
        <v>2000</v>
      </c>
    </row>
    <row r="5" spans="1:17">
      <c r="A5" t="s">
        <v>198</v>
      </c>
      <c r="B5" s="17">
        <v>2287</v>
      </c>
      <c r="C5" s="17">
        <v>2494</v>
      </c>
      <c r="D5" s="17">
        <v>2102</v>
      </c>
      <c r="E5" s="17">
        <v>2425</v>
      </c>
      <c r="F5" s="17">
        <v>2815</v>
      </c>
      <c r="G5" s="17">
        <v>3238</v>
      </c>
      <c r="H5" s="17">
        <v>3501</v>
      </c>
      <c r="I5" s="17">
        <v>3664</v>
      </c>
      <c r="J5" s="17">
        <v>3543</v>
      </c>
      <c r="K5" s="18">
        <v>3474</v>
      </c>
    </row>
    <row r="6" spans="1:17">
      <c r="A6" t="s">
        <v>199</v>
      </c>
      <c r="B6" s="17">
        <v>3134</v>
      </c>
      <c r="C6" s="17">
        <v>3810</v>
      </c>
      <c r="D6" s="17">
        <v>3118</v>
      </c>
      <c r="E6" s="17">
        <v>3489</v>
      </c>
      <c r="F6" s="17">
        <v>4084</v>
      </c>
      <c r="G6" s="17">
        <v>3912</v>
      </c>
      <c r="H6" s="17">
        <v>3978</v>
      </c>
      <c r="I6" s="17">
        <v>4127</v>
      </c>
      <c r="J6" s="17">
        <v>3237</v>
      </c>
      <c r="K6" s="18">
        <v>2440</v>
      </c>
    </row>
    <row r="7" spans="1:17">
      <c r="A7" t="s">
        <v>200</v>
      </c>
      <c r="B7" s="17">
        <v>3077</v>
      </c>
      <c r="C7" s="17">
        <v>3273</v>
      </c>
      <c r="D7" s="17">
        <v>2147</v>
      </c>
      <c r="E7" s="17">
        <v>2639</v>
      </c>
      <c r="F7" s="17">
        <v>3166</v>
      </c>
      <c r="G7" s="17">
        <v>3494</v>
      </c>
      <c r="H7" s="17">
        <v>3822</v>
      </c>
      <c r="I7" s="17">
        <v>4400</v>
      </c>
      <c r="J7" s="17">
        <v>3808</v>
      </c>
      <c r="K7" s="18">
        <v>3348</v>
      </c>
    </row>
    <row r="8" spans="1:17">
      <c r="A8" t="s">
        <v>201</v>
      </c>
      <c r="B8" s="17">
        <v>2925</v>
      </c>
      <c r="C8" s="17">
        <v>3023</v>
      </c>
      <c r="D8" s="17">
        <v>2486</v>
      </c>
      <c r="E8" s="17">
        <v>3227</v>
      </c>
      <c r="F8" s="17">
        <v>3609</v>
      </c>
      <c r="G8" s="17">
        <v>3955</v>
      </c>
      <c r="H8" s="17">
        <v>4030</v>
      </c>
      <c r="I8" s="17">
        <v>4489</v>
      </c>
      <c r="J8" s="17">
        <v>4074</v>
      </c>
      <c r="K8" s="18">
        <v>3710</v>
      </c>
    </row>
    <row r="10" spans="1:17">
      <c r="A10" s="10" t="s">
        <v>202</v>
      </c>
      <c r="O10" s="10" t="s">
        <v>203</v>
      </c>
      <c r="P10" s="10" t="s">
        <v>204</v>
      </c>
      <c r="Q10" s="10" t="s">
        <v>205</v>
      </c>
    </row>
    <row r="11" spans="1:17">
      <c r="A11" t="s">
        <v>196</v>
      </c>
      <c r="B11" s="17">
        <v>80532</v>
      </c>
      <c r="C11" s="17">
        <v>88588</v>
      </c>
      <c r="D11" s="17">
        <v>81207</v>
      </c>
      <c r="E11" s="17">
        <v>88237</v>
      </c>
      <c r="F11" s="17">
        <v>88094</v>
      </c>
      <c r="G11" s="17">
        <v>81407</v>
      </c>
      <c r="H11" s="17">
        <v>80904</v>
      </c>
      <c r="I11" s="17">
        <v>94273</v>
      </c>
      <c r="J11" s="17">
        <v>89053</v>
      </c>
      <c r="K11" s="18">
        <v>92244</v>
      </c>
      <c r="N11" t="s">
        <v>196</v>
      </c>
      <c r="O11" s="142">
        <f t="shared" ref="O11:O16" si="0">SUM(C11:K11)/SUM(B11:J11)-1</f>
        <v>1.5165189467755136E-2</v>
      </c>
      <c r="P11" s="142">
        <f t="shared" ref="P11:P16" si="1">SUM(C30:K30)/SUM(B30:J30)-1</f>
        <v>2.7536266558646716E-2</v>
      </c>
      <c r="Q11" s="142">
        <f t="shared" ref="Q11:Q16" si="2">SUM(C22:K22)/SUM(B22:J22)-1</f>
        <v>4.299546230307838E-2</v>
      </c>
    </row>
    <row r="12" spans="1:17">
      <c r="A12" t="s">
        <v>197</v>
      </c>
      <c r="B12" s="17">
        <v>17482</v>
      </c>
      <c r="C12" s="17">
        <v>13982</v>
      </c>
      <c r="D12" s="17">
        <v>9740</v>
      </c>
      <c r="E12" s="17">
        <v>12542</v>
      </c>
      <c r="F12" s="17">
        <v>13004</v>
      </c>
      <c r="G12" s="17">
        <v>14942</v>
      </c>
      <c r="H12" s="17">
        <v>16169</v>
      </c>
      <c r="I12" s="17">
        <v>16797</v>
      </c>
      <c r="J12" s="17">
        <v>18193</v>
      </c>
      <c r="K12" s="18">
        <v>18192</v>
      </c>
      <c r="N12" t="s">
        <v>197</v>
      </c>
      <c r="O12" s="142">
        <f t="shared" si="0"/>
        <v>5.3443331250799808E-3</v>
      </c>
      <c r="P12" s="142">
        <f t="shared" si="1"/>
        <v>2.9508119622683182E-2</v>
      </c>
      <c r="Q12" s="142">
        <f t="shared" si="2"/>
        <v>4.0091033463644399E-2</v>
      </c>
    </row>
    <row r="13" spans="1:17">
      <c r="A13" t="s">
        <v>198</v>
      </c>
      <c r="B13" s="17">
        <v>56521</v>
      </c>
      <c r="C13" s="17">
        <v>54807</v>
      </c>
      <c r="D13" s="17">
        <v>48055</v>
      </c>
      <c r="E13" s="17">
        <v>54233</v>
      </c>
      <c r="F13" s="17">
        <v>59542</v>
      </c>
      <c r="G13" s="17">
        <v>68095</v>
      </c>
      <c r="H13" s="17">
        <v>73963</v>
      </c>
      <c r="I13" s="17">
        <v>75519</v>
      </c>
      <c r="J13" s="17">
        <v>71707</v>
      </c>
      <c r="K13" s="18">
        <v>66964</v>
      </c>
      <c r="N13" t="s">
        <v>198</v>
      </c>
      <c r="O13" s="142">
        <f t="shared" si="0"/>
        <v>1.8567247822886657E-2</v>
      </c>
      <c r="P13" s="142">
        <f t="shared" si="1"/>
        <v>3.3417734035798397E-2</v>
      </c>
      <c r="Q13" s="142">
        <f t="shared" si="2"/>
        <v>5.2161734036877183E-2</v>
      </c>
    </row>
    <row r="14" spans="1:17">
      <c r="A14" t="s">
        <v>199</v>
      </c>
      <c r="B14" s="17">
        <v>251408</v>
      </c>
      <c r="C14" s="17">
        <v>258362</v>
      </c>
      <c r="D14" s="17">
        <v>218227</v>
      </c>
      <c r="E14" s="17">
        <v>225583</v>
      </c>
      <c r="F14" s="17">
        <v>238567</v>
      </c>
      <c r="G14" s="17">
        <v>207466</v>
      </c>
      <c r="H14" s="17">
        <v>186902</v>
      </c>
      <c r="I14" s="17">
        <v>191359</v>
      </c>
      <c r="J14" s="17">
        <v>151110</v>
      </c>
      <c r="K14" s="18">
        <v>117101</v>
      </c>
      <c r="N14" t="s">
        <v>199</v>
      </c>
      <c r="O14" s="142">
        <f t="shared" si="0"/>
        <v>-6.9625771908942702E-2</v>
      </c>
      <c r="P14" s="142">
        <f t="shared" si="1"/>
        <v>7.7862132548072838E-2</v>
      </c>
      <c r="Q14" s="142">
        <f t="shared" si="2"/>
        <v>-6.9790829075299099E-3</v>
      </c>
    </row>
    <row r="15" spans="1:17">
      <c r="A15" t="s">
        <v>200</v>
      </c>
      <c r="B15" s="17">
        <v>75109</v>
      </c>
      <c r="C15" s="17">
        <v>70714</v>
      </c>
      <c r="D15" s="17">
        <v>51873</v>
      </c>
      <c r="E15" s="17">
        <v>60347</v>
      </c>
      <c r="F15" s="17">
        <v>66823</v>
      </c>
      <c r="G15" s="17">
        <v>70924</v>
      </c>
      <c r="H15" s="17">
        <v>77760</v>
      </c>
      <c r="I15" s="17">
        <v>88054</v>
      </c>
      <c r="J15" s="17">
        <v>75902</v>
      </c>
      <c r="K15" s="18">
        <v>68579</v>
      </c>
      <c r="N15" t="s">
        <v>200</v>
      </c>
      <c r="O15" s="142">
        <f t="shared" si="0"/>
        <v>-1.0243040849811647E-2</v>
      </c>
      <c r="P15" s="142">
        <f t="shared" si="1"/>
        <v>2.3859281272487598E-2</v>
      </c>
      <c r="Q15" s="142">
        <f t="shared" si="2"/>
        <v>1.3887460638957849E-2</v>
      </c>
    </row>
    <row r="16" spans="1:17">
      <c r="A16" t="s">
        <v>201</v>
      </c>
      <c r="B16" s="17">
        <v>80793</v>
      </c>
      <c r="C16" s="17">
        <v>76178</v>
      </c>
      <c r="D16" s="17">
        <v>70086</v>
      </c>
      <c r="E16" s="17">
        <v>79458</v>
      </c>
      <c r="F16" s="17">
        <v>78367</v>
      </c>
      <c r="G16" s="17">
        <v>78277</v>
      </c>
      <c r="H16" s="17">
        <v>78574</v>
      </c>
      <c r="I16" s="17">
        <v>83627</v>
      </c>
      <c r="J16" s="17">
        <v>79070</v>
      </c>
      <c r="K16" s="18">
        <v>77059</v>
      </c>
      <c r="N16" t="s">
        <v>201</v>
      </c>
      <c r="O16" s="142">
        <f t="shared" si="0"/>
        <v>-5.3007396050707145E-3</v>
      </c>
      <c r="P16" s="142">
        <f t="shared" si="1"/>
        <v>3.5676696034395716E-2</v>
      </c>
      <c r="Q16" s="142">
        <f t="shared" si="2"/>
        <v>3.0729636849041064E-2</v>
      </c>
    </row>
    <row r="18" spans="1:26">
      <c r="A18" t="s">
        <v>206</v>
      </c>
      <c r="B18" s="17">
        <v>1478</v>
      </c>
      <c r="C18" s="17">
        <v>2323</v>
      </c>
      <c r="D18" s="17">
        <v>605</v>
      </c>
      <c r="E18" s="17">
        <v>1237</v>
      </c>
      <c r="F18" s="17">
        <v>2200</v>
      </c>
      <c r="G18" s="17">
        <v>2600</v>
      </c>
      <c r="H18" s="17">
        <v>2600</v>
      </c>
      <c r="I18" s="17">
        <v>2800</v>
      </c>
      <c r="J18" s="17">
        <v>1300</v>
      </c>
      <c r="K18" s="17">
        <v>560</v>
      </c>
      <c r="L18" t="s">
        <v>207</v>
      </c>
      <c r="M18" t="s">
        <v>208</v>
      </c>
    </row>
    <row r="19" spans="1:26">
      <c r="F19" s="18">
        <f>AVERAGE(B18:F18)</f>
        <v>1568.6</v>
      </c>
      <c r="G19" s="18">
        <f t="shared" ref="G19:K19" si="3">AVERAGE(C18:G18)</f>
        <v>1793</v>
      </c>
      <c r="H19" s="18">
        <f t="shared" si="3"/>
        <v>1848.4</v>
      </c>
      <c r="I19" s="18">
        <f t="shared" si="3"/>
        <v>2287.4</v>
      </c>
      <c r="J19" s="18">
        <f t="shared" si="3"/>
        <v>2300</v>
      </c>
      <c r="K19" s="18">
        <f t="shared" si="3"/>
        <v>1972</v>
      </c>
      <c r="L19" s="18">
        <f>MAX(F19:K19)</f>
        <v>2300</v>
      </c>
      <c r="M19" s="18">
        <f>MIN(F19:K19)</f>
        <v>1568.6</v>
      </c>
    </row>
    <row r="21" spans="1:26">
      <c r="A21" s="10" t="s">
        <v>205</v>
      </c>
      <c r="Z21" s="10" t="s">
        <v>245</v>
      </c>
    </row>
    <row r="22" spans="1:26">
      <c r="A22" t="s">
        <v>196</v>
      </c>
      <c r="B22" s="18">
        <f t="shared" ref="B22:K22" si="4">B3-(B11/SUM(B$11:B$16)*B$18)</f>
        <v>2393.1510096200909</v>
      </c>
      <c r="C22" s="18">
        <f t="shared" si="4"/>
        <v>2808.2364284939863</v>
      </c>
      <c r="D22" s="18">
        <f t="shared" si="4"/>
        <v>2563.4719003814785</v>
      </c>
      <c r="E22" s="18">
        <f t="shared" si="4"/>
        <v>2808.2590910837816</v>
      </c>
      <c r="F22" s="18">
        <f t="shared" si="4"/>
        <v>2967.9973034384834</v>
      </c>
      <c r="G22" s="18">
        <f t="shared" si="4"/>
        <v>2873.8327918620025</v>
      </c>
      <c r="H22" s="18">
        <f t="shared" si="4"/>
        <v>2866.974425984693</v>
      </c>
      <c r="I22" s="18">
        <f t="shared" si="4"/>
        <v>3296.740770592527</v>
      </c>
      <c r="J22" s="18">
        <f t="shared" si="4"/>
        <v>3342.3184615543209</v>
      </c>
      <c r="K22" s="18">
        <f t="shared" si="4"/>
        <v>3507.6356219285271</v>
      </c>
    </row>
    <row r="23" spans="1:26">
      <c r="A23" t="s">
        <v>197</v>
      </c>
      <c r="B23" s="18">
        <f t="shared" ref="B23:K23" si="5">B4-(B12/SUM(B$11:B$16)*B$18)</f>
        <v>1412.0115227509366</v>
      </c>
      <c r="C23" s="18">
        <f t="shared" si="5"/>
        <v>1286.2708915790279</v>
      </c>
      <c r="D23" s="18">
        <f t="shared" si="5"/>
        <v>841.702738799803</v>
      </c>
      <c r="E23" s="18">
        <f t="shared" si="5"/>
        <v>1241.1874442736357</v>
      </c>
      <c r="F23" s="18">
        <f t="shared" si="5"/>
        <v>1457.4486450145757</v>
      </c>
      <c r="G23" s="18">
        <f t="shared" si="5"/>
        <v>1732.4492804795907</v>
      </c>
      <c r="H23" s="18">
        <f t="shared" si="5"/>
        <v>1995.2545423433514</v>
      </c>
      <c r="I23" s="18">
        <f t="shared" si="5"/>
        <v>2017.4302793338779</v>
      </c>
      <c r="J23" s="18">
        <f t="shared" si="5"/>
        <v>2105.2387765831331</v>
      </c>
      <c r="K23" s="18">
        <f t="shared" si="5"/>
        <v>1976.8538575313707</v>
      </c>
    </row>
    <row r="24" spans="1:26">
      <c r="A24" t="s">
        <v>198</v>
      </c>
      <c r="B24" s="18">
        <f t="shared" ref="B24:K27" si="6">B5-(B13/SUM(B$11:B$16)*B$18)</f>
        <v>2138.3147967855903</v>
      </c>
      <c r="C24" s="18">
        <f t="shared" si="6"/>
        <v>2267.7119693013715</v>
      </c>
      <c r="D24" s="18">
        <f t="shared" si="6"/>
        <v>2041.3280403515948</v>
      </c>
      <c r="E24" s="18">
        <f t="shared" si="6"/>
        <v>2296.0872002305919</v>
      </c>
      <c r="F24" s="18">
        <f t="shared" si="6"/>
        <v>2574.3807460364405</v>
      </c>
      <c r="G24" s="18">
        <f t="shared" si="6"/>
        <v>2898.2508870470974</v>
      </c>
      <c r="H24" s="18">
        <f t="shared" si="6"/>
        <v>3127.0659728703877</v>
      </c>
      <c r="I24" s="18">
        <f t="shared" si="6"/>
        <v>3279.2801253208982</v>
      </c>
      <c r="J24" s="18">
        <f t="shared" si="6"/>
        <v>3350.8095395177666</v>
      </c>
      <c r="K24" s="18">
        <f t="shared" si="6"/>
        <v>3388.8000063616269</v>
      </c>
    </row>
    <row r="25" spans="1:26">
      <c r="A25" t="s">
        <v>199</v>
      </c>
      <c r="B25" s="18">
        <f t="shared" si="6"/>
        <v>2472.6413975384671</v>
      </c>
      <c r="C25" s="18">
        <f t="shared" si="6"/>
        <v>2743.2707831598327</v>
      </c>
      <c r="D25" s="18">
        <f t="shared" si="6"/>
        <v>2842.4769589388716</v>
      </c>
      <c r="E25" s="18">
        <f t="shared" si="6"/>
        <v>2952.7852209838584</v>
      </c>
      <c r="F25" s="18">
        <f t="shared" si="6"/>
        <v>3119.9105579200473</v>
      </c>
      <c r="G25" s="18">
        <f t="shared" si="6"/>
        <v>2876.881570337222</v>
      </c>
      <c r="H25" s="18">
        <f t="shared" si="6"/>
        <v>3033.0813577250947</v>
      </c>
      <c r="I25" s="18">
        <f t="shared" si="6"/>
        <v>3152.151147410344</v>
      </c>
      <c r="J25" s="18">
        <f t="shared" si="6"/>
        <v>2831.9921139711569</v>
      </c>
      <c r="K25" s="18">
        <f t="shared" si="6"/>
        <v>2291.0094311115354</v>
      </c>
    </row>
    <row r="26" spans="1:26">
      <c r="A26" t="s">
        <v>200</v>
      </c>
      <c r="B26" s="18">
        <f t="shared" si="6"/>
        <v>2879.4168551824791</v>
      </c>
      <c r="C26" s="18">
        <f t="shared" si="6"/>
        <v>2981.0348896523656</v>
      </c>
      <c r="D26" s="18">
        <f t="shared" si="6"/>
        <v>2081.5076149653164</v>
      </c>
      <c r="E26" s="18">
        <f t="shared" si="6"/>
        <v>2495.5541141429671</v>
      </c>
      <c r="F26" s="18">
        <f t="shared" si="6"/>
        <v>2895.9569982935245</v>
      </c>
      <c r="G26" s="18">
        <f t="shared" si="6"/>
        <v>3140.1360439522482</v>
      </c>
      <c r="H26" s="18">
        <f t="shared" si="6"/>
        <v>3428.8695165204404</v>
      </c>
      <c r="I26" s="18">
        <f t="shared" si="6"/>
        <v>3951.4225049988263</v>
      </c>
      <c r="J26" s="18">
        <f t="shared" si="6"/>
        <v>3604.5660210087931</v>
      </c>
      <c r="K26" s="18">
        <f t="shared" si="6"/>
        <v>3260.7452009478825</v>
      </c>
    </row>
    <row r="27" spans="1:26">
      <c r="A27" t="s">
        <v>201</v>
      </c>
      <c r="B27" s="18">
        <f t="shared" si="6"/>
        <v>2712.4644181224357</v>
      </c>
      <c r="C27" s="18">
        <f t="shared" si="6"/>
        <v>2708.4750378134158</v>
      </c>
      <c r="D27" s="18">
        <f t="shared" si="6"/>
        <v>2397.5127465629357</v>
      </c>
      <c r="E27" s="18">
        <f t="shared" si="6"/>
        <v>3038.1269292851653</v>
      </c>
      <c r="F27" s="18">
        <f t="shared" si="6"/>
        <v>3292.3057492969283</v>
      </c>
      <c r="G27" s="18">
        <f t="shared" si="6"/>
        <v>3564.4494263218394</v>
      </c>
      <c r="H27" s="18">
        <f t="shared" si="6"/>
        <v>3632.7541845560327</v>
      </c>
      <c r="I27" s="18">
        <f t="shared" si="6"/>
        <v>4062.9751723435261</v>
      </c>
      <c r="J27" s="18">
        <f t="shared" si="6"/>
        <v>3862.0750873648294</v>
      </c>
      <c r="K27" s="18">
        <f t="shared" si="6"/>
        <v>3611.9558821190576</v>
      </c>
    </row>
    <row r="29" spans="1:26">
      <c r="A29" s="10" t="s">
        <v>209</v>
      </c>
    </row>
    <row r="30" spans="1:26">
      <c r="A30" t="s">
        <v>196</v>
      </c>
      <c r="B30">
        <f t="shared" ref="B30:K35" si="7">B22/B11</f>
        <v>2.9716771092486105E-2</v>
      </c>
      <c r="C30" s="143">
        <f t="shared" si="7"/>
        <v>3.1699964199372224E-2</v>
      </c>
      <c r="D30" s="143">
        <f t="shared" si="7"/>
        <v>3.1567129685636443E-2</v>
      </c>
      <c r="E30" s="143">
        <f t="shared" si="7"/>
        <v>3.1826321056742428E-2</v>
      </c>
      <c r="F30" s="143">
        <f t="shared" si="7"/>
        <v>3.3691253699894244E-2</v>
      </c>
      <c r="G30" s="143">
        <f t="shared" si="7"/>
        <v>3.5302035351529995E-2</v>
      </c>
      <c r="H30" s="143">
        <f t="shared" si="7"/>
        <v>3.54367451051208E-2</v>
      </c>
      <c r="I30" s="143">
        <f t="shared" si="7"/>
        <v>3.4970148086859727E-2</v>
      </c>
      <c r="J30" s="143">
        <f t="shared" si="7"/>
        <v>3.7531789625889315E-2</v>
      </c>
      <c r="K30" s="143">
        <f t="shared" si="7"/>
        <v>3.8025623584499013E-2</v>
      </c>
    </row>
    <row r="31" spans="1:26">
      <c r="A31" t="s">
        <v>197</v>
      </c>
      <c r="B31">
        <f t="shared" si="7"/>
        <v>8.0769449877069938E-2</v>
      </c>
      <c r="C31" s="143">
        <f t="shared" si="7"/>
        <v>9.1994771247248447E-2</v>
      </c>
      <c r="D31" s="143">
        <f t="shared" si="7"/>
        <v>8.6417118973285731E-2</v>
      </c>
      <c r="E31" s="143">
        <f t="shared" si="7"/>
        <v>9.8962481603702412E-2</v>
      </c>
      <c r="F31" s="143">
        <f t="shared" si="7"/>
        <v>0.11207694901680834</v>
      </c>
      <c r="G31" s="143">
        <f t="shared" si="7"/>
        <v>0.11594493912994182</v>
      </c>
      <c r="H31" s="143">
        <f t="shared" si="7"/>
        <v>0.12339999643412403</v>
      </c>
      <c r="I31" s="143">
        <f t="shared" si="7"/>
        <v>0.12010658327879252</v>
      </c>
      <c r="J31" s="143">
        <f t="shared" si="7"/>
        <v>0.11571696677750416</v>
      </c>
      <c r="K31" s="143">
        <f t="shared" si="7"/>
        <v>0.10866610914310525</v>
      </c>
    </row>
    <row r="32" spans="1:26">
      <c r="A32" t="s">
        <v>198</v>
      </c>
      <c r="B32">
        <f t="shared" si="7"/>
        <v>3.7832218056750418E-2</v>
      </c>
      <c r="C32" s="143">
        <f t="shared" si="7"/>
        <v>4.137631998287393E-2</v>
      </c>
      <c r="D32" s="143">
        <f t="shared" si="7"/>
        <v>4.2478993660422328E-2</v>
      </c>
      <c r="E32" s="143">
        <f t="shared" si="7"/>
        <v>4.2337455059292164E-2</v>
      </c>
      <c r="F32" s="143">
        <f t="shared" si="7"/>
        <v>4.3236383494616247E-2</v>
      </c>
      <c r="G32" s="143">
        <f t="shared" si="7"/>
        <v>4.2561875131024267E-2</v>
      </c>
      <c r="H32" s="143">
        <f t="shared" si="7"/>
        <v>4.2278787675870198E-2</v>
      </c>
      <c r="I32" s="143">
        <f t="shared" si="7"/>
        <v>4.3423246140983036E-2</v>
      </c>
      <c r="J32" s="143">
        <f t="shared" si="7"/>
        <v>4.6729183197146258E-2</v>
      </c>
      <c r="K32" s="143">
        <f t="shared" si="7"/>
        <v>5.0606296015196624E-2</v>
      </c>
    </row>
    <row r="33" spans="1:13">
      <c r="A33" t="s">
        <v>199</v>
      </c>
      <c r="B33">
        <f t="shared" si="7"/>
        <v>9.8351738908008784E-3</v>
      </c>
      <c r="C33" s="143">
        <f t="shared" si="7"/>
        <v>1.0617934460794671E-2</v>
      </c>
      <c r="D33" s="143">
        <f t="shared" si="7"/>
        <v>1.3025322068024908E-2</v>
      </c>
      <c r="E33" s="143">
        <f t="shared" si="7"/>
        <v>1.3089573332138763E-2</v>
      </c>
      <c r="F33" s="143">
        <f t="shared" si="7"/>
        <v>1.3077712164381692E-2</v>
      </c>
      <c r="G33" s="143">
        <f t="shared" si="7"/>
        <v>1.3866761639676969E-2</v>
      </c>
      <c r="H33" s="143">
        <f t="shared" si="7"/>
        <v>1.6228191018421927E-2</v>
      </c>
      <c r="I33" s="143">
        <f t="shared" si="7"/>
        <v>1.6472447846248905E-2</v>
      </c>
      <c r="J33" s="143">
        <f t="shared" si="7"/>
        <v>1.8741262087030353E-2</v>
      </c>
      <c r="K33" s="143">
        <f t="shared" si="7"/>
        <v>1.9564388272615394E-2</v>
      </c>
    </row>
    <row r="34" spans="1:13">
      <c r="A34" t="s">
        <v>200</v>
      </c>
      <c r="B34">
        <f t="shared" si="7"/>
        <v>3.8336509009339478E-2</v>
      </c>
      <c r="C34" s="143">
        <f t="shared" si="7"/>
        <v>4.2156219272737584E-2</v>
      </c>
      <c r="D34" s="143">
        <f t="shared" si="7"/>
        <v>4.0126995064201344E-2</v>
      </c>
      <c r="E34" s="143">
        <f t="shared" si="7"/>
        <v>4.1353408025965946E-2</v>
      </c>
      <c r="F34" s="143">
        <f t="shared" si="7"/>
        <v>4.3337728002237619E-2</v>
      </c>
      <c r="G34" s="143">
        <f t="shared" si="7"/>
        <v>4.4274660819359428E-2</v>
      </c>
      <c r="H34" s="143">
        <f t="shared" si="7"/>
        <v>4.4095544193935701E-2</v>
      </c>
      <c r="I34" s="143">
        <f t="shared" si="7"/>
        <v>4.4874991539269382E-2</v>
      </c>
      <c r="J34" s="143">
        <f t="shared" si="7"/>
        <v>4.7489737042618024E-2</v>
      </c>
      <c r="K34" s="143">
        <f t="shared" si="7"/>
        <v>4.7547284167863087E-2</v>
      </c>
    </row>
    <row r="35" spans="1:13">
      <c r="A35" t="s">
        <v>201</v>
      </c>
      <c r="B35">
        <f t="shared" si="7"/>
        <v>3.3573012737767326E-2</v>
      </c>
      <c r="C35" s="143">
        <f t="shared" si="7"/>
        <v>3.5554556929998371E-2</v>
      </c>
      <c r="D35" s="143">
        <f t="shared" si="7"/>
        <v>3.4208154931982648E-2</v>
      </c>
      <c r="E35" s="143">
        <f t="shared" si="7"/>
        <v>3.8235633029841745E-2</v>
      </c>
      <c r="F35" s="143">
        <f t="shared" si="7"/>
        <v>4.2011379142967424E-2</v>
      </c>
      <c r="G35" s="143">
        <f t="shared" si="7"/>
        <v>4.553635712050589E-2</v>
      </c>
      <c r="H35" s="143">
        <f t="shared" si="7"/>
        <v>4.6233540160307895E-2</v>
      </c>
      <c r="I35" s="143">
        <f t="shared" si="7"/>
        <v>4.8584490324219763E-2</v>
      </c>
      <c r="J35" s="143">
        <f t="shared" si="7"/>
        <v>4.8843747152710629E-2</v>
      </c>
      <c r="K35" s="143">
        <f t="shared" si="7"/>
        <v>4.6872602578791028E-2</v>
      </c>
    </row>
    <row r="37" spans="1:13">
      <c r="A37" s="10" t="s">
        <v>210</v>
      </c>
    </row>
    <row r="38" spans="1:13">
      <c r="A38" t="s">
        <v>196</v>
      </c>
      <c r="C38" s="142">
        <f t="shared" ref="C38:K43" si="8">C22/B22-1</f>
        <v>0.17344723220779512</v>
      </c>
      <c r="D38" s="142">
        <f t="shared" si="8"/>
        <v>-8.7159516068157861E-2</v>
      </c>
      <c r="E38" s="142">
        <f t="shared" si="8"/>
        <v>9.5490491105393316E-2</v>
      </c>
      <c r="F38" s="142">
        <f t="shared" si="8"/>
        <v>5.6881579360633205E-2</v>
      </c>
      <c r="G38" s="142">
        <f t="shared" si="8"/>
        <v>-3.17266162834412E-2</v>
      </c>
      <c r="H38" s="142">
        <f t="shared" si="8"/>
        <v>-2.3864874451745566E-3</v>
      </c>
      <c r="I38" s="142">
        <f t="shared" si="8"/>
        <v>0.14990239909804082</v>
      </c>
      <c r="J38" s="142">
        <f t="shared" si="8"/>
        <v>1.382507577433878E-2</v>
      </c>
      <c r="K38" s="142">
        <f t="shared" si="8"/>
        <v>4.9461821868801437E-2</v>
      </c>
    </row>
    <row r="39" spans="1:13">
      <c r="A39" t="s">
        <v>197</v>
      </c>
      <c r="C39" s="142">
        <f t="shared" si="8"/>
        <v>-8.9050711800804483E-2</v>
      </c>
      <c r="D39" s="142">
        <f t="shared" si="8"/>
        <v>-0.34562560319892832</v>
      </c>
      <c r="E39" s="142">
        <f t="shared" si="8"/>
        <v>0.47461495259414765</v>
      </c>
      <c r="F39" s="142">
        <f t="shared" si="8"/>
        <v>0.17423734161885585</v>
      </c>
      <c r="G39" s="142">
        <f t="shared" si="8"/>
        <v>0.18868632963891829</v>
      </c>
      <c r="H39" s="142">
        <f t="shared" si="8"/>
        <v>0.15169578978439646</v>
      </c>
      <c r="I39" s="142">
        <f t="shared" si="8"/>
        <v>1.1114239571900386E-2</v>
      </c>
      <c r="J39" s="142">
        <f t="shared" si="8"/>
        <v>4.3524922843057645E-2</v>
      </c>
      <c r="K39" s="142">
        <f t="shared" si="8"/>
        <v>-6.098354280749807E-2</v>
      </c>
    </row>
    <row r="40" spans="1:13">
      <c r="A40" t="s">
        <v>198</v>
      </c>
      <c r="C40" s="142">
        <f t="shared" si="8"/>
        <v>6.0513621619369129E-2</v>
      </c>
      <c r="D40" s="142">
        <f t="shared" si="8"/>
        <v>-9.9829225234243535E-2</v>
      </c>
      <c r="E40" s="142">
        <f t="shared" si="8"/>
        <v>0.12480069584265241</v>
      </c>
      <c r="F40" s="142">
        <f t="shared" si="8"/>
        <v>0.12120338712654299</v>
      </c>
      <c r="G40" s="142">
        <f t="shared" si="8"/>
        <v>0.12580506652300461</v>
      </c>
      <c r="H40" s="142">
        <f t="shared" si="8"/>
        <v>7.8949371445347971E-2</v>
      </c>
      <c r="I40" s="142">
        <f t="shared" si="8"/>
        <v>4.8676348299358185E-2</v>
      </c>
      <c r="J40" s="142">
        <f t="shared" si="8"/>
        <v>2.1812535514900144E-2</v>
      </c>
      <c r="K40" s="142">
        <f t="shared" si="8"/>
        <v>1.1337698068427882E-2</v>
      </c>
    </row>
    <row r="41" spans="1:13">
      <c r="A41" t="s">
        <v>199</v>
      </c>
      <c r="C41" s="142">
        <f t="shared" si="8"/>
        <v>0.10944950848545165</v>
      </c>
      <c r="D41" s="142">
        <f t="shared" si="8"/>
        <v>3.6163464572304571E-2</v>
      </c>
      <c r="E41" s="142">
        <f t="shared" si="8"/>
        <v>3.8807091011976436E-2</v>
      </c>
      <c r="F41" s="142">
        <f t="shared" si="8"/>
        <v>5.6599218848874866E-2</v>
      </c>
      <c r="G41" s="142">
        <f t="shared" si="8"/>
        <v>-7.7896139351137483E-2</v>
      </c>
      <c r="H41" s="142">
        <f t="shared" si="8"/>
        <v>5.4294827078878782E-2</v>
      </c>
      <c r="I41" s="142">
        <f t="shared" si="8"/>
        <v>3.925703785755208E-2</v>
      </c>
      <c r="J41" s="142">
        <f t="shared" si="8"/>
        <v>-0.10156842691449441</v>
      </c>
      <c r="K41" s="142">
        <f t="shared" si="8"/>
        <v>-0.19102549056926199</v>
      </c>
    </row>
    <row r="42" spans="1:13">
      <c r="A42" t="s">
        <v>200</v>
      </c>
      <c r="C42" s="142">
        <f t="shared" si="8"/>
        <v>3.5291185535359482E-2</v>
      </c>
      <c r="D42" s="142">
        <f t="shared" si="8"/>
        <v>-0.30174999890455756</v>
      </c>
      <c r="E42" s="142">
        <f t="shared" si="8"/>
        <v>0.19891663917095492</v>
      </c>
      <c r="F42" s="142">
        <f t="shared" si="8"/>
        <v>0.16044648436247799</v>
      </c>
      <c r="G42" s="142">
        <f t="shared" si="8"/>
        <v>8.4317220802176518E-2</v>
      </c>
      <c r="H42" s="142">
        <f t="shared" si="8"/>
        <v>9.1949351406057422E-2</v>
      </c>
      <c r="I42" s="142">
        <f t="shared" si="8"/>
        <v>0.15239803846740241</v>
      </c>
      <c r="J42" s="142">
        <f t="shared" si="8"/>
        <v>-8.7780156020075162E-2</v>
      </c>
      <c r="K42" s="142">
        <f t="shared" si="8"/>
        <v>-9.5384803068383595E-2</v>
      </c>
    </row>
    <row r="43" spans="1:13">
      <c r="A43" t="s">
        <v>201</v>
      </c>
      <c r="C43" s="142">
        <f t="shared" si="8"/>
        <v>-1.4707585774641485E-3</v>
      </c>
      <c r="D43" s="142">
        <f t="shared" si="8"/>
        <v>-0.11481083890716737</v>
      </c>
      <c r="E43" s="142">
        <f t="shared" si="8"/>
        <v>0.26719948982152908</v>
      </c>
      <c r="F43" s="142">
        <f t="shared" si="8"/>
        <v>8.3663002214185989E-2</v>
      </c>
      <c r="G43" s="142">
        <f t="shared" si="8"/>
        <v>8.2660511431244643E-2</v>
      </c>
      <c r="H43" s="142">
        <f t="shared" si="8"/>
        <v>1.9162779454743761E-2</v>
      </c>
      <c r="I43" s="142">
        <f t="shared" si="8"/>
        <v>0.11842832350630728</v>
      </c>
      <c r="J43" s="142">
        <f t="shared" si="8"/>
        <v>-4.9446545070276016E-2</v>
      </c>
      <c r="K43" s="142">
        <f t="shared" si="8"/>
        <v>-6.4762905844079066E-2</v>
      </c>
    </row>
    <row r="44" spans="1:13">
      <c r="C44" s="142"/>
      <c r="D44" s="142"/>
      <c r="E44" s="142"/>
      <c r="F44" s="142"/>
      <c r="G44" s="142"/>
      <c r="H44" s="142"/>
      <c r="I44" s="142"/>
      <c r="J44" s="142"/>
      <c r="K44" s="142"/>
    </row>
    <row r="45" spans="1:13">
      <c r="A45" s="10" t="s">
        <v>211</v>
      </c>
      <c r="C45" s="142"/>
      <c r="D45" s="142"/>
      <c r="E45" s="142"/>
      <c r="F45" s="142"/>
      <c r="G45" s="142"/>
      <c r="H45" s="142"/>
      <c r="I45" s="142"/>
      <c r="J45" s="142"/>
      <c r="K45" s="142"/>
      <c r="M45" s="10" t="s">
        <v>212</v>
      </c>
    </row>
    <row r="46" spans="1:13">
      <c r="A46" t="s">
        <v>196</v>
      </c>
      <c r="B46" s="17">
        <v>100</v>
      </c>
      <c r="C46" s="17">
        <f>B46*(1+C38)</f>
        <v>117.34472322077951</v>
      </c>
      <c r="D46" s="17">
        <f t="shared" ref="D46:K46" si="9">C46*(1+D38)</f>
        <v>107.11701393170445</v>
      </c>
      <c r="E46" s="17">
        <f t="shared" si="9"/>
        <v>117.34567019778616</v>
      </c>
      <c r="F46" s="17">
        <f t="shared" si="9"/>
        <v>124.02047724976823</v>
      </c>
      <c r="G46" s="17">
        <f t="shared" si="9"/>
        <v>120.08572715677559</v>
      </c>
      <c r="H46" s="17">
        <f t="shared" si="9"/>
        <v>119.79914407657128</v>
      </c>
      <c r="I46" s="17">
        <f t="shared" si="9"/>
        <v>137.75732318354116</v>
      </c>
      <c r="J46" s="17">
        <f t="shared" si="9"/>
        <v>139.66182861502369</v>
      </c>
      <c r="K46" s="17">
        <f t="shared" si="9"/>
        <v>146.56975710385106</v>
      </c>
      <c r="M46" s="142">
        <f>SUM(C46:K46)/SUM(B46:J46)-1</f>
        <v>4.2995462303078602E-2</v>
      </c>
    </row>
    <row r="47" spans="1:13">
      <c r="A47" t="s">
        <v>197</v>
      </c>
      <c r="B47" s="17">
        <v>100</v>
      </c>
      <c r="C47" s="17">
        <f t="shared" ref="C47:K51" si="10">B47*(1+C39)</f>
        <v>91.094928819919545</v>
      </c>
      <c r="D47" s="17">
        <f t="shared" si="10"/>
        <v>59.610189098171411</v>
      </c>
      <c r="E47" s="17">
        <f t="shared" si="10"/>
        <v>87.902076171128215</v>
      </c>
      <c r="F47" s="17">
        <f t="shared" si="10"/>
        <v>103.21790024596378</v>
      </c>
      <c r="G47" s="17">
        <f t="shared" si="10"/>
        <v>122.69370699641068</v>
      </c>
      <c r="H47" s="17">
        <f t="shared" si="10"/>
        <v>141.30582578080654</v>
      </c>
      <c r="I47" s="17">
        <f t="shared" si="10"/>
        <v>142.87633258143964</v>
      </c>
      <c r="J47" s="17">
        <f t="shared" si="10"/>
        <v>149.09501393314585</v>
      </c>
      <c r="K47" s="17">
        <f t="shared" si="10"/>
        <v>140.00267176856934</v>
      </c>
      <c r="M47" s="142">
        <f t="shared" ref="M47:M51" si="11">SUM(C47:K47)/SUM(B47:J47)-1</f>
        <v>4.0091033463644621E-2</v>
      </c>
    </row>
    <row r="48" spans="1:13">
      <c r="A48" t="s">
        <v>198</v>
      </c>
      <c r="B48" s="17">
        <v>100</v>
      </c>
      <c r="C48" s="17">
        <f t="shared" si="10"/>
        <v>106.05136216193691</v>
      </c>
      <c r="D48" s="17">
        <f t="shared" si="10"/>
        <v>95.464336842274577</v>
      </c>
      <c r="E48" s="17">
        <f t="shared" si="10"/>
        <v>107.3783525083478</v>
      </c>
      <c r="F48" s="17">
        <f t="shared" si="10"/>
        <v>120.39297253642748</v>
      </c>
      <c r="G48" s="17">
        <f t="shared" si="10"/>
        <v>135.539018455275</v>
      </c>
      <c r="H48" s="17">
        <f t="shared" si="10"/>
        <v>146.23973876863838</v>
      </c>
      <c r="I48" s="17">
        <f t="shared" si="10"/>
        <v>153.35815522814778</v>
      </c>
      <c r="J48" s="17">
        <f t="shared" si="10"/>
        <v>156.70328543556133</v>
      </c>
      <c r="K48" s="17">
        <f t="shared" si="10"/>
        <v>158.47993997216039</v>
      </c>
      <c r="M48" s="142">
        <f t="shared" si="11"/>
        <v>5.2161734036877183E-2</v>
      </c>
    </row>
    <row r="49" spans="1:14">
      <c r="A49" t="s">
        <v>199</v>
      </c>
      <c r="B49" s="17">
        <v>100</v>
      </c>
      <c r="C49" s="17">
        <f t="shared" si="10"/>
        <v>110.94495084854516</v>
      </c>
      <c r="D49" s="17">
        <f t="shared" si="10"/>
        <v>114.9571046480326</v>
      </c>
      <c r="E49" s="17">
        <f t="shared" si="10"/>
        <v>119.4182554705821</v>
      </c>
      <c r="F49" s="17">
        <f t="shared" si="10"/>
        <v>126.17723544651243</v>
      </c>
      <c r="G49" s="17">
        <f t="shared" si="10"/>
        <v>116.34851593122961</v>
      </c>
      <c r="H49" s="17">
        <f t="shared" si="10"/>
        <v>122.6656384845999</v>
      </c>
      <c r="I49" s="17">
        <f t="shared" si="10"/>
        <v>127.48112809841064</v>
      </c>
      <c r="J49" s="17">
        <f t="shared" si="10"/>
        <v>114.53307045616991</v>
      </c>
      <c r="K49" s="17">
        <f t="shared" si="10"/>
        <v>92.654334485876205</v>
      </c>
      <c r="M49" s="142">
        <f t="shared" si="11"/>
        <v>-6.9790829075296879E-3</v>
      </c>
    </row>
    <row r="50" spans="1:14">
      <c r="A50" t="s">
        <v>200</v>
      </c>
      <c r="B50" s="17">
        <v>100</v>
      </c>
      <c r="C50" s="17">
        <f t="shared" si="10"/>
        <v>103.52911855353595</v>
      </c>
      <c r="D50" s="17">
        <f t="shared" si="10"/>
        <v>72.289207143416675</v>
      </c>
      <c r="E50" s="17">
        <f t="shared" si="10"/>
        <v>86.6687332767181</v>
      </c>
      <c r="F50" s="17">
        <f t="shared" si="10"/>
        <v>100.57442683511682</v>
      </c>
      <c r="G50" s="17">
        <f t="shared" si="10"/>
        <v>109.05458298962571</v>
      </c>
      <c r="H50" s="17">
        <f t="shared" si="10"/>
        <v>119.08208116337987</v>
      </c>
      <c r="I50" s="17">
        <f t="shared" si="10"/>
        <v>137.22995674929496</v>
      </c>
      <c r="J50" s="17">
        <f t="shared" si="10"/>
        <v>125.18388973521368</v>
      </c>
      <c r="K50" s="17">
        <f t="shared" si="10"/>
        <v>113.24324906548608</v>
      </c>
      <c r="M50" s="142">
        <f t="shared" si="11"/>
        <v>1.3887460638957849E-2</v>
      </c>
    </row>
    <row r="51" spans="1:14">
      <c r="A51" t="s">
        <v>201</v>
      </c>
      <c r="B51" s="17">
        <v>100</v>
      </c>
      <c r="C51" s="17">
        <f t="shared" si="10"/>
        <v>99.852924142253585</v>
      </c>
      <c r="D51" s="17">
        <f t="shared" si="10"/>
        <v>88.388726154147705</v>
      </c>
      <c r="E51" s="17">
        <f t="shared" si="10"/>
        <v>112.00614868851082</v>
      </c>
      <c r="F51" s="17">
        <f t="shared" si="10"/>
        <v>121.37691935424014</v>
      </c>
      <c r="G51" s="17">
        <f t="shared" si="10"/>
        <v>131.40999758401057</v>
      </c>
      <c r="H51" s="17">
        <f t="shared" si="10"/>
        <v>133.92817838586137</v>
      </c>
      <c r="I51" s="17">
        <f t="shared" si="10"/>
        <v>149.78906802235258</v>
      </c>
      <c r="J51" s="17">
        <f t="shared" si="10"/>
        <v>142.3825161193507</v>
      </c>
      <c r="K51" s="17">
        <f t="shared" si="10"/>
        <v>133.16141063407011</v>
      </c>
      <c r="M51" s="142">
        <f t="shared" si="11"/>
        <v>3.0729636849041064E-2</v>
      </c>
    </row>
    <row r="53" spans="1:14">
      <c r="A53" s="10" t="s">
        <v>213</v>
      </c>
      <c r="L53" t="s">
        <v>214</v>
      </c>
      <c r="M53" t="s">
        <v>100</v>
      </c>
      <c r="N53" t="s">
        <v>102</v>
      </c>
    </row>
    <row r="54" spans="1:14">
      <c r="A54" t="s">
        <v>196</v>
      </c>
      <c r="G54" s="142">
        <f t="shared" ref="G54:K59" si="12">SUM(C30:G30)/SUM(B30:F30)-1</f>
        <v>3.5237940225732567E-2</v>
      </c>
      <c r="H54" s="142">
        <f t="shared" si="12"/>
        <v>2.2773209619129098E-2</v>
      </c>
      <c r="I54" s="142">
        <f t="shared" si="12"/>
        <v>2.0277367039975625E-2</v>
      </c>
      <c r="J54" s="142">
        <f t="shared" si="12"/>
        <v>3.3321176682243214E-2</v>
      </c>
      <c r="K54" s="142">
        <f t="shared" si="12"/>
        <v>2.4497380766245858E-2</v>
      </c>
      <c r="L54" s="135">
        <f>MEDIAN(G54:K54)</f>
        <v>2.4497380766245858E-2</v>
      </c>
      <c r="M54" s="135">
        <f>MAX(G54:K54)</f>
        <v>3.5237940225732567E-2</v>
      </c>
      <c r="N54" s="135">
        <f>MIN(G54:K54)</f>
        <v>2.0277367039975625E-2</v>
      </c>
    </row>
    <row r="55" spans="1:14">
      <c r="A55" t="s">
        <v>197</v>
      </c>
      <c r="G55" s="142">
        <f t="shared" si="12"/>
        <v>7.4806328098081298E-2</v>
      </c>
      <c r="H55" s="142">
        <f t="shared" si="12"/>
        <v>6.2139805286011596E-2</v>
      </c>
      <c r="I55" s="142">
        <f t="shared" si="12"/>
        <v>6.2759633192146058E-2</v>
      </c>
      <c r="J55" s="142">
        <f t="shared" si="12"/>
        <v>2.9368538080335682E-2</v>
      </c>
      <c r="K55" s="142">
        <f t="shared" si="12"/>
        <v>-5.8082016011082871E-3</v>
      </c>
      <c r="L55" s="135">
        <f t="shared" ref="L55:L59" si="13">MEDIAN(G55:K55)</f>
        <v>6.2139805286011596E-2</v>
      </c>
      <c r="M55" s="135">
        <f t="shared" ref="M55:M59" si="14">MAX(G55:K55)</f>
        <v>7.4806328098081298E-2</v>
      </c>
      <c r="N55" s="135">
        <f t="shared" ref="N55:N59" si="15">MIN(G55:K55)</f>
        <v>-5.8082016011082871E-3</v>
      </c>
    </row>
    <row r="56" spans="1:14">
      <c r="A56" t="s">
        <v>198</v>
      </c>
      <c r="G56" s="142">
        <f t="shared" si="12"/>
        <v>2.2819771327762028E-2</v>
      </c>
      <c r="H56" s="142">
        <f t="shared" si="12"/>
        <v>4.2571032574834078E-3</v>
      </c>
      <c r="I56" s="142">
        <f t="shared" si="12"/>
        <v>4.4353280050504207E-3</v>
      </c>
      <c r="J56" s="142">
        <f t="shared" si="12"/>
        <v>2.0537665539230421E-2</v>
      </c>
      <c r="K56" s="142">
        <f t="shared" si="12"/>
        <v>3.3771389034312982E-2</v>
      </c>
      <c r="L56" s="135">
        <f t="shared" si="13"/>
        <v>2.0537665539230421E-2</v>
      </c>
      <c r="M56" s="135">
        <f t="shared" si="14"/>
        <v>3.3771389034312982E-2</v>
      </c>
      <c r="N56" s="135">
        <f t="shared" si="15"/>
        <v>4.2571032574834078E-3</v>
      </c>
    </row>
    <row r="57" spans="1:14">
      <c r="A57" t="s">
        <v>199</v>
      </c>
      <c r="G57" s="142">
        <f t="shared" si="12"/>
        <v>6.759224341517367E-2</v>
      </c>
      <c r="H57" s="142">
        <f t="shared" si="12"/>
        <v>8.8104493041049059E-2</v>
      </c>
      <c r="I57" s="142">
        <f t="shared" si="12"/>
        <v>4.9751005334106368E-2</v>
      </c>
      <c r="J57" s="142">
        <f t="shared" si="12"/>
        <v>7.7702799938177192E-2</v>
      </c>
      <c r="K57" s="142">
        <f t="shared" si="12"/>
        <v>8.2752597354389668E-2</v>
      </c>
      <c r="L57" s="135">
        <f t="shared" si="13"/>
        <v>7.7702799938177192E-2</v>
      </c>
      <c r="M57" s="135">
        <f t="shared" si="14"/>
        <v>8.8104493041049059E-2</v>
      </c>
      <c r="N57" s="135">
        <f t="shared" si="15"/>
        <v>4.9751005334106368E-2</v>
      </c>
    </row>
    <row r="58" spans="1:14">
      <c r="A58" t="s">
        <v>200</v>
      </c>
      <c r="G58" s="142">
        <f t="shared" si="12"/>
        <v>2.8922736128579096E-2</v>
      </c>
      <c r="H58" s="142">
        <f t="shared" si="12"/>
        <v>9.1802792842630154E-3</v>
      </c>
      <c r="I58" s="142">
        <f t="shared" si="12"/>
        <v>2.2271370759767706E-2</v>
      </c>
      <c r="J58" s="142">
        <f t="shared" si="12"/>
        <v>2.815652142066738E-2</v>
      </c>
      <c r="K58" s="142">
        <f t="shared" si="12"/>
        <v>1.8786567426902545E-2</v>
      </c>
      <c r="L58" s="135">
        <f t="shared" si="13"/>
        <v>2.2271370759767706E-2</v>
      </c>
      <c r="M58" s="135">
        <f t="shared" si="14"/>
        <v>2.8922736128579096E-2</v>
      </c>
      <c r="N58" s="135">
        <f t="shared" si="15"/>
        <v>9.1802792842630154E-3</v>
      </c>
    </row>
    <row r="59" spans="1:14">
      <c r="A59" t="s">
        <v>201</v>
      </c>
      <c r="G59" s="142">
        <f t="shared" si="12"/>
        <v>6.5165955105898732E-2</v>
      </c>
      <c r="H59" s="142">
        <f t="shared" si="12"/>
        <v>5.4611082805738453E-2</v>
      </c>
      <c r="I59" s="142">
        <f t="shared" si="12"/>
        <v>6.97118724877972E-2</v>
      </c>
      <c r="J59" s="142">
        <f t="shared" si="12"/>
        <v>4.8087247558500579E-2</v>
      </c>
      <c r="K59" s="142">
        <f t="shared" si="12"/>
        <v>2.1025187734753592E-2</v>
      </c>
      <c r="L59" s="135">
        <f t="shared" si="13"/>
        <v>5.4611082805738453E-2</v>
      </c>
      <c r="M59" s="135">
        <f t="shared" si="14"/>
        <v>6.97118724877972E-2</v>
      </c>
      <c r="N59" s="135">
        <f t="shared" si="15"/>
        <v>2.1025187734753592E-2</v>
      </c>
    </row>
    <row r="61" spans="1:14">
      <c r="A61" s="10" t="s">
        <v>215</v>
      </c>
      <c r="L61" t="s">
        <v>214</v>
      </c>
      <c r="M61" t="s">
        <v>100</v>
      </c>
      <c r="N61" t="s">
        <v>102</v>
      </c>
    </row>
    <row r="62" spans="1:14">
      <c r="A62" t="s">
        <v>196</v>
      </c>
      <c r="G62" s="142">
        <f t="shared" ref="G62:K67" si="16">SUM(C11:G11)/SUM(B11:F11)-1</f>
        <v>2.0508229073403772E-3</v>
      </c>
      <c r="H62" s="142">
        <f t="shared" si="16"/>
        <v>-1.7972881625511916E-2</v>
      </c>
      <c r="I62" s="142">
        <f t="shared" si="16"/>
        <v>3.1120712446617738E-2</v>
      </c>
      <c r="J62" s="142">
        <f t="shared" si="16"/>
        <v>1.8848965732303213E-3</v>
      </c>
      <c r="K62" s="142">
        <f t="shared" si="16"/>
        <v>9.5681424661828718E-3</v>
      </c>
      <c r="L62" s="135">
        <f>MEDIAN(G62:H62,J62:K62)</f>
        <v>1.9678597402853493E-3</v>
      </c>
      <c r="M62" s="135">
        <f>MAX(G62:H62,J62:K62)</f>
        <v>9.5681424661828718E-3</v>
      </c>
      <c r="N62" s="135">
        <f>MIN(G62:H62,J62:K62)</f>
        <v>-1.7972881625511916E-2</v>
      </c>
    </row>
    <row r="63" spans="1:14">
      <c r="A63" t="s">
        <v>197</v>
      </c>
      <c r="G63" s="142">
        <f t="shared" si="16"/>
        <v>-3.8052434456928852E-2</v>
      </c>
      <c r="H63" s="142">
        <f t="shared" si="16"/>
        <v>3.4060115246846268E-2</v>
      </c>
      <c r="I63" s="142">
        <f t="shared" si="16"/>
        <v>0.10628492251155919</v>
      </c>
      <c r="J63" s="142">
        <f t="shared" si="16"/>
        <v>7.693250197402457E-2</v>
      </c>
      <c r="K63" s="142">
        <f t="shared" si="16"/>
        <v>6.5583717843372691E-2</v>
      </c>
      <c r="L63" s="135">
        <f t="shared" ref="L63:L67" si="17">MEDIAN(G63:H63,J63:K63)</f>
        <v>4.9821916545109479E-2</v>
      </c>
      <c r="M63" s="135">
        <f t="shared" ref="M63:M67" si="18">MAX(G63:H63,J63:K63)</f>
        <v>7.693250197402457E-2</v>
      </c>
      <c r="N63" s="135">
        <f t="shared" ref="N63:N67" si="19">MIN(G63:H63,J63:K63)</f>
        <v>-3.8052434456928852E-2</v>
      </c>
    </row>
    <row r="64" spans="1:14">
      <c r="A64" t="s">
        <v>198</v>
      </c>
      <c r="G64" s="142">
        <f t="shared" si="16"/>
        <v>4.2371081937925936E-2</v>
      </c>
      <c r="H64" s="142">
        <f t="shared" si="16"/>
        <v>6.7277299355183118E-2</v>
      </c>
      <c r="I64" s="142">
        <f t="shared" si="16"/>
        <v>9.0375401463697047E-2</v>
      </c>
      <c r="J64" s="142">
        <f t="shared" si="16"/>
        <v>5.2735459571694232E-2</v>
      </c>
      <c r="K64" s="142">
        <f t="shared" si="16"/>
        <v>2.1277083703622912E-2</v>
      </c>
      <c r="L64" s="135">
        <f t="shared" si="17"/>
        <v>4.7553270754810084E-2</v>
      </c>
      <c r="M64" s="135">
        <f t="shared" si="18"/>
        <v>6.7277299355183118E-2</v>
      </c>
      <c r="N64" s="135">
        <f t="shared" si="19"/>
        <v>2.1277083703622912E-2</v>
      </c>
    </row>
    <row r="65" spans="1:14">
      <c r="A65" t="s">
        <v>199</v>
      </c>
      <c r="G65" s="142">
        <f t="shared" si="16"/>
        <v>-3.6859548361066197E-2</v>
      </c>
      <c r="H65" s="142">
        <f t="shared" si="16"/>
        <v>-6.2236273139378406E-2</v>
      </c>
      <c r="I65" s="142">
        <f t="shared" si="16"/>
        <v>-2.4952983296880893E-2</v>
      </c>
      <c r="J65" s="142">
        <f t="shared" si="16"/>
        <v>-7.0934976192449262E-2</v>
      </c>
      <c r="K65" s="142">
        <f t="shared" si="16"/>
        <v>-0.12452891314778292</v>
      </c>
      <c r="L65" s="135">
        <f t="shared" si="17"/>
        <v>-6.6585624665913834E-2</v>
      </c>
      <c r="M65" s="135">
        <f t="shared" si="18"/>
        <v>-3.6859548361066197E-2</v>
      </c>
      <c r="N65" s="135">
        <f t="shared" si="19"/>
        <v>-0.12452891314778292</v>
      </c>
    </row>
    <row r="66" spans="1:14">
      <c r="A66" t="s">
        <v>200</v>
      </c>
      <c r="G66" s="142">
        <f t="shared" si="16"/>
        <v>-1.2882234521310321E-2</v>
      </c>
      <c r="H66" s="142">
        <f t="shared" si="16"/>
        <v>2.1971990856957557E-2</v>
      </c>
      <c r="I66" s="142">
        <f t="shared" si="16"/>
        <v>0.11039981447973468</v>
      </c>
      <c r="J66" s="142">
        <f t="shared" si="16"/>
        <v>4.2744319992965352E-2</v>
      </c>
      <c r="K66" s="142">
        <f t="shared" si="16"/>
        <v>4.6275921499592254E-3</v>
      </c>
      <c r="L66" s="135">
        <f t="shared" si="17"/>
        <v>1.3299791503458391E-2</v>
      </c>
      <c r="M66" s="135">
        <f t="shared" si="18"/>
        <v>4.2744319992965352E-2</v>
      </c>
      <c r="N66" s="135">
        <f t="shared" si="19"/>
        <v>-1.2882234521310321E-2</v>
      </c>
    </row>
    <row r="67" spans="1:14">
      <c r="A67" t="s">
        <v>201</v>
      </c>
      <c r="G67" s="142">
        <f t="shared" si="16"/>
        <v>-6.5370685041129528E-3</v>
      </c>
      <c r="H67" s="142">
        <f t="shared" si="16"/>
        <v>6.2662475220076619E-3</v>
      </c>
      <c r="I67" s="142">
        <f t="shared" si="16"/>
        <v>3.5193184358122576E-2</v>
      </c>
      <c r="J67" s="142">
        <f t="shared" si="16"/>
        <v>-9.7413275822677559E-4</v>
      </c>
      <c r="K67" s="142">
        <f t="shared" si="16"/>
        <v>-3.2871341869494808E-3</v>
      </c>
      <c r="L67" s="135">
        <f t="shared" si="17"/>
        <v>-2.1306334725881282E-3</v>
      </c>
      <c r="M67" s="135">
        <f t="shared" si="18"/>
        <v>6.2662475220076619E-3</v>
      </c>
      <c r="N67" s="135">
        <f t="shared" si="19"/>
        <v>-6.5370685041129528E-3</v>
      </c>
    </row>
    <row r="69" spans="1:14">
      <c r="A69" s="10" t="s">
        <v>216</v>
      </c>
    </row>
    <row r="70" spans="1:14">
      <c r="A70" t="s">
        <v>217</v>
      </c>
      <c r="B70">
        <v>797</v>
      </c>
      <c r="C70">
        <v>852</v>
      </c>
      <c r="D70">
        <v>770</v>
      </c>
      <c r="E70">
        <v>896</v>
      </c>
      <c r="F70">
        <v>1049</v>
      </c>
      <c r="G70">
        <v>1240</v>
      </c>
      <c r="H70">
        <v>1279</v>
      </c>
      <c r="I70">
        <v>1428</v>
      </c>
      <c r="J70">
        <v>1416</v>
      </c>
      <c r="K70">
        <v>1340</v>
      </c>
    </row>
    <row r="71" spans="1:14">
      <c r="G71" s="142">
        <f>SUM(C70:G70)/SUM(B70:F70)-1</f>
        <v>0.10151237396883594</v>
      </c>
      <c r="H71" s="142">
        <f t="shared" ref="H71:K71" si="20">SUM(D70:H70)/SUM(C70:G70)-1</f>
        <v>8.8828791345953784E-2</v>
      </c>
      <c r="I71" s="142">
        <f t="shared" si="20"/>
        <v>0.12571646923958735</v>
      </c>
      <c r="J71" s="142">
        <f t="shared" si="20"/>
        <v>8.8255261371350979E-2</v>
      </c>
      <c r="K71" s="142">
        <f t="shared" si="20"/>
        <v>4.5383655645664378E-2</v>
      </c>
    </row>
    <row r="73" spans="1:14">
      <c r="A73" s="10" t="s">
        <v>218</v>
      </c>
    </row>
    <row r="74" spans="1:14">
      <c r="A74" t="s">
        <v>196</v>
      </c>
      <c r="C74" s="142">
        <f t="shared" ref="C74:K79" si="21">C11/B11-1</f>
        <v>0.10003476878756268</v>
      </c>
      <c r="D74" s="142">
        <f t="shared" si="21"/>
        <v>-8.3318282385876241E-2</v>
      </c>
      <c r="E74" s="142">
        <f t="shared" si="21"/>
        <v>8.6568891844299056E-2</v>
      </c>
      <c r="F74" s="142">
        <f t="shared" si="21"/>
        <v>-1.6206353343835023E-3</v>
      </c>
      <c r="G74" s="142">
        <f t="shared" si="21"/>
        <v>-7.5907553295343599E-2</v>
      </c>
      <c r="H74" s="142">
        <f t="shared" si="21"/>
        <v>-6.1788298303585565E-3</v>
      </c>
      <c r="I74" s="142">
        <f t="shared" si="21"/>
        <v>0.16524522891327997</v>
      </c>
      <c r="J74" s="142">
        <f t="shared" si="21"/>
        <v>-5.5371103072990091E-2</v>
      </c>
      <c r="K74" s="142">
        <f>K11/J11-1</f>
        <v>3.5832594073192281E-2</v>
      </c>
    </row>
    <row r="75" spans="1:14">
      <c r="A75" t="s">
        <v>197</v>
      </c>
      <c r="C75" s="142">
        <f t="shared" si="21"/>
        <v>-0.20020592609541243</v>
      </c>
      <c r="D75" s="142">
        <f t="shared" si="21"/>
        <v>-0.3033900729509369</v>
      </c>
      <c r="E75" s="142">
        <f t="shared" si="21"/>
        <v>0.28767967145790552</v>
      </c>
      <c r="F75" s="142">
        <f t="shared" si="21"/>
        <v>3.6836230266305225E-2</v>
      </c>
      <c r="G75" s="142">
        <f t="shared" si="21"/>
        <v>0.14903106736388794</v>
      </c>
      <c r="H75" s="142">
        <f t="shared" si="21"/>
        <v>8.2117521081515266E-2</v>
      </c>
      <c r="I75" s="142">
        <f t="shared" si="21"/>
        <v>3.8839755086894634E-2</v>
      </c>
      <c r="J75" s="142">
        <f t="shared" si="21"/>
        <v>8.3110079180806151E-2</v>
      </c>
      <c r="K75" s="142">
        <f t="shared" si="21"/>
        <v>-5.4966195789596384E-5</v>
      </c>
    </row>
    <row r="76" spans="1:14">
      <c r="A76" t="s">
        <v>198</v>
      </c>
      <c r="C76" s="142">
        <f t="shared" si="21"/>
        <v>-3.0325011942463842E-2</v>
      </c>
      <c r="D76" s="142">
        <f t="shared" si="21"/>
        <v>-0.12319594212418117</v>
      </c>
      <c r="E76" s="142">
        <f t="shared" si="21"/>
        <v>0.12856102382686507</v>
      </c>
      <c r="F76" s="142">
        <f t="shared" si="21"/>
        <v>9.7892427120019221E-2</v>
      </c>
      <c r="G76" s="142">
        <f t="shared" si="21"/>
        <v>0.1436465016291022</v>
      </c>
      <c r="H76" s="142">
        <f t="shared" si="21"/>
        <v>8.6173727880167306E-2</v>
      </c>
      <c r="I76" s="142">
        <f t="shared" si="21"/>
        <v>2.1037545799927004E-2</v>
      </c>
      <c r="J76" s="142">
        <f t="shared" si="21"/>
        <v>-5.0477363312543821E-2</v>
      </c>
      <c r="K76" s="142">
        <f t="shared" si="21"/>
        <v>-6.6144170025241644E-2</v>
      </c>
    </row>
    <row r="77" spans="1:14">
      <c r="A77" t="s">
        <v>199</v>
      </c>
      <c r="C77" s="142">
        <f t="shared" si="21"/>
        <v>2.7660217654171815E-2</v>
      </c>
      <c r="D77" s="142">
        <f t="shared" si="21"/>
        <v>-0.15534405214389113</v>
      </c>
      <c r="E77" s="142">
        <f t="shared" si="21"/>
        <v>3.3708019630934727E-2</v>
      </c>
      <c r="F77" s="142">
        <f t="shared" si="21"/>
        <v>5.7557528714486494E-2</v>
      </c>
      <c r="G77" s="142">
        <f t="shared" si="21"/>
        <v>-0.13036589301957102</v>
      </c>
      <c r="H77" s="142">
        <f t="shared" si="21"/>
        <v>-9.9119855783598276E-2</v>
      </c>
      <c r="I77" s="142">
        <f t="shared" si="21"/>
        <v>2.384672181143066E-2</v>
      </c>
      <c r="J77" s="142">
        <f t="shared" si="21"/>
        <v>-0.21033241185415896</v>
      </c>
      <c r="K77" s="142">
        <f t="shared" si="21"/>
        <v>-0.22506121368539478</v>
      </c>
    </row>
    <row r="78" spans="1:14">
      <c r="A78" t="s">
        <v>200</v>
      </c>
      <c r="C78" s="142">
        <f t="shared" si="21"/>
        <v>-5.8514958260661221E-2</v>
      </c>
      <c r="D78" s="142">
        <f t="shared" si="21"/>
        <v>-0.26643946036145605</v>
      </c>
      <c r="E78" s="142">
        <f t="shared" si="21"/>
        <v>0.1633605151041968</v>
      </c>
      <c r="F78" s="142">
        <f t="shared" si="21"/>
        <v>0.10731270817107719</v>
      </c>
      <c r="G78" s="142">
        <f t="shared" si="21"/>
        <v>6.1371084806129517E-2</v>
      </c>
      <c r="H78" s="142">
        <f t="shared" si="21"/>
        <v>9.6384862669900206E-2</v>
      </c>
      <c r="I78" s="142">
        <f t="shared" si="21"/>
        <v>0.13238168724279831</v>
      </c>
      <c r="J78" s="142">
        <f t="shared" si="21"/>
        <v>-0.13800622345378977</v>
      </c>
      <c r="K78" s="142">
        <f t="shared" si="21"/>
        <v>-9.6479671154910296E-2</v>
      </c>
    </row>
    <row r="79" spans="1:14">
      <c r="A79" t="s">
        <v>201</v>
      </c>
      <c r="C79" s="142">
        <f t="shared" si="21"/>
        <v>-5.7121285259861598E-2</v>
      </c>
      <c r="D79" s="142">
        <f t="shared" si="21"/>
        <v>-7.9970595184961524E-2</v>
      </c>
      <c r="E79" s="142">
        <f t="shared" si="21"/>
        <v>0.13372142795993502</v>
      </c>
      <c r="F79" s="142">
        <f t="shared" si="21"/>
        <v>-1.3730524302147051E-2</v>
      </c>
      <c r="G79" s="142">
        <f t="shared" si="21"/>
        <v>-1.1484425842510637E-3</v>
      </c>
      <c r="H79" s="142">
        <f t="shared" si="21"/>
        <v>3.7942179695185096E-3</v>
      </c>
      <c r="I79" s="142">
        <f t="shared" si="21"/>
        <v>6.4308804439127343E-2</v>
      </c>
      <c r="J79" s="142">
        <f t="shared" si="21"/>
        <v>-5.4491970296674519E-2</v>
      </c>
      <c r="K79" s="142">
        <f t="shared" si="21"/>
        <v>-2.5433160490704432E-2</v>
      </c>
    </row>
    <row r="81" spans="1:11">
      <c r="A81" s="10" t="s">
        <v>219</v>
      </c>
    </row>
    <row r="82" spans="1:11">
      <c r="A82" t="s">
        <v>196</v>
      </c>
      <c r="C82" s="142">
        <f t="shared" ref="C82:K87" si="22">C30/B30-1</f>
        <v>6.6736493702963973E-2</v>
      </c>
      <c r="D82" s="142">
        <f t="shared" si="22"/>
        <v>-4.1903679417534256E-3</v>
      </c>
      <c r="E82" s="142">
        <f t="shared" si="22"/>
        <v>8.210799451428219E-3</v>
      </c>
      <c r="F82" s="142">
        <f t="shared" si="22"/>
        <v>5.8597179354373585E-2</v>
      </c>
      <c r="G82" s="142">
        <f t="shared" si="22"/>
        <v>4.7810083471034659E-2</v>
      </c>
      <c r="H82" s="142">
        <f t="shared" si="22"/>
        <v>3.815920307409959E-3</v>
      </c>
      <c r="I82" s="142">
        <f t="shared" si="22"/>
        <v>-1.3167039378953804E-2</v>
      </c>
      <c r="J82" s="142">
        <f t="shared" si="22"/>
        <v>7.325223595470387E-2</v>
      </c>
      <c r="K82" s="142">
        <f t="shared" si="22"/>
        <v>1.3157751429712095E-2</v>
      </c>
    </row>
    <row r="83" spans="1:11">
      <c r="A83" t="s">
        <v>197</v>
      </c>
      <c r="C83" s="142">
        <f t="shared" si="22"/>
        <v>0.13897979232572832</v>
      </c>
      <c r="D83" s="142">
        <f t="shared" si="22"/>
        <v>-6.0630101019241822E-2</v>
      </c>
      <c r="E83" s="142">
        <f t="shared" si="22"/>
        <v>0.14517219249457791</v>
      </c>
      <c r="F83" s="142">
        <f t="shared" si="22"/>
        <v>0.13251958924820739</v>
      </c>
      <c r="G83" s="142">
        <f t="shared" si="22"/>
        <v>3.4511914778777575E-2</v>
      </c>
      <c r="H83" s="142">
        <f t="shared" si="22"/>
        <v>6.4298255362635226E-2</v>
      </c>
      <c r="I83" s="142">
        <f t="shared" si="22"/>
        <v>-2.6688924234204991E-2</v>
      </c>
      <c r="J83" s="142">
        <f t="shared" si="22"/>
        <v>-3.6547676084491831E-2</v>
      </c>
      <c r="K83" s="142">
        <f t="shared" si="22"/>
        <v>-6.0931925807872322E-2</v>
      </c>
    </row>
    <row r="84" spans="1:11">
      <c r="A84" t="s">
        <v>198</v>
      </c>
      <c r="C84" s="142">
        <f t="shared" si="22"/>
        <v>9.3679464439731408E-2</v>
      </c>
      <c r="D84" s="142">
        <f t="shared" si="22"/>
        <v>2.6649873115946576E-2</v>
      </c>
      <c r="E84" s="142">
        <f t="shared" si="22"/>
        <v>-3.3319669072583435E-3</v>
      </c>
      <c r="F84" s="142">
        <f t="shared" si="22"/>
        <v>2.1232462699167121E-2</v>
      </c>
      <c r="G84" s="142">
        <f t="shared" si="22"/>
        <v>-1.5600480638626291E-2</v>
      </c>
      <c r="H84" s="142">
        <f t="shared" si="22"/>
        <v>-6.6511979155664536E-3</v>
      </c>
      <c r="I84" s="142">
        <f t="shared" si="22"/>
        <v>2.7069330225048427E-2</v>
      </c>
      <c r="J84" s="142">
        <f t="shared" si="22"/>
        <v>7.6132886183353898E-2</v>
      </c>
      <c r="K84" s="142">
        <f t="shared" si="22"/>
        <v>8.2969839247845956E-2</v>
      </c>
    </row>
    <row r="85" spans="1:11">
      <c r="A85" t="s">
        <v>199</v>
      </c>
      <c r="C85" s="142">
        <f t="shared" si="22"/>
        <v>7.9587872943042814E-2</v>
      </c>
      <c r="D85" s="142">
        <f t="shared" si="22"/>
        <v>0.22672842972606388</v>
      </c>
      <c r="E85" s="142">
        <f t="shared" si="22"/>
        <v>4.9327965771825966E-3</v>
      </c>
      <c r="F85" s="142">
        <f t="shared" si="22"/>
        <v>-9.0615388722781187E-4</v>
      </c>
      <c r="G85" s="142">
        <f t="shared" si="22"/>
        <v>6.0335436762733119E-2</v>
      </c>
      <c r="H85" s="142">
        <f t="shared" si="22"/>
        <v>0.17029422154255536</v>
      </c>
      <c r="I85" s="142">
        <f t="shared" si="22"/>
        <v>1.505138974206699E-2</v>
      </c>
      <c r="J85" s="142">
        <f t="shared" si="22"/>
        <v>0.13773388520990837</v>
      </c>
      <c r="K85" s="142">
        <f t="shared" si="22"/>
        <v>4.3920531166077303E-2</v>
      </c>
    </row>
    <row r="86" spans="1:11">
      <c r="A86" t="s">
        <v>200</v>
      </c>
      <c r="C86" s="142">
        <f t="shared" si="22"/>
        <v>9.9636361319898947E-2</v>
      </c>
      <c r="D86" s="142">
        <f t="shared" si="22"/>
        <v>-4.8135820610662239E-2</v>
      </c>
      <c r="E86" s="142">
        <f t="shared" si="22"/>
        <v>3.0563289371715818E-2</v>
      </c>
      <c r="F86" s="142">
        <f t="shared" si="22"/>
        <v>4.7984436374039818E-2</v>
      </c>
      <c r="G86" s="142">
        <f t="shared" si="22"/>
        <v>2.1619334014774116E-2</v>
      </c>
      <c r="H86" s="142">
        <f t="shared" si="22"/>
        <v>-4.0455787149792366E-3</v>
      </c>
      <c r="I86" s="142">
        <f t="shared" si="22"/>
        <v>1.7676328971145239E-2</v>
      </c>
      <c r="J86" s="142">
        <f t="shared" si="22"/>
        <v>5.8267320252540333E-2</v>
      </c>
      <c r="K86" s="142">
        <f t="shared" si="22"/>
        <v>1.2117802461912852E-3</v>
      </c>
    </row>
    <row r="87" spans="1:11">
      <c r="A87" t="s">
        <v>201</v>
      </c>
      <c r="C87" s="142">
        <f t="shared" si="22"/>
        <v>5.9021935496481159E-2</v>
      </c>
      <c r="D87" s="142">
        <f t="shared" si="22"/>
        <v>-3.7868619785266566E-2</v>
      </c>
      <c r="E87" s="142">
        <f t="shared" si="22"/>
        <v>0.11773444390283783</v>
      </c>
      <c r="F87" s="142">
        <f t="shared" si="22"/>
        <v>9.8749407658003774E-2</v>
      </c>
      <c r="G87" s="142">
        <f t="shared" si="22"/>
        <v>8.3905314451657054E-2</v>
      </c>
      <c r="H87" s="142">
        <f t="shared" si="22"/>
        <v>1.5310470223979689E-2</v>
      </c>
      <c r="I87" s="142">
        <f t="shared" si="22"/>
        <v>5.084945162668264E-2</v>
      </c>
      <c r="J87" s="142">
        <f t="shared" si="22"/>
        <v>5.3362055824968113E-3</v>
      </c>
      <c r="K87" s="142">
        <f t="shared" si="22"/>
        <v>-4.0356129265774587E-2</v>
      </c>
    </row>
    <row r="91" spans="1:11">
      <c r="B91" t="s">
        <v>220</v>
      </c>
    </row>
    <row r="92" spans="1:11">
      <c r="A92" t="s">
        <v>196</v>
      </c>
      <c r="B92" s="17">
        <v>3507.6356219285271</v>
      </c>
    </row>
    <row r="93" spans="1:11">
      <c r="A93" t="s">
        <v>197</v>
      </c>
      <c r="B93" s="17">
        <v>1976.8538575313707</v>
      </c>
    </row>
    <row r="94" spans="1:11">
      <c r="A94" t="s">
        <v>198</v>
      </c>
      <c r="B94" s="17">
        <v>3388.8000063616269</v>
      </c>
    </row>
    <row r="95" spans="1:11">
      <c r="A95" t="s">
        <v>199</v>
      </c>
      <c r="B95" s="17">
        <v>2291.0094311115354</v>
      </c>
    </row>
    <row r="96" spans="1:11">
      <c r="A96" t="s">
        <v>200</v>
      </c>
      <c r="B96" s="17">
        <v>3260.7452009478825</v>
      </c>
    </row>
    <row r="97" spans="1:2">
      <c r="A97" t="s">
        <v>201</v>
      </c>
      <c r="B97" s="17">
        <v>3611.9558821190576</v>
      </c>
    </row>
    <row r="98" spans="1:2">
      <c r="A98" t="s">
        <v>206</v>
      </c>
      <c r="B98" s="17">
        <v>560</v>
      </c>
    </row>
    <row r="99" spans="1:2">
      <c r="A99" t="s">
        <v>221</v>
      </c>
      <c r="B99" s="17">
        <v>1340</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56"/>
  <sheetViews>
    <sheetView workbookViewId="0">
      <pane xSplit="1" ySplit="1" topLeftCell="B2" activePane="bottomRight" state="frozen"/>
      <selection activeCell="F19" sqref="F19:K19"/>
      <selection pane="topRight" activeCell="F19" sqref="F19:K19"/>
      <selection pane="bottomLeft" activeCell="F19" sqref="F19:K19"/>
      <selection pane="bottomRight" activeCell="F19" sqref="F19:K19"/>
    </sheetView>
  </sheetViews>
  <sheetFormatPr defaultRowHeight="14.25"/>
  <cols>
    <col min="1" max="1" width="43.1328125" customWidth="1"/>
    <col min="2" max="11" width="9.59765625" customWidth="1"/>
  </cols>
  <sheetData>
    <row r="1" spans="1:16">
      <c r="B1" s="134">
        <v>39447</v>
      </c>
      <c r="C1" s="134">
        <v>39813</v>
      </c>
      <c r="D1" s="134">
        <v>40178</v>
      </c>
      <c r="E1" s="134">
        <v>40543</v>
      </c>
      <c r="F1" s="134">
        <v>40908</v>
      </c>
      <c r="G1" s="134">
        <v>41274</v>
      </c>
      <c r="H1" s="134">
        <v>41639</v>
      </c>
      <c r="I1" s="134">
        <v>42004</v>
      </c>
      <c r="J1" s="134">
        <v>42369</v>
      </c>
      <c r="K1" s="134">
        <v>42735</v>
      </c>
      <c r="L1" s="134">
        <v>43100</v>
      </c>
      <c r="M1" s="134">
        <v>43465</v>
      </c>
      <c r="N1" s="134">
        <v>43830</v>
      </c>
      <c r="O1" s="134">
        <v>44196</v>
      </c>
      <c r="P1" s="134">
        <v>44561</v>
      </c>
    </row>
    <row r="2" spans="1:16">
      <c r="A2" s="140" t="s">
        <v>222</v>
      </c>
      <c r="B2" s="141"/>
      <c r="C2" s="141"/>
      <c r="D2" s="141"/>
      <c r="E2" s="141"/>
      <c r="F2" s="141"/>
      <c r="G2" s="141"/>
      <c r="H2" s="141"/>
      <c r="I2" s="141"/>
      <c r="J2" s="141"/>
      <c r="K2" s="141"/>
      <c r="L2" s="141"/>
      <c r="M2" s="141"/>
      <c r="N2" s="141"/>
      <c r="O2" s="141"/>
      <c r="P2" s="141"/>
    </row>
    <row r="3" spans="1:16">
      <c r="A3" s="144" t="s">
        <v>190</v>
      </c>
      <c r="B3" s="145"/>
      <c r="C3" s="145"/>
      <c r="D3" s="145"/>
      <c r="E3" s="145"/>
      <c r="F3" s="145"/>
      <c r="G3" s="145"/>
      <c r="H3" s="145"/>
      <c r="I3" s="145"/>
      <c r="J3" s="145"/>
      <c r="K3" s="145"/>
      <c r="L3" s="145"/>
      <c r="M3" s="145"/>
      <c r="N3" s="145"/>
      <c r="O3" s="145"/>
      <c r="P3" s="145"/>
    </row>
    <row r="4" spans="1:16">
      <c r="A4" t="s">
        <v>196</v>
      </c>
      <c r="B4" s="18">
        <v>80532</v>
      </c>
      <c r="C4" s="18">
        <v>88588</v>
      </c>
      <c r="D4" s="18">
        <v>81207</v>
      </c>
      <c r="E4" s="18">
        <v>88237</v>
      </c>
      <c r="F4" s="18">
        <v>88094</v>
      </c>
      <c r="G4" s="18">
        <v>81407</v>
      </c>
      <c r="H4" s="18">
        <v>80904</v>
      </c>
      <c r="I4" s="18">
        <v>94273</v>
      </c>
      <c r="J4" s="18">
        <v>89053</v>
      </c>
      <c r="K4" s="18">
        <v>92244</v>
      </c>
      <c r="L4" s="18">
        <f>K4*(1+L20)</f>
        <v>93126.603733650569</v>
      </c>
      <c r="M4" s="18">
        <f t="shared" ref="M4:P4" si="0">L4*(1+M20)</f>
        <v>94017.65234556589</v>
      </c>
      <c r="N4" s="18">
        <f t="shared" si="0"/>
        <v>94917.226637544314</v>
      </c>
      <c r="O4" s="18">
        <f t="shared" si="0"/>
        <v>95825.408184507309</v>
      </c>
      <c r="P4" s="18">
        <f t="shared" si="0"/>
        <v>96742.279341896807</v>
      </c>
    </row>
    <row r="5" spans="1:16">
      <c r="A5" t="s">
        <v>197</v>
      </c>
      <c r="B5" s="18">
        <v>17482</v>
      </c>
      <c r="C5" s="18">
        <v>13982</v>
      </c>
      <c r="D5" s="18">
        <v>9740</v>
      </c>
      <c r="E5" s="18">
        <v>12542</v>
      </c>
      <c r="F5" s="18">
        <v>13004</v>
      </c>
      <c r="G5" s="18">
        <v>14942</v>
      </c>
      <c r="H5" s="18">
        <v>16169</v>
      </c>
      <c r="I5" s="18">
        <v>16797</v>
      </c>
      <c r="J5" s="18">
        <v>18193</v>
      </c>
      <c r="K5" s="18">
        <v>18192</v>
      </c>
      <c r="L5" s="18">
        <f t="shared" ref="L5:P9" si="1">K5*(1+L21)</f>
        <v>19591.556075911456</v>
      </c>
      <c r="M5" s="18">
        <f t="shared" si="1"/>
        <v>21098.783502395727</v>
      </c>
      <c r="N5" s="18">
        <f t="shared" si="1"/>
        <v>22721.965705843304</v>
      </c>
      <c r="O5" s="18">
        <f t="shared" si="1"/>
        <v>24470.023377361813</v>
      </c>
      <c r="P5" s="18">
        <f t="shared" si="1"/>
        <v>26352.563499145126</v>
      </c>
    </row>
    <row r="6" spans="1:16">
      <c r="A6" t="s">
        <v>198</v>
      </c>
      <c r="B6" s="18">
        <v>56521</v>
      </c>
      <c r="C6" s="18">
        <v>54807</v>
      </c>
      <c r="D6" s="18">
        <v>48055</v>
      </c>
      <c r="E6" s="18">
        <v>54233</v>
      </c>
      <c r="F6" s="18">
        <v>59542</v>
      </c>
      <c r="G6" s="18">
        <v>68095</v>
      </c>
      <c r="H6" s="18">
        <v>73963</v>
      </c>
      <c r="I6" s="18">
        <v>75519</v>
      </c>
      <c r="J6" s="18">
        <v>71707</v>
      </c>
      <c r="K6" s="18">
        <v>66964</v>
      </c>
      <c r="L6" s="18">
        <f t="shared" si="1"/>
        <v>71469.157074020477</v>
      </c>
      <c r="M6" s="18">
        <f t="shared" si="1"/>
        <v>76277.408949151955</v>
      </c>
      <c r="N6" s="18">
        <f t="shared" si="1"/>
        <v>81409.147025061771</v>
      </c>
      <c r="O6" s="18">
        <f t="shared" si="1"/>
        <v>86886.134579716963</v>
      </c>
      <c r="P6" s="18">
        <f t="shared" si="1"/>
        <v>92731.599065651302</v>
      </c>
    </row>
    <row r="7" spans="1:16">
      <c r="A7" t="s">
        <v>199</v>
      </c>
      <c r="B7" s="18">
        <v>251408</v>
      </c>
      <c r="C7" s="18">
        <v>258362</v>
      </c>
      <c r="D7" s="18">
        <v>218227</v>
      </c>
      <c r="E7" s="18">
        <v>225583</v>
      </c>
      <c r="F7" s="18">
        <v>238567</v>
      </c>
      <c r="G7" s="18">
        <v>207466</v>
      </c>
      <c r="H7" s="18">
        <v>186902</v>
      </c>
      <c r="I7" s="18">
        <v>191359</v>
      </c>
      <c r="J7" s="18">
        <v>151110</v>
      </c>
      <c r="K7" s="18">
        <v>117101</v>
      </c>
      <c r="L7" s="18">
        <f t="shared" si="1"/>
        <v>112784.71002737079</v>
      </c>
      <c r="M7" s="18">
        <f t="shared" si="1"/>
        <v>108627.51655372808</v>
      </c>
      <c r="N7" s="18">
        <f t="shared" si="1"/>
        <v>104623.55535397342</v>
      </c>
      <c r="O7" s="18">
        <f t="shared" si="1"/>
        <v>100767.17835569696</v>
      </c>
      <c r="P7" s="18">
        <f t="shared" si="1"/>
        <v>97052.945671886962</v>
      </c>
    </row>
    <row r="8" spans="1:16">
      <c r="A8" t="s">
        <v>200</v>
      </c>
      <c r="B8" s="18">
        <v>75109</v>
      </c>
      <c r="C8" s="18">
        <v>70714</v>
      </c>
      <c r="D8" s="18">
        <v>51873</v>
      </c>
      <c r="E8" s="18">
        <v>60347</v>
      </c>
      <c r="F8" s="18">
        <v>66823</v>
      </c>
      <c r="G8" s="18">
        <v>70924</v>
      </c>
      <c r="H8" s="18">
        <v>77760</v>
      </c>
      <c r="I8" s="18">
        <v>88054</v>
      </c>
      <c r="J8" s="18">
        <v>75902</v>
      </c>
      <c r="K8" s="18">
        <v>68579</v>
      </c>
      <c r="L8" s="18">
        <f t="shared" si="1"/>
        <v>71510.362720797566</v>
      </c>
      <c r="M8" s="18">
        <f t="shared" si="1"/>
        <v>74567.024547748355</v>
      </c>
      <c r="N8" s="18">
        <f t="shared" si="1"/>
        <v>77754.341305940616</v>
      </c>
      <c r="O8" s="18">
        <f t="shared" si="1"/>
        <v>81077.897751563985</v>
      </c>
      <c r="P8" s="18">
        <f t="shared" si="1"/>
        <v>84543.517357413759</v>
      </c>
    </row>
    <row r="9" spans="1:16">
      <c r="A9" t="s">
        <v>201</v>
      </c>
      <c r="B9" s="18">
        <v>80793</v>
      </c>
      <c r="C9" s="18">
        <v>76178</v>
      </c>
      <c r="D9" s="18">
        <v>70086</v>
      </c>
      <c r="E9" s="18">
        <v>79458</v>
      </c>
      <c r="F9" s="18">
        <v>78367</v>
      </c>
      <c r="G9" s="18">
        <v>78277</v>
      </c>
      <c r="H9" s="18">
        <v>78574</v>
      </c>
      <c r="I9" s="18">
        <v>83627</v>
      </c>
      <c r="J9" s="18">
        <v>79070</v>
      </c>
      <c r="K9" s="18">
        <v>77059</v>
      </c>
      <c r="L9" s="18">
        <f t="shared" si="1"/>
        <v>77541.870767798391</v>
      </c>
      <c r="M9" s="18">
        <f t="shared" si="1"/>
        <v>78027.767323348948</v>
      </c>
      <c r="N9" s="18">
        <f t="shared" si="1"/>
        <v>78516.70862698667</v>
      </c>
      <c r="O9" s="18">
        <f t="shared" si="1"/>
        <v>79008.71375785672</v>
      </c>
      <c r="P9" s="18">
        <f t="shared" si="1"/>
        <v>79503.801914658907</v>
      </c>
    </row>
    <row r="11" spans="1:16">
      <c r="A11" s="146" t="s">
        <v>191</v>
      </c>
      <c r="B11" s="147"/>
      <c r="C11" s="147"/>
      <c r="D11" s="147"/>
      <c r="E11" s="147"/>
      <c r="F11" s="147"/>
      <c r="G11" s="147"/>
      <c r="H11" s="147"/>
      <c r="I11" s="147"/>
      <c r="J11" s="147"/>
      <c r="K11" s="147"/>
      <c r="L11" s="147"/>
      <c r="M11" s="147"/>
      <c r="N11" s="147"/>
      <c r="O11" s="147"/>
      <c r="P11" s="147"/>
    </row>
    <row r="12" spans="1:16">
      <c r="A12" t="s">
        <v>196</v>
      </c>
      <c r="B12" s="18">
        <v>80532</v>
      </c>
      <c r="C12" s="18">
        <v>88588</v>
      </c>
      <c r="D12" s="18">
        <v>81207</v>
      </c>
      <c r="E12" s="18">
        <v>88237</v>
      </c>
      <c r="F12" s="18">
        <v>88094</v>
      </c>
      <c r="G12" s="18">
        <v>81407</v>
      </c>
      <c r="H12" s="18">
        <v>80904</v>
      </c>
      <c r="I12" s="18">
        <v>94273</v>
      </c>
      <c r="J12" s="18">
        <v>89053</v>
      </c>
      <c r="K12" s="18">
        <v>92244</v>
      </c>
      <c r="L12" s="18">
        <f>K12*(1+L28)</f>
        <v>92425.523253882871</v>
      </c>
      <c r="M12" s="18">
        <f t="shared" ref="M12:P12" si="2">L12*(1+M28)</f>
        <v>92607.403720068978</v>
      </c>
      <c r="N12" s="18">
        <f t="shared" si="2"/>
        <v>92789.642101502046</v>
      </c>
      <c r="O12" s="18">
        <f t="shared" si="2"/>
        <v>92972.239102509062</v>
      </c>
      <c r="P12" s="18">
        <f t="shared" si="2"/>
        <v>93155.195428803068</v>
      </c>
    </row>
    <row r="13" spans="1:16">
      <c r="A13" t="s">
        <v>197</v>
      </c>
      <c r="B13" s="18">
        <v>17482</v>
      </c>
      <c r="C13" s="18">
        <v>13982</v>
      </c>
      <c r="D13" s="18">
        <v>9740</v>
      </c>
      <c r="E13" s="18">
        <v>12542</v>
      </c>
      <c r="F13" s="18">
        <v>13004</v>
      </c>
      <c r="G13" s="18">
        <v>14942</v>
      </c>
      <c r="H13" s="18">
        <v>16169</v>
      </c>
      <c r="I13" s="18">
        <v>16797</v>
      </c>
      <c r="J13" s="18">
        <v>18193</v>
      </c>
      <c r="K13" s="18">
        <v>18192</v>
      </c>
      <c r="L13" s="18">
        <f t="shared" ref="L13:P17" si="3">K13*(1+L29)</f>
        <v>18555.84</v>
      </c>
      <c r="M13" s="18">
        <f t="shared" si="3"/>
        <v>18926.9568</v>
      </c>
      <c r="N13" s="18">
        <f t="shared" si="3"/>
        <v>19305.495935999999</v>
      </c>
      <c r="O13" s="18">
        <f t="shared" si="3"/>
        <v>19691.605854720001</v>
      </c>
      <c r="P13" s="18">
        <f t="shared" si="3"/>
        <v>20085.437971814401</v>
      </c>
    </row>
    <row r="14" spans="1:16">
      <c r="A14" t="s">
        <v>198</v>
      </c>
      <c r="B14" s="18">
        <v>56521</v>
      </c>
      <c r="C14" s="18">
        <v>54807</v>
      </c>
      <c r="D14" s="18">
        <v>48055</v>
      </c>
      <c r="E14" s="18">
        <v>54233</v>
      </c>
      <c r="F14" s="18">
        <v>59542</v>
      </c>
      <c r="G14" s="18">
        <v>68095</v>
      </c>
      <c r="H14" s="18">
        <v>73963</v>
      </c>
      <c r="I14" s="18">
        <v>75519</v>
      </c>
      <c r="J14" s="18">
        <v>71707</v>
      </c>
      <c r="K14" s="18">
        <v>66964</v>
      </c>
      <c r="L14" s="18">
        <f t="shared" si="3"/>
        <v>70148.3572228251</v>
      </c>
      <c r="M14" s="18">
        <f t="shared" si="3"/>
        <v>73484.141046847246</v>
      </c>
      <c r="N14" s="18">
        <f t="shared" si="3"/>
        <v>76978.552302232623</v>
      </c>
      <c r="O14" s="18">
        <f t="shared" si="3"/>
        <v>80639.134242173997</v>
      </c>
      <c r="P14" s="18">
        <f t="shared" si="3"/>
        <v>84473.788826225573</v>
      </c>
    </row>
    <row r="15" spans="1:16">
      <c r="A15" t="s">
        <v>199</v>
      </c>
      <c r="B15" s="18">
        <v>251408</v>
      </c>
      <c r="C15" s="18">
        <v>258362</v>
      </c>
      <c r="D15" s="18">
        <v>218227</v>
      </c>
      <c r="E15" s="18">
        <v>225583</v>
      </c>
      <c r="F15" s="18">
        <v>238567</v>
      </c>
      <c r="G15" s="18">
        <v>207466</v>
      </c>
      <c r="H15" s="18">
        <v>186902</v>
      </c>
      <c r="I15" s="18">
        <v>191359</v>
      </c>
      <c r="J15" s="18">
        <v>151110</v>
      </c>
      <c r="K15" s="18">
        <v>117101</v>
      </c>
      <c r="L15" s="18">
        <f t="shared" si="3"/>
        <v>109303.75676599683</v>
      </c>
      <c r="M15" s="18">
        <f t="shared" si="3"/>
        <v>102025.69784340184</v>
      </c>
      <c r="N15" s="18">
        <f t="shared" si="3"/>
        <v>95232.25302052316</v>
      </c>
      <c r="O15" s="18">
        <f t="shared" si="3"/>
        <v>88891.153964809273</v>
      </c>
      <c r="P15" s="18">
        <f t="shared" si="3"/>
        <v>82972.280950788525</v>
      </c>
    </row>
    <row r="16" spans="1:16">
      <c r="A16" t="s">
        <v>200</v>
      </c>
      <c r="B16" s="18">
        <v>75109</v>
      </c>
      <c r="C16" s="18">
        <v>70714</v>
      </c>
      <c r="D16" s="18">
        <v>51873</v>
      </c>
      <c r="E16" s="18">
        <v>60347</v>
      </c>
      <c r="F16" s="18">
        <v>66823</v>
      </c>
      <c r="G16" s="18">
        <v>70924</v>
      </c>
      <c r="H16" s="18">
        <v>77760</v>
      </c>
      <c r="I16" s="18">
        <v>88054</v>
      </c>
      <c r="J16" s="18">
        <v>75902</v>
      </c>
      <c r="K16" s="18">
        <v>68579</v>
      </c>
      <c r="L16" s="18">
        <f t="shared" si="3"/>
        <v>69491.086401515669</v>
      </c>
      <c r="M16" s="18">
        <f t="shared" si="3"/>
        <v>70415.303362004634</v>
      </c>
      <c r="N16" s="18">
        <f t="shared" si="3"/>
        <v>71351.812215372061</v>
      </c>
      <c r="O16" s="18">
        <f t="shared" si="3"/>
        <v>72300.776441230424</v>
      </c>
      <c r="P16" s="18">
        <f t="shared" si="3"/>
        <v>73262.361693436935</v>
      </c>
    </row>
    <row r="17" spans="1:17">
      <c r="A17" t="s">
        <v>201</v>
      </c>
      <c r="B17" s="18">
        <v>80793</v>
      </c>
      <c r="C17" s="18">
        <v>76178</v>
      </c>
      <c r="D17" s="18">
        <v>70086</v>
      </c>
      <c r="E17" s="18">
        <v>79458</v>
      </c>
      <c r="F17" s="18">
        <v>78367</v>
      </c>
      <c r="G17" s="18">
        <v>78277</v>
      </c>
      <c r="H17" s="18">
        <v>78574</v>
      </c>
      <c r="I17" s="18">
        <v>83627</v>
      </c>
      <c r="J17" s="18">
        <v>79070</v>
      </c>
      <c r="K17" s="18">
        <v>77059</v>
      </c>
      <c r="L17" s="18">
        <f t="shared" si="3"/>
        <v>76894.815515235838</v>
      </c>
      <c r="M17" s="18">
        <f t="shared" si="3"/>
        <v>76730.98084743059</v>
      </c>
      <c r="N17" s="18">
        <f t="shared" si="3"/>
        <v>76567.495251252534</v>
      </c>
      <c r="O17" s="18">
        <f t="shared" si="3"/>
        <v>76404.357982957983</v>
      </c>
      <c r="P17" s="18">
        <f t="shared" si="3"/>
        <v>76241.56830038788</v>
      </c>
    </row>
    <row r="18" spans="1:17">
      <c r="B18" s="18"/>
      <c r="C18" s="18"/>
      <c r="D18" s="18"/>
      <c r="E18" s="18"/>
      <c r="F18" s="18"/>
      <c r="G18" s="18"/>
      <c r="H18" s="18"/>
      <c r="I18" s="18"/>
      <c r="J18" s="18"/>
      <c r="K18" s="18"/>
    </row>
    <row r="19" spans="1:17">
      <c r="A19" s="144" t="s">
        <v>190</v>
      </c>
      <c r="B19" s="145"/>
      <c r="C19" s="145"/>
      <c r="D19" s="145"/>
      <c r="E19" s="145"/>
      <c r="F19" s="145"/>
      <c r="G19" s="145"/>
      <c r="H19" s="145"/>
      <c r="I19" s="145"/>
      <c r="J19" s="145"/>
      <c r="K19" s="145"/>
      <c r="L19" s="145"/>
      <c r="M19" s="145"/>
      <c r="N19" s="145"/>
      <c r="O19" s="145"/>
      <c r="P19" s="145"/>
    </row>
    <row r="20" spans="1:17">
      <c r="A20" t="s">
        <v>196</v>
      </c>
      <c r="B20" s="18"/>
      <c r="C20" s="18"/>
      <c r="D20" s="18"/>
      <c r="E20" s="18"/>
      <c r="F20" s="18"/>
      <c r="G20" s="18"/>
      <c r="H20" s="18"/>
      <c r="I20" s="18"/>
      <c r="J20" s="18"/>
      <c r="K20" s="18"/>
      <c r="L20" s="148">
        <f>Segments!M62</f>
        <v>9.5681424661828718E-3</v>
      </c>
      <c r="M20" s="148">
        <f>L20</f>
        <v>9.5681424661828718E-3</v>
      </c>
      <c r="N20" s="148">
        <f t="shared" ref="N20:P20" si="4">M20</f>
        <v>9.5681424661828718E-3</v>
      </c>
      <c r="O20" s="148">
        <f t="shared" si="4"/>
        <v>9.5681424661828718E-3</v>
      </c>
      <c r="P20" s="148">
        <f t="shared" si="4"/>
        <v>9.5681424661828718E-3</v>
      </c>
    </row>
    <row r="21" spans="1:17">
      <c r="A21" t="s">
        <v>197</v>
      </c>
      <c r="B21" s="18"/>
      <c r="C21" s="18"/>
      <c r="D21" s="18"/>
      <c r="E21" s="18"/>
      <c r="F21" s="18"/>
      <c r="G21" s="18"/>
      <c r="H21" s="18"/>
      <c r="I21" s="18"/>
      <c r="J21" s="18"/>
      <c r="K21" s="18"/>
      <c r="L21" s="148">
        <f>Segments!M63</f>
        <v>7.693250197402457E-2</v>
      </c>
      <c r="M21" s="148">
        <f t="shared" ref="M21:P25" si="5">L21</f>
        <v>7.693250197402457E-2</v>
      </c>
      <c r="N21" s="148">
        <f t="shared" si="5"/>
        <v>7.693250197402457E-2</v>
      </c>
      <c r="O21" s="148">
        <f t="shared" si="5"/>
        <v>7.693250197402457E-2</v>
      </c>
      <c r="P21" s="148">
        <f t="shared" si="5"/>
        <v>7.693250197402457E-2</v>
      </c>
    </row>
    <row r="22" spans="1:17">
      <c r="A22" t="s">
        <v>198</v>
      </c>
      <c r="B22" s="18"/>
      <c r="C22" s="18"/>
      <c r="D22" s="18"/>
      <c r="E22" s="18"/>
      <c r="F22" s="18"/>
      <c r="G22" s="18"/>
      <c r="H22" s="18"/>
      <c r="I22" s="18"/>
      <c r="J22" s="18"/>
      <c r="K22" s="18"/>
      <c r="L22" s="148">
        <f>Segments!M64</f>
        <v>6.7277299355183118E-2</v>
      </c>
      <c r="M22" s="148">
        <f t="shared" si="5"/>
        <v>6.7277299355183118E-2</v>
      </c>
      <c r="N22" s="148">
        <f t="shared" si="5"/>
        <v>6.7277299355183118E-2</v>
      </c>
      <c r="O22" s="148">
        <f t="shared" si="5"/>
        <v>6.7277299355183118E-2</v>
      </c>
      <c r="P22" s="148">
        <f t="shared" si="5"/>
        <v>6.7277299355183118E-2</v>
      </c>
    </row>
    <row r="23" spans="1:17">
      <c r="A23" t="s">
        <v>199</v>
      </c>
      <c r="B23" s="18"/>
      <c r="C23" s="18"/>
      <c r="D23" s="18"/>
      <c r="E23" s="18"/>
      <c r="F23" s="18"/>
      <c r="G23" s="18"/>
      <c r="H23" s="18"/>
      <c r="I23" s="18"/>
      <c r="J23" s="18"/>
      <c r="K23" s="18"/>
      <c r="L23" s="148">
        <f>Segments!M65</f>
        <v>-3.6859548361066197E-2</v>
      </c>
      <c r="M23" s="148">
        <f t="shared" si="5"/>
        <v>-3.6859548361066197E-2</v>
      </c>
      <c r="N23" s="148">
        <f t="shared" si="5"/>
        <v>-3.6859548361066197E-2</v>
      </c>
      <c r="O23" s="148">
        <f t="shared" si="5"/>
        <v>-3.6859548361066197E-2</v>
      </c>
      <c r="P23" s="148">
        <f t="shared" si="5"/>
        <v>-3.6859548361066197E-2</v>
      </c>
    </row>
    <row r="24" spans="1:17">
      <c r="A24" t="s">
        <v>200</v>
      </c>
      <c r="B24" s="18"/>
      <c r="C24" s="18"/>
      <c r="D24" s="18"/>
      <c r="E24" s="18"/>
      <c r="F24" s="18"/>
      <c r="G24" s="18"/>
      <c r="H24" s="18"/>
      <c r="I24" s="18"/>
      <c r="J24" s="18"/>
      <c r="K24" s="18"/>
      <c r="L24" s="148">
        <f>Segments!M66</f>
        <v>4.2744319992965352E-2</v>
      </c>
      <c r="M24" s="148">
        <f t="shared" si="5"/>
        <v>4.2744319992965352E-2</v>
      </c>
      <c r="N24" s="148">
        <f t="shared" si="5"/>
        <v>4.2744319992965352E-2</v>
      </c>
      <c r="O24" s="148">
        <f t="shared" si="5"/>
        <v>4.2744319992965352E-2</v>
      </c>
      <c r="P24" s="148">
        <f t="shared" si="5"/>
        <v>4.2744319992965352E-2</v>
      </c>
    </row>
    <row r="25" spans="1:17">
      <c r="A25" t="s">
        <v>201</v>
      </c>
      <c r="B25" s="18"/>
      <c r="C25" s="18"/>
      <c r="D25" s="18"/>
      <c r="E25" s="18"/>
      <c r="F25" s="18"/>
      <c r="G25" s="18"/>
      <c r="H25" s="18"/>
      <c r="I25" s="18"/>
      <c r="J25" s="18"/>
      <c r="K25" s="18"/>
      <c r="L25" s="148">
        <f>Segments!M67</f>
        <v>6.2662475220076619E-3</v>
      </c>
      <c r="M25" s="148">
        <f t="shared" si="5"/>
        <v>6.2662475220076619E-3</v>
      </c>
      <c r="N25" s="148">
        <f t="shared" si="5"/>
        <v>6.2662475220076619E-3</v>
      </c>
      <c r="O25" s="148">
        <f t="shared" si="5"/>
        <v>6.2662475220076619E-3</v>
      </c>
      <c r="P25" s="148">
        <f t="shared" si="5"/>
        <v>6.2662475220076619E-3</v>
      </c>
    </row>
    <row r="26" spans="1:17">
      <c r="B26" s="18"/>
      <c r="C26" s="18"/>
      <c r="D26" s="18"/>
      <c r="E26" s="18"/>
      <c r="F26" s="18"/>
      <c r="G26" s="18"/>
      <c r="H26" s="18"/>
      <c r="I26" s="18"/>
      <c r="J26" s="18"/>
      <c r="K26" s="18"/>
    </row>
    <row r="27" spans="1:17">
      <c r="A27" s="146" t="s">
        <v>191</v>
      </c>
      <c r="B27" s="147"/>
      <c r="C27" s="147"/>
      <c r="D27" s="147"/>
      <c r="E27" s="147"/>
      <c r="F27" s="147"/>
      <c r="G27" s="147"/>
      <c r="H27" s="147"/>
      <c r="I27" s="147"/>
      <c r="J27" s="147"/>
      <c r="K27" s="147"/>
      <c r="L27" s="147"/>
      <c r="M27" s="147"/>
      <c r="N27" s="147"/>
      <c r="O27" s="147"/>
      <c r="P27" s="147"/>
    </row>
    <row r="28" spans="1:17">
      <c r="A28" t="s">
        <v>196</v>
      </c>
      <c r="B28" s="18"/>
      <c r="C28" s="18"/>
      <c r="D28" s="18"/>
      <c r="E28" s="18"/>
      <c r="F28" s="18"/>
      <c r="G28" s="18"/>
      <c r="H28" s="18"/>
      <c r="I28" s="18"/>
      <c r="J28" s="18"/>
      <c r="K28" s="18"/>
      <c r="L28" s="148">
        <f>Segments!L62</f>
        <v>1.9678597402853493E-3</v>
      </c>
      <c r="M28" s="149">
        <f>L28</f>
        <v>1.9678597402853493E-3</v>
      </c>
      <c r="N28" s="149">
        <f t="shared" ref="N28:P28" si="6">M28</f>
        <v>1.9678597402853493E-3</v>
      </c>
      <c r="O28" s="149">
        <f t="shared" si="6"/>
        <v>1.9678597402853493E-3</v>
      </c>
      <c r="P28" s="149">
        <f t="shared" si="6"/>
        <v>1.9678597402853493E-3</v>
      </c>
    </row>
    <row r="29" spans="1:17">
      <c r="A29" t="s">
        <v>197</v>
      </c>
      <c r="B29" s="18"/>
      <c r="C29" s="18"/>
      <c r="D29" s="18"/>
      <c r="E29" s="18"/>
      <c r="F29" s="18"/>
      <c r="G29" s="18"/>
      <c r="H29" s="18"/>
      <c r="I29" s="18"/>
      <c r="J29" s="18"/>
      <c r="K29" s="18"/>
      <c r="L29" s="148">
        <v>0.02</v>
      </c>
      <c r="M29" s="149">
        <f t="shared" ref="M29:P33" si="7">L29</f>
        <v>0.02</v>
      </c>
      <c r="N29" s="149">
        <f t="shared" si="7"/>
        <v>0.02</v>
      </c>
      <c r="O29" s="149">
        <f t="shared" si="7"/>
        <v>0.02</v>
      </c>
      <c r="P29" s="149">
        <f t="shared" si="7"/>
        <v>0.02</v>
      </c>
      <c r="Q29" t="s">
        <v>223</v>
      </c>
    </row>
    <row r="30" spans="1:17">
      <c r="A30" t="s">
        <v>198</v>
      </c>
      <c r="B30" s="18"/>
      <c r="C30" s="18"/>
      <c r="D30" s="18"/>
      <c r="E30" s="18"/>
      <c r="F30" s="18"/>
      <c r="G30" s="18"/>
      <c r="H30" s="18"/>
      <c r="I30" s="18"/>
      <c r="J30" s="18"/>
      <c r="K30" s="18"/>
      <c r="L30" s="148">
        <f>Segments!L64</f>
        <v>4.7553270754810084E-2</v>
      </c>
      <c r="M30" s="149">
        <f t="shared" si="7"/>
        <v>4.7553270754810084E-2</v>
      </c>
      <c r="N30" s="149">
        <f t="shared" si="7"/>
        <v>4.7553270754810084E-2</v>
      </c>
      <c r="O30" s="149">
        <f t="shared" si="7"/>
        <v>4.7553270754810084E-2</v>
      </c>
      <c r="P30" s="149">
        <f t="shared" si="7"/>
        <v>4.7553270754810084E-2</v>
      </c>
    </row>
    <row r="31" spans="1:17">
      <c r="A31" t="s">
        <v>199</v>
      </c>
      <c r="B31" s="18"/>
      <c r="C31" s="18"/>
      <c r="D31" s="18"/>
      <c r="E31" s="18"/>
      <c r="F31" s="18"/>
      <c r="G31" s="18"/>
      <c r="H31" s="18"/>
      <c r="I31" s="18"/>
      <c r="J31" s="18"/>
      <c r="K31" s="18"/>
      <c r="L31" s="148">
        <f>Segments!L65</f>
        <v>-6.6585624665913834E-2</v>
      </c>
      <c r="M31" s="149">
        <f t="shared" si="7"/>
        <v>-6.6585624665913834E-2</v>
      </c>
      <c r="N31" s="149">
        <f t="shared" si="7"/>
        <v>-6.6585624665913834E-2</v>
      </c>
      <c r="O31" s="149">
        <f t="shared" si="7"/>
        <v>-6.6585624665913834E-2</v>
      </c>
      <c r="P31" s="149">
        <f t="shared" si="7"/>
        <v>-6.6585624665913834E-2</v>
      </c>
    </row>
    <row r="32" spans="1:17">
      <c r="A32" t="s">
        <v>200</v>
      </c>
      <c r="B32" s="18"/>
      <c r="C32" s="18"/>
      <c r="D32" s="18"/>
      <c r="E32" s="18"/>
      <c r="F32" s="18"/>
      <c r="G32" s="18"/>
      <c r="H32" s="18"/>
      <c r="I32" s="18"/>
      <c r="J32" s="18"/>
      <c r="K32" s="18"/>
      <c r="L32" s="148">
        <f>Segments!L66</f>
        <v>1.3299791503458391E-2</v>
      </c>
      <c r="M32" s="149">
        <f t="shared" si="7"/>
        <v>1.3299791503458391E-2</v>
      </c>
      <c r="N32" s="149">
        <f t="shared" si="7"/>
        <v>1.3299791503458391E-2</v>
      </c>
      <c r="O32" s="149">
        <f t="shared" si="7"/>
        <v>1.3299791503458391E-2</v>
      </c>
      <c r="P32" s="149">
        <f t="shared" si="7"/>
        <v>1.3299791503458391E-2</v>
      </c>
    </row>
    <row r="33" spans="1:16">
      <c r="A33" t="s">
        <v>201</v>
      </c>
      <c r="B33" s="18"/>
      <c r="C33" s="18"/>
      <c r="D33" s="18"/>
      <c r="E33" s="18"/>
      <c r="F33" s="18"/>
      <c r="G33" s="18"/>
      <c r="H33" s="18"/>
      <c r="I33" s="18"/>
      <c r="J33" s="18"/>
      <c r="K33" s="18"/>
      <c r="L33" s="148">
        <f>Segments!L67</f>
        <v>-2.1306334725881282E-3</v>
      </c>
      <c r="M33" s="149">
        <f t="shared" si="7"/>
        <v>-2.1306334725881282E-3</v>
      </c>
      <c r="N33" s="149">
        <f t="shared" si="7"/>
        <v>-2.1306334725881282E-3</v>
      </c>
      <c r="O33" s="149">
        <f t="shared" si="7"/>
        <v>-2.1306334725881282E-3</v>
      </c>
      <c r="P33" s="149">
        <f t="shared" si="7"/>
        <v>-2.1306334725881282E-3</v>
      </c>
    </row>
    <row r="35" spans="1:16">
      <c r="A35" s="140" t="s">
        <v>224</v>
      </c>
      <c r="B35" s="141"/>
      <c r="C35" s="141"/>
      <c r="D35" s="141"/>
      <c r="E35" s="141"/>
      <c r="F35" s="141"/>
      <c r="G35" s="141"/>
      <c r="H35" s="141"/>
      <c r="I35" s="141"/>
      <c r="J35" s="141"/>
      <c r="K35" s="141"/>
      <c r="L35" s="141"/>
      <c r="M35" s="141"/>
      <c r="N35" s="141"/>
      <c r="O35" s="141"/>
      <c r="P35" s="141"/>
    </row>
    <row r="36" spans="1:16">
      <c r="A36" s="144" t="s">
        <v>190</v>
      </c>
      <c r="B36" s="145"/>
      <c r="C36" s="145"/>
      <c r="D36" s="145"/>
      <c r="E36" s="145"/>
      <c r="F36" s="145"/>
      <c r="G36" s="145"/>
      <c r="H36" s="145"/>
      <c r="I36" s="145"/>
      <c r="J36" s="145"/>
      <c r="K36" s="145"/>
      <c r="L36" s="145"/>
      <c r="M36" s="145"/>
      <c r="N36" s="145"/>
      <c r="O36" s="145"/>
      <c r="P36" s="145"/>
    </row>
    <row r="37" spans="1:16">
      <c r="A37" t="s">
        <v>196</v>
      </c>
      <c r="B37">
        <v>2.682273448096513E-2</v>
      </c>
      <c r="C37">
        <v>2.8749540209225929E-2</v>
      </c>
      <c r="D37">
        <v>2.9150541624165791E-2</v>
      </c>
      <c r="E37">
        <v>2.942624419279162E-2</v>
      </c>
      <c r="F37">
        <v>3.1154502027860784E-2</v>
      </c>
      <c r="G37">
        <v>3.3367706580884206E-2</v>
      </c>
      <c r="H37">
        <v>3.3620585563088563E-2</v>
      </c>
      <c r="I37">
        <v>3.3625604767638942E-2</v>
      </c>
      <c r="J37">
        <v>3.6061792615364296E-2</v>
      </c>
      <c r="K37">
        <v>3.8025623584499013E-2</v>
      </c>
      <c r="L37">
        <f>K37*(1+L53)</f>
        <v>3.9365568235415795E-2</v>
      </c>
      <c r="M37">
        <f t="shared" ref="M37:P37" si="8">L37*(1+M53)</f>
        <v>4.0752729775847374E-2</v>
      </c>
      <c r="N37">
        <f t="shared" si="8"/>
        <v>4.2188772031724116E-2</v>
      </c>
      <c r="O37">
        <f t="shared" si="8"/>
        <v>4.3675417458775068E-2</v>
      </c>
      <c r="P37">
        <f t="shared" si="8"/>
        <v>4.5214449208521301E-2</v>
      </c>
    </row>
    <row r="38" spans="1:16">
      <c r="A38" t="s">
        <v>197</v>
      </c>
      <c r="B38">
        <v>7.7875413265548962E-2</v>
      </c>
      <c r="C38">
        <v>8.9044347257102155E-2</v>
      </c>
      <c r="D38">
        <v>8.4000530911815072E-2</v>
      </c>
      <c r="E38">
        <v>9.6562404739751598E-2</v>
      </c>
      <c r="F38">
        <v>0.10954019734477488</v>
      </c>
      <c r="G38">
        <v>0.11401061035929604</v>
      </c>
      <c r="H38">
        <v>0.12158383689209179</v>
      </c>
      <c r="I38">
        <v>0.11876203995957173</v>
      </c>
      <c r="J38">
        <v>0.11424696976697914</v>
      </c>
      <c r="K38">
        <v>0.10866610914310525</v>
      </c>
      <c r="L38">
        <f t="shared" ref="L38:P42" si="9">K38*(1+L54)</f>
        <v>0.11679502175680628</v>
      </c>
      <c r="M38">
        <f t="shared" si="9"/>
        <v>0.12553202847456849</v>
      </c>
      <c r="N38">
        <f t="shared" si="9"/>
        <v>0.13492261858345475</v>
      </c>
      <c r="O38">
        <f t="shared" si="9"/>
        <v>0.14501568425706096</v>
      </c>
      <c r="P38">
        <f t="shared" si="9"/>
        <v>0.15586377511296243</v>
      </c>
    </row>
    <row r="39" spans="1:16">
      <c r="A39" t="s">
        <v>198</v>
      </c>
      <c r="B39">
        <v>3.4938181445229449E-2</v>
      </c>
      <c r="C39">
        <v>3.8425895992727638E-2</v>
      </c>
      <c r="D39">
        <v>4.0062405598951668E-2</v>
      </c>
      <c r="E39">
        <v>3.993737819534135E-2</v>
      </c>
      <c r="F39">
        <v>4.069963182258278E-2</v>
      </c>
      <c r="G39">
        <v>4.0627546360378471E-2</v>
      </c>
      <c r="H39">
        <v>4.0462628133837969E-2</v>
      </c>
      <c r="I39">
        <v>4.2078702821762258E-2</v>
      </c>
      <c r="J39">
        <v>4.5259186186621246E-2</v>
      </c>
      <c r="K39">
        <v>5.0606296015196624E-2</v>
      </c>
      <c r="L39">
        <f t="shared" si="9"/>
        <v>5.2315340925511433E-2</v>
      </c>
      <c r="M39">
        <f t="shared" si="9"/>
        <v>5.4082102656369598E-2</v>
      </c>
      <c r="N39">
        <f t="shared" si="9"/>
        <v>5.5908530384971504E-2</v>
      </c>
      <c r="O39">
        <f t="shared" si="9"/>
        <v>5.7796639114939083E-2</v>
      </c>
      <c r="P39">
        <f t="shared" si="9"/>
        <v>5.9748511899365482E-2</v>
      </c>
    </row>
    <row r="40" spans="1:16">
      <c r="A40" t="s">
        <v>199</v>
      </c>
      <c r="B40">
        <v>6.9411372792799065E-3</v>
      </c>
      <c r="C40">
        <v>7.6675104706483768E-3</v>
      </c>
      <c r="D40">
        <v>1.0608734006554254E-2</v>
      </c>
      <c r="E40">
        <v>1.0689496468187955E-2</v>
      </c>
      <c r="F40">
        <v>1.0540960492348232E-2</v>
      </c>
      <c r="G40">
        <v>1.1932432869031175E-2</v>
      </c>
      <c r="H40">
        <v>1.4412031476389696E-2</v>
      </c>
      <c r="I40">
        <v>1.5127904527028122E-2</v>
      </c>
      <c r="J40">
        <v>1.7271265076505341E-2</v>
      </c>
      <c r="K40">
        <v>1.9564388272615394E-2</v>
      </c>
      <c r="L40">
        <f t="shared" si="9"/>
        <v>2.1288098783032419E-2</v>
      </c>
      <c r="M40">
        <f t="shared" si="9"/>
        <v>2.3163675934119263E-2</v>
      </c>
      <c r="N40">
        <f t="shared" si="9"/>
        <v>2.520449985926199E-2</v>
      </c>
      <c r="O40">
        <f t="shared" si="9"/>
        <v>2.742512954171546E-2</v>
      </c>
      <c r="P40">
        <f t="shared" si="9"/>
        <v>2.9841406676573399E-2</v>
      </c>
    </row>
    <row r="41" spans="1:16">
      <c r="A41" t="s">
        <v>200</v>
      </c>
      <c r="B41">
        <v>3.544247239781851E-2</v>
      </c>
      <c r="C41">
        <v>3.9205795282591292E-2</v>
      </c>
      <c r="D41">
        <v>3.7710407002730692E-2</v>
      </c>
      <c r="E41">
        <v>3.8953331162015138E-2</v>
      </c>
      <c r="F41">
        <v>4.0800976330204158E-2</v>
      </c>
      <c r="G41">
        <v>4.2340332048713632E-2</v>
      </c>
      <c r="H41">
        <v>4.2279384651903479E-2</v>
      </c>
      <c r="I41">
        <v>4.3530448220048604E-2</v>
      </c>
      <c r="J41">
        <v>4.6019740032093005E-2</v>
      </c>
      <c r="K41">
        <v>4.7547284167863087E-2</v>
      </c>
      <c r="L41">
        <f t="shared" si="9"/>
        <v>4.8922481721480754E-2</v>
      </c>
      <c r="M41">
        <f t="shared" si="9"/>
        <v>5.0337453751066373E-2</v>
      </c>
      <c r="N41">
        <f t="shared" si="9"/>
        <v>5.1793350643293018E-2</v>
      </c>
      <c r="O41">
        <f t="shared" si="9"/>
        <v>5.3291356057163952E-2</v>
      </c>
      <c r="P41">
        <f t="shared" si="9"/>
        <v>5.4832687886339458E-2</v>
      </c>
    </row>
    <row r="42" spans="1:16">
      <c r="A42" t="s">
        <v>201</v>
      </c>
      <c r="B42">
        <v>3.0678976126246361E-2</v>
      </c>
      <c r="C42">
        <v>3.2604132939852072E-2</v>
      </c>
      <c r="D42">
        <v>3.1791566870511989E-2</v>
      </c>
      <c r="E42">
        <v>3.5835556165890937E-2</v>
      </c>
      <c r="F42">
        <v>3.9474627470933971E-2</v>
      </c>
      <c r="G42">
        <v>4.3602028349860093E-2</v>
      </c>
      <c r="H42">
        <v>4.4417380618275666E-2</v>
      </c>
      <c r="I42">
        <v>4.7239947004998985E-2</v>
      </c>
      <c r="J42">
        <v>4.7373750142185617E-2</v>
      </c>
      <c r="K42">
        <v>4.6872602578791028E-2</v>
      </c>
      <c r="L42">
        <f t="shared" si="9"/>
        <v>5.01401794729349E-2</v>
      </c>
      <c r="M42">
        <f t="shared" si="9"/>
        <v>5.3635545270867405E-2</v>
      </c>
      <c r="N42">
        <f t="shared" si="9"/>
        <v>5.7374579563603589E-2</v>
      </c>
      <c r="O42">
        <f t="shared" si="9"/>
        <v>6.13742689381825E-2</v>
      </c>
      <c r="P42">
        <f t="shared" si="9"/>
        <v>6.5652784148432855E-2</v>
      </c>
    </row>
    <row r="43" spans="1:16">
      <c r="B43" s="18"/>
      <c r="C43" s="18"/>
      <c r="D43" s="18"/>
      <c r="E43" s="18"/>
      <c r="F43" s="18"/>
      <c r="G43" s="18"/>
      <c r="H43" s="18"/>
      <c r="I43" s="18"/>
      <c r="J43" s="18"/>
      <c r="K43" s="18"/>
    </row>
    <row r="44" spans="1:16">
      <c r="A44" s="146" t="s">
        <v>191</v>
      </c>
      <c r="B44" s="147"/>
      <c r="C44" s="147"/>
      <c r="D44" s="147"/>
      <c r="E44" s="147"/>
      <c r="F44" s="147"/>
      <c r="G44" s="147"/>
      <c r="H44" s="147"/>
      <c r="I44" s="147"/>
      <c r="J44" s="147"/>
      <c r="K44" s="147"/>
      <c r="L44" s="147"/>
      <c r="M44" s="147"/>
      <c r="N44" s="147"/>
      <c r="O44" s="147"/>
      <c r="P44" s="147"/>
    </row>
    <row r="45" spans="1:16">
      <c r="A45" t="s">
        <v>196</v>
      </c>
      <c r="B45">
        <v>2.682273448096513E-2</v>
      </c>
      <c r="C45">
        <v>2.8749540209225929E-2</v>
      </c>
      <c r="D45">
        <v>2.9150541624165791E-2</v>
      </c>
      <c r="E45">
        <v>2.942624419279162E-2</v>
      </c>
      <c r="F45">
        <v>3.1154502027860784E-2</v>
      </c>
      <c r="G45">
        <v>3.3367706580884206E-2</v>
      </c>
      <c r="H45">
        <v>3.3620585563088563E-2</v>
      </c>
      <c r="I45">
        <v>3.3625604767638942E-2</v>
      </c>
      <c r="J45">
        <v>3.6061792615364296E-2</v>
      </c>
      <c r="K45">
        <v>3.8025623584499013E-2</v>
      </c>
      <c r="L45">
        <f>K45*(1+L61)</f>
        <v>3.8796683110845852E-2</v>
      </c>
      <c r="M45">
        <f t="shared" ref="M45:P45" si="10">L45*(1+M61)</f>
        <v>3.9583377694218096E-2</v>
      </c>
      <c r="N45">
        <f t="shared" si="10"/>
        <v>4.0386024372405738E-2</v>
      </c>
      <c r="O45">
        <f t="shared" si="10"/>
        <v>4.1204946611890413E-2</v>
      </c>
      <c r="P45">
        <f t="shared" si="10"/>
        <v>4.2040474438202316E-2</v>
      </c>
    </row>
    <row r="46" spans="1:16">
      <c r="A46" t="s">
        <v>197</v>
      </c>
      <c r="B46">
        <v>7.7875413265548962E-2</v>
      </c>
      <c r="C46">
        <v>8.9044347257102155E-2</v>
      </c>
      <c r="D46">
        <v>8.4000530911815072E-2</v>
      </c>
      <c r="E46">
        <v>9.6562404739751598E-2</v>
      </c>
      <c r="F46">
        <v>0.10954019734477488</v>
      </c>
      <c r="G46">
        <v>0.11401061035929604</v>
      </c>
      <c r="H46">
        <v>0.12158383689209179</v>
      </c>
      <c r="I46">
        <v>0.11876203995957173</v>
      </c>
      <c r="J46">
        <v>0.11424696976697914</v>
      </c>
      <c r="K46">
        <v>0.10866610914310525</v>
      </c>
      <c r="L46">
        <f t="shared" ref="L46:P50" si="11">K46*(1+L62)</f>
        <v>0.10803495447399405</v>
      </c>
      <c r="M46">
        <f t="shared" si="11"/>
        <v>0.10740746567844255</v>
      </c>
      <c r="N46">
        <f t="shared" si="11"/>
        <v>0.10678362146431804</v>
      </c>
      <c r="O46">
        <f t="shared" si="11"/>
        <v>0.10616340066315684</v>
      </c>
      <c r="P46">
        <f t="shared" si="11"/>
        <v>0.105546782229446</v>
      </c>
    </row>
    <row r="47" spans="1:16">
      <c r="A47" t="s">
        <v>198</v>
      </c>
      <c r="B47">
        <v>3.4938181445229449E-2</v>
      </c>
      <c r="C47">
        <v>3.8425895992727638E-2</v>
      </c>
      <c r="D47">
        <v>4.0062405598951668E-2</v>
      </c>
      <c r="E47">
        <v>3.993737819534135E-2</v>
      </c>
      <c r="F47">
        <v>4.069963182258278E-2</v>
      </c>
      <c r="G47">
        <v>4.0627546360378471E-2</v>
      </c>
      <c r="H47">
        <v>4.0462628133837969E-2</v>
      </c>
      <c r="I47">
        <v>4.2078702821762258E-2</v>
      </c>
      <c r="J47">
        <v>4.5259186186621246E-2</v>
      </c>
      <c r="K47">
        <v>5.0606296015196624E-2</v>
      </c>
      <c r="L47">
        <f t="shared" si="11"/>
        <v>5.0821732242812084E-2</v>
      </c>
      <c r="M47">
        <f t="shared" si="11"/>
        <v>5.103808560469391E-2</v>
      </c>
      <c r="N47">
        <f t="shared" si="11"/>
        <v>5.1255360005177372E-2</v>
      </c>
      <c r="O47">
        <f t="shared" si="11"/>
        <v>5.1473559365218899E-2</v>
      </c>
      <c r="P47">
        <f t="shared" si="11"/>
        <v>5.1692687622466836E-2</v>
      </c>
    </row>
    <row r="48" spans="1:16">
      <c r="A48" t="s">
        <v>199</v>
      </c>
      <c r="B48">
        <v>6.9411372792799065E-3</v>
      </c>
      <c r="C48">
        <v>7.6675104706483768E-3</v>
      </c>
      <c r="D48">
        <v>1.0608734006554254E-2</v>
      </c>
      <c r="E48">
        <v>1.0689496468187955E-2</v>
      </c>
      <c r="F48">
        <v>1.0540960492348232E-2</v>
      </c>
      <c r="G48">
        <v>1.1932432869031175E-2</v>
      </c>
      <c r="H48">
        <v>1.4412031476389696E-2</v>
      </c>
      <c r="I48">
        <v>1.5127904527028122E-2</v>
      </c>
      <c r="J48">
        <v>1.7271265076505341E-2</v>
      </c>
      <c r="K48">
        <v>1.9564388272615394E-2</v>
      </c>
      <c r="L48">
        <f t="shared" si="11"/>
        <v>2.0537736257924811E-2</v>
      </c>
      <c r="M48">
        <f t="shared" si="11"/>
        <v>2.1559509284043297E-2</v>
      </c>
      <c r="N48">
        <f t="shared" si="11"/>
        <v>2.2632116545434452E-2</v>
      </c>
      <c r="O48">
        <f t="shared" si="11"/>
        <v>2.3758087096408479E-2</v>
      </c>
      <c r="P48">
        <f t="shared" si="11"/>
        <v>2.494007581427006E-2</v>
      </c>
    </row>
    <row r="49" spans="1:16">
      <c r="A49" t="s">
        <v>200</v>
      </c>
      <c r="B49">
        <v>3.544247239781851E-2</v>
      </c>
      <c r="C49">
        <v>3.9205795282591292E-2</v>
      </c>
      <c r="D49">
        <v>3.7710407002730692E-2</v>
      </c>
      <c r="E49">
        <v>3.8953331162015138E-2</v>
      </c>
      <c r="F49">
        <v>4.0800976330204158E-2</v>
      </c>
      <c r="G49">
        <v>4.2340332048713632E-2</v>
      </c>
      <c r="H49">
        <v>4.2279384651903479E-2</v>
      </c>
      <c r="I49">
        <v>4.3530448220048604E-2</v>
      </c>
      <c r="J49">
        <v>4.6019740032093005E-2</v>
      </c>
      <c r="K49">
        <v>4.7547284167863087E-2</v>
      </c>
      <c r="L49">
        <f t="shared" si="11"/>
        <v>4.7983781515732286E-2</v>
      </c>
      <c r="M49">
        <f t="shared" si="11"/>
        <v>4.8424286031161765E-2</v>
      </c>
      <c r="N49">
        <f t="shared" si="11"/>
        <v>4.8868834501068867E-2</v>
      </c>
      <c r="O49">
        <f t="shared" si="11"/>
        <v>4.9317464050085108E-2</v>
      </c>
      <c r="P49">
        <f t="shared" si="11"/>
        <v>4.9770212143656491E-2</v>
      </c>
    </row>
    <row r="50" spans="1:16">
      <c r="A50" t="s">
        <v>201</v>
      </c>
      <c r="B50">
        <v>3.0678976126246361E-2</v>
      </c>
      <c r="C50">
        <v>3.2604132939852072E-2</v>
      </c>
      <c r="D50">
        <v>3.1791566870511989E-2</v>
      </c>
      <c r="E50">
        <v>3.5835556165890937E-2</v>
      </c>
      <c r="F50">
        <v>3.9474627470933971E-2</v>
      </c>
      <c r="G50">
        <v>4.3602028349860093E-2</v>
      </c>
      <c r="H50">
        <v>4.4417380618275666E-2</v>
      </c>
      <c r="I50">
        <v>4.7239947004998985E-2</v>
      </c>
      <c r="J50">
        <v>4.7373750142185617E-2</v>
      </c>
      <c r="K50">
        <v>4.6872602578791028E-2</v>
      </c>
      <c r="L50">
        <f t="shared" si="11"/>
        <v>4.7858107847626605E-2</v>
      </c>
      <c r="M50">
        <f t="shared" si="11"/>
        <v>4.8864333549753038E-2</v>
      </c>
      <c r="N50">
        <f t="shared" si="11"/>
        <v>4.9891715336170213E-2</v>
      </c>
      <c r="O50">
        <f t="shared" si="11"/>
        <v>5.0940698017522074E-2</v>
      </c>
      <c r="P50">
        <f t="shared" si="11"/>
        <v>5.2011735756679868E-2</v>
      </c>
    </row>
    <row r="52" spans="1:16">
      <c r="A52" s="144" t="s">
        <v>190</v>
      </c>
      <c r="B52" s="145"/>
      <c r="C52" s="145"/>
      <c r="D52" s="145"/>
      <c r="E52" s="145"/>
      <c r="F52" s="145"/>
      <c r="G52" s="145"/>
      <c r="H52" s="145"/>
      <c r="I52" s="145"/>
      <c r="J52" s="145"/>
      <c r="K52" s="145"/>
      <c r="L52" s="145"/>
      <c r="M52" s="145"/>
      <c r="N52" s="145"/>
      <c r="O52" s="145"/>
      <c r="P52" s="145"/>
    </row>
    <row r="53" spans="1:16">
      <c r="A53" t="s">
        <v>196</v>
      </c>
      <c r="B53" s="18"/>
      <c r="C53" s="18"/>
      <c r="D53" s="18"/>
      <c r="E53" s="18"/>
      <c r="F53" s="18"/>
      <c r="G53" s="18"/>
      <c r="H53" s="18"/>
      <c r="I53" s="18"/>
      <c r="J53" s="18"/>
      <c r="K53" s="18"/>
      <c r="L53" s="148">
        <f>Segments!M54</f>
        <v>3.5237940225732567E-2</v>
      </c>
      <c r="M53" s="148">
        <f>L53</f>
        <v>3.5237940225732567E-2</v>
      </c>
      <c r="N53" s="148">
        <f t="shared" ref="N53:P53" si="12">M53</f>
        <v>3.5237940225732567E-2</v>
      </c>
      <c r="O53" s="148">
        <f t="shared" si="12"/>
        <v>3.5237940225732567E-2</v>
      </c>
      <c r="P53" s="148">
        <f t="shared" si="12"/>
        <v>3.5237940225732567E-2</v>
      </c>
    </row>
    <row r="54" spans="1:16">
      <c r="A54" t="s">
        <v>197</v>
      </c>
      <c r="B54" s="18"/>
      <c r="C54" s="18"/>
      <c r="D54" s="18"/>
      <c r="E54" s="18"/>
      <c r="F54" s="18"/>
      <c r="G54" s="18"/>
      <c r="H54" s="18"/>
      <c r="I54" s="18"/>
      <c r="J54" s="18"/>
      <c r="K54" s="18"/>
      <c r="L54" s="148">
        <f>Segments!M55</f>
        <v>7.4806328098081298E-2</v>
      </c>
      <c r="M54" s="148">
        <f t="shared" ref="M54:P58" si="13">L54</f>
        <v>7.4806328098081298E-2</v>
      </c>
      <c r="N54" s="148">
        <f t="shared" si="13"/>
        <v>7.4806328098081298E-2</v>
      </c>
      <c r="O54" s="148">
        <f t="shared" si="13"/>
        <v>7.4806328098081298E-2</v>
      </c>
      <c r="P54" s="148">
        <f t="shared" si="13"/>
        <v>7.4806328098081298E-2</v>
      </c>
    </row>
    <row r="55" spans="1:16">
      <c r="A55" t="s">
        <v>198</v>
      </c>
      <c r="B55" s="18"/>
      <c r="C55" s="18"/>
      <c r="D55" s="18"/>
      <c r="E55" s="18"/>
      <c r="F55" s="18"/>
      <c r="G55" s="18"/>
      <c r="H55" s="18"/>
      <c r="I55" s="18"/>
      <c r="J55" s="18"/>
      <c r="K55" s="18"/>
      <c r="L55" s="148">
        <f>Segments!M56</f>
        <v>3.3771389034312982E-2</v>
      </c>
      <c r="M55" s="148">
        <f t="shared" si="13"/>
        <v>3.3771389034312982E-2</v>
      </c>
      <c r="N55" s="148">
        <f t="shared" si="13"/>
        <v>3.3771389034312982E-2</v>
      </c>
      <c r="O55" s="148">
        <f t="shared" si="13"/>
        <v>3.3771389034312982E-2</v>
      </c>
      <c r="P55" s="148">
        <f t="shared" si="13"/>
        <v>3.3771389034312982E-2</v>
      </c>
    </row>
    <row r="56" spans="1:16">
      <c r="A56" t="s">
        <v>199</v>
      </c>
      <c r="B56" s="18"/>
      <c r="C56" s="18"/>
      <c r="D56" s="18"/>
      <c r="E56" s="18"/>
      <c r="F56" s="18"/>
      <c r="G56" s="18"/>
      <c r="H56" s="18"/>
      <c r="I56" s="18"/>
      <c r="J56" s="18"/>
      <c r="K56" s="18"/>
      <c r="L56" s="148">
        <f>Segments!M57</f>
        <v>8.8104493041049059E-2</v>
      </c>
      <c r="M56" s="148">
        <f t="shared" si="13"/>
        <v>8.8104493041049059E-2</v>
      </c>
      <c r="N56" s="148">
        <f t="shared" si="13"/>
        <v>8.8104493041049059E-2</v>
      </c>
      <c r="O56" s="148">
        <f t="shared" si="13"/>
        <v>8.8104493041049059E-2</v>
      </c>
      <c r="P56" s="148">
        <f t="shared" si="13"/>
        <v>8.8104493041049059E-2</v>
      </c>
    </row>
    <row r="57" spans="1:16">
      <c r="A57" t="s">
        <v>200</v>
      </c>
      <c r="B57" s="18"/>
      <c r="C57" s="18"/>
      <c r="D57" s="18"/>
      <c r="E57" s="18"/>
      <c r="F57" s="18"/>
      <c r="G57" s="18"/>
      <c r="H57" s="18"/>
      <c r="I57" s="18"/>
      <c r="J57" s="18"/>
      <c r="K57" s="18"/>
      <c r="L57" s="148">
        <f>Segments!M58</f>
        <v>2.8922736128579096E-2</v>
      </c>
      <c r="M57" s="148">
        <f t="shared" si="13"/>
        <v>2.8922736128579096E-2</v>
      </c>
      <c r="N57" s="148">
        <f t="shared" si="13"/>
        <v>2.8922736128579096E-2</v>
      </c>
      <c r="O57" s="148">
        <f t="shared" si="13"/>
        <v>2.8922736128579096E-2</v>
      </c>
      <c r="P57" s="148">
        <f t="shared" si="13"/>
        <v>2.8922736128579096E-2</v>
      </c>
    </row>
    <row r="58" spans="1:16">
      <c r="A58" t="s">
        <v>201</v>
      </c>
      <c r="B58" s="18"/>
      <c r="C58" s="18"/>
      <c r="D58" s="18"/>
      <c r="E58" s="18"/>
      <c r="F58" s="18"/>
      <c r="G58" s="18"/>
      <c r="H58" s="18"/>
      <c r="I58" s="18"/>
      <c r="J58" s="18"/>
      <c r="K58" s="18"/>
      <c r="L58" s="148">
        <f>Segments!M59</f>
        <v>6.97118724877972E-2</v>
      </c>
      <c r="M58" s="148">
        <f t="shared" si="13"/>
        <v>6.97118724877972E-2</v>
      </c>
      <c r="N58" s="148">
        <f t="shared" si="13"/>
        <v>6.97118724877972E-2</v>
      </c>
      <c r="O58" s="148">
        <f t="shared" si="13"/>
        <v>6.97118724877972E-2</v>
      </c>
      <c r="P58" s="148">
        <f t="shared" si="13"/>
        <v>6.97118724877972E-2</v>
      </c>
    </row>
    <row r="59" spans="1:16">
      <c r="B59" s="18"/>
      <c r="C59" s="18"/>
      <c r="D59" s="18"/>
      <c r="E59" s="18"/>
      <c r="F59" s="18"/>
      <c r="G59" s="18"/>
      <c r="H59" s="18"/>
      <c r="I59" s="18"/>
      <c r="J59" s="18"/>
      <c r="K59" s="18"/>
    </row>
    <row r="60" spans="1:16">
      <c r="A60" s="146" t="s">
        <v>191</v>
      </c>
      <c r="B60" s="147"/>
      <c r="C60" s="147"/>
      <c r="D60" s="147"/>
      <c r="E60" s="147"/>
      <c r="F60" s="147"/>
      <c r="G60" s="147"/>
      <c r="H60" s="147"/>
      <c r="I60" s="147"/>
      <c r="J60" s="147"/>
      <c r="K60" s="147"/>
      <c r="L60" s="147"/>
      <c r="M60" s="147"/>
      <c r="N60" s="147"/>
      <c r="O60" s="147"/>
      <c r="P60" s="147"/>
    </row>
    <row r="61" spans="1:16">
      <c r="A61" t="s">
        <v>196</v>
      </c>
      <c r="B61" s="18"/>
      <c r="C61" s="18"/>
      <c r="D61" s="18"/>
      <c r="E61" s="18"/>
      <c r="F61" s="18"/>
      <c r="G61" s="18"/>
      <c r="H61" s="18"/>
      <c r="I61" s="18"/>
      <c r="J61" s="18"/>
      <c r="K61" s="18"/>
      <c r="L61" s="148">
        <f>Segments!N54</f>
        <v>2.0277367039975625E-2</v>
      </c>
      <c r="M61" s="149">
        <f>L61</f>
        <v>2.0277367039975625E-2</v>
      </c>
      <c r="N61" s="149">
        <f t="shared" ref="N61:P61" si="14">M61</f>
        <v>2.0277367039975625E-2</v>
      </c>
      <c r="O61" s="149">
        <f t="shared" si="14"/>
        <v>2.0277367039975625E-2</v>
      </c>
      <c r="P61" s="149">
        <f t="shared" si="14"/>
        <v>2.0277367039975625E-2</v>
      </c>
    </row>
    <row r="62" spans="1:16">
      <c r="A62" t="s">
        <v>197</v>
      </c>
      <c r="B62" s="18"/>
      <c r="C62" s="18"/>
      <c r="D62" s="18"/>
      <c r="E62" s="18"/>
      <c r="F62" s="18"/>
      <c r="G62" s="18"/>
      <c r="H62" s="18"/>
      <c r="I62" s="18"/>
      <c r="J62" s="18"/>
      <c r="K62" s="18"/>
      <c r="L62" s="148">
        <f>Segments!N55</f>
        <v>-5.8082016011082871E-3</v>
      </c>
      <c r="M62" s="149">
        <f t="shared" ref="M62:P66" si="15">L62</f>
        <v>-5.8082016011082871E-3</v>
      </c>
      <c r="N62" s="149">
        <f t="shared" si="15"/>
        <v>-5.8082016011082871E-3</v>
      </c>
      <c r="O62" s="149">
        <f t="shared" si="15"/>
        <v>-5.8082016011082871E-3</v>
      </c>
      <c r="P62" s="149">
        <f t="shared" si="15"/>
        <v>-5.8082016011082871E-3</v>
      </c>
    </row>
    <row r="63" spans="1:16">
      <c r="A63" t="s">
        <v>198</v>
      </c>
      <c r="B63" s="18"/>
      <c r="C63" s="18"/>
      <c r="D63" s="18"/>
      <c r="E63" s="18"/>
      <c r="F63" s="18"/>
      <c r="G63" s="18"/>
      <c r="H63" s="18"/>
      <c r="I63" s="18"/>
      <c r="J63" s="18"/>
      <c r="K63" s="18"/>
      <c r="L63" s="148">
        <f>Segments!N56</f>
        <v>4.2571032574834078E-3</v>
      </c>
      <c r="M63" s="149">
        <f t="shared" si="15"/>
        <v>4.2571032574834078E-3</v>
      </c>
      <c r="N63" s="149">
        <f t="shared" si="15"/>
        <v>4.2571032574834078E-3</v>
      </c>
      <c r="O63" s="149">
        <f t="shared" si="15"/>
        <v>4.2571032574834078E-3</v>
      </c>
      <c r="P63" s="149">
        <f t="shared" si="15"/>
        <v>4.2571032574834078E-3</v>
      </c>
    </row>
    <row r="64" spans="1:16">
      <c r="A64" t="s">
        <v>199</v>
      </c>
      <c r="B64" s="18"/>
      <c r="C64" s="18"/>
      <c r="D64" s="18"/>
      <c r="E64" s="18"/>
      <c r="F64" s="18"/>
      <c r="G64" s="18"/>
      <c r="H64" s="18"/>
      <c r="I64" s="18"/>
      <c r="J64" s="18"/>
      <c r="K64" s="18"/>
      <c r="L64" s="148">
        <f>Segments!N57</f>
        <v>4.9751005334106368E-2</v>
      </c>
      <c r="M64" s="149">
        <f t="shared" si="15"/>
        <v>4.9751005334106368E-2</v>
      </c>
      <c r="N64" s="149">
        <f t="shared" si="15"/>
        <v>4.9751005334106368E-2</v>
      </c>
      <c r="O64" s="149">
        <f t="shared" si="15"/>
        <v>4.9751005334106368E-2</v>
      </c>
      <c r="P64" s="149">
        <f t="shared" si="15"/>
        <v>4.9751005334106368E-2</v>
      </c>
    </row>
    <row r="65" spans="1:16">
      <c r="A65" t="s">
        <v>200</v>
      </c>
      <c r="B65" s="18"/>
      <c r="C65" s="18"/>
      <c r="D65" s="18"/>
      <c r="E65" s="18"/>
      <c r="F65" s="18"/>
      <c r="G65" s="18"/>
      <c r="H65" s="18"/>
      <c r="I65" s="18"/>
      <c r="J65" s="18"/>
      <c r="K65" s="18"/>
      <c r="L65" s="148">
        <f>Segments!N58</f>
        <v>9.1802792842630154E-3</v>
      </c>
      <c r="M65" s="149">
        <f t="shared" si="15"/>
        <v>9.1802792842630154E-3</v>
      </c>
      <c r="N65" s="149">
        <f t="shared" si="15"/>
        <v>9.1802792842630154E-3</v>
      </c>
      <c r="O65" s="149">
        <f t="shared" si="15"/>
        <v>9.1802792842630154E-3</v>
      </c>
      <c r="P65" s="149">
        <f t="shared" si="15"/>
        <v>9.1802792842630154E-3</v>
      </c>
    </row>
    <row r="66" spans="1:16">
      <c r="A66" t="s">
        <v>201</v>
      </c>
      <c r="B66" s="18"/>
      <c r="C66" s="18"/>
      <c r="D66" s="18"/>
      <c r="E66" s="18"/>
      <c r="F66" s="18"/>
      <c r="G66" s="18"/>
      <c r="H66" s="18"/>
      <c r="I66" s="18"/>
      <c r="J66" s="18"/>
      <c r="K66" s="18"/>
      <c r="L66" s="148">
        <f>Segments!N59</f>
        <v>2.1025187734753592E-2</v>
      </c>
      <c r="M66" s="149">
        <f t="shared" si="15"/>
        <v>2.1025187734753592E-2</v>
      </c>
      <c r="N66" s="149">
        <f t="shared" si="15"/>
        <v>2.1025187734753592E-2</v>
      </c>
      <c r="O66" s="149">
        <f t="shared" si="15"/>
        <v>2.1025187734753592E-2</v>
      </c>
      <c r="P66" s="149">
        <f t="shared" si="15"/>
        <v>2.1025187734753592E-2</v>
      </c>
    </row>
    <row r="67" spans="1:16">
      <c r="B67" s="18"/>
      <c r="C67" s="18"/>
      <c r="D67" s="18"/>
      <c r="E67" s="18"/>
      <c r="F67" s="18"/>
      <c r="G67" s="18"/>
      <c r="H67" s="18"/>
      <c r="I67" s="18"/>
      <c r="J67" s="18"/>
      <c r="K67" s="18"/>
    </row>
    <row r="68" spans="1:16">
      <c r="A68" s="140" t="s">
        <v>225</v>
      </c>
      <c r="B68" s="141"/>
      <c r="C68" s="141"/>
      <c r="D68" s="141"/>
      <c r="E68" s="141"/>
      <c r="F68" s="141"/>
      <c r="G68" s="141"/>
      <c r="H68" s="141"/>
      <c r="I68" s="141"/>
      <c r="J68" s="141"/>
      <c r="K68" s="141"/>
      <c r="L68" s="141"/>
      <c r="M68" s="141"/>
      <c r="N68" s="141"/>
      <c r="O68" s="141"/>
      <c r="P68" s="141"/>
    </row>
    <row r="69" spans="1:16">
      <c r="A69" s="144" t="s">
        <v>190</v>
      </c>
      <c r="B69" s="145"/>
      <c r="C69" s="145"/>
      <c r="D69" s="145"/>
      <c r="E69" s="145"/>
      <c r="F69" s="145"/>
      <c r="G69" s="145"/>
      <c r="H69" s="145"/>
      <c r="I69" s="145"/>
      <c r="J69" s="145"/>
      <c r="K69" s="145"/>
      <c r="L69" s="145">
        <v>1</v>
      </c>
      <c r="M69" s="145">
        <v>2</v>
      </c>
      <c r="N69" s="145">
        <v>3</v>
      </c>
      <c r="O69" s="145">
        <v>4</v>
      </c>
      <c r="P69" s="145">
        <v>5</v>
      </c>
    </row>
    <row r="70" spans="1:16">
      <c r="A70" t="s">
        <v>196</v>
      </c>
      <c r="B70" s="18">
        <v>2160.0884532210839</v>
      </c>
      <c r="C70" s="18">
        <v>2546.8642680549065</v>
      </c>
      <c r="D70" s="18">
        <v>2367.2280336736312</v>
      </c>
      <c r="E70" s="18">
        <v>2596.4835088393543</v>
      </c>
      <c r="F70" s="18">
        <v>2744.5247016423677</v>
      </c>
      <c r="G70" s="18">
        <v>2716.3648896300406</v>
      </c>
      <c r="H70" s="18">
        <v>2720.0398543961173</v>
      </c>
      <c r="I70" s="18">
        <v>3169.986638259626</v>
      </c>
      <c r="J70" s="18">
        <v>3211.4108177760368</v>
      </c>
      <c r="K70" s="18">
        <v>3507.6356219285271</v>
      </c>
      <c r="L70" s="18">
        <f>L4*L37</f>
        <v>3665.9816738095487</v>
      </c>
      <c r="M70" s="18">
        <f t="shared" ref="M70:P70" si="16">M4*M37</f>
        <v>3831.4759801984096</v>
      </c>
      <c r="N70" s="18">
        <f t="shared" si="16"/>
        <v>4004.4412364948489</v>
      </c>
      <c r="O70" s="18">
        <f t="shared" si="16"/>
        <v>4185.2147056158774</v>
      </c>
      <c r="P70" s="18">
        <f t="shared" si="16"/>
        <v>4374.1488756207727</v>
      </c>
    </row>
    <row r="71" spans="1:16">
      <c r="A71" t="s">
        <v>197</v>
      </c>
      <c r="B71" s="18">
        <v>1361.4179747083269</v>
      </c>
      <c r="C71" s="18">
        <v>1245.0180633488023</v>
      </c>
      <c r="D71" s="18">
        <v>818.16517108107882</v>
      </c>
      <c r="E71" s="18">
        <v>1211.0856802459646</v>
      </c>
      <c r="F71" s="18">
        <v>1424.4607262714526</v>
      </c>
      <c r="G71" s="18">
        <v>1703.5465399886014</v>
      </c>
      <c r="H71" s="18">
        <v>1965.8890587082321</v>
      </c>
      <c r="I71" s="18">
        <v>1994.8459852009264</v>
      </c>
      <c r="J71" s="18">
        <v>2078.4951209706514</v>
      </c>
      <c r="K71" s="18">
        <v>1976.8538575313707</v>
      </c>
      <c r="L71" s="18">
        <f t="shared" ref="L71:P75" si="17">L5*L38</f>
        <v>2288.196218135769</v>
      </c>
      <c r="M71" s="18">
        <f t="shared" si="17"/>
        <v>2648.5730914014962</v>
      </c>
      <c r="N71" s="18">
        <f t="shared" si="17"/>
        <v>3065.7071123958353</v>
      </c>
      <c r="O71" s="18">
        <f t="shared" si="17"/>
        <v>3548.5371838544011</v>
      </c>
      <c r="P71" s="18">
        <f t="shared" si="17"/>
        <v>4107.4100308808183</v>
      </c>
    </row>
    <row r="72" spans="1:16">
      <c r="A72" t="s">
        <v>198</v>
      </c>
      <c r="B72" s="18">
        <v>1974.7409534658136</v>
      </c>
      <c r="C72" s="18">
        <v>2106.0080816734235</v>
      </c>
      <c r="D72" s="18">
        <v>1925.1989010576224</v>
      </c>
      <c r="E72" s="18">
        <v>2165.9238316679475</v>
      </c>
      <c r="F72" s="18">
        <v>2423.3374779802239</v>
      </c>
      <c r="G72" s="18">
        <v>2766.5327694099719</v>
      </c>
      <c r="H72" s="18">
        <v>2992.7373646630576</v>
      </c>
      <c r="I72" s="18">
        <v>3177.741558396664</v>
      </c>
      <c r="J72" s="18">
        <v>3245.4004638840497</v>
      </c>
      <c r="K72" s="18">
        <v>3388.8000063616269</v>
      </c>
      <c r="L72" s="18">
        <f t="shared" si="17"/>
        <v>3738.9333179863083</v>
      </c>
      <c r="M72" s="18">
        <f t="shared" si="17"/>
        <v>4125.2426611499213</v>
      </c>
      <c r="N72" s="18">
        <f t="shared" si="17"/>
        <v>4551.4657700652788</v>
      </c>
      <c r="O72" s="18">
        <f t="shared" si="17"/>
        <v>5021.7265643959308</v>
      </c>
      <c r="P72" s="18">
        <f t="shared" si="17"/>
        <v>5540.5750502212559</v>
      </c>
    </row>
    <row r="73" spans="1:16">
      <c r="A73" t="s">
        <v>199</v>
      </c>
      <c r="B73" s="18">
        <v>1745.0574411092027</v>
      </c>
      <c r="C73" s="18">
        <v>1980.9933402176559</v>
      </c>
      <c r="D73" s="18">
        <v>2315.1121960483151</v>
      </c>
      <c r="E73" s="18">
        <v>2411.3686817832436</v>
      </c>
      <c r="F73" s="18">
        <v>2514.7253217780408</v>
      </c>
      <c r="G73" s="18">
        <v>2475.5741176064216</v>
      </c>
      <c r="H73" s="18">
        <v>2693.6375070001868</v>
      </c>
      <c r="I73" s="18">
        <v>2894.8606823875743</v>
      </c>
      <c r="J73" s="18">
        <v>2609.860865710722</v>
      </c>
      <c r="K73" s="18">
        <v>2291.0094311115354</v>
      </c>
      <c r="L73" s="18">
        <f t="shared" si="17"/>
        <v>2400.9720482783364</v>
      </c>
      <c r="M73" s="18">
        <f t="shared" si="17"/>
        <v>2516.2125909787333</v>
      </c>
      <c r="N73" s="18">
        <f t="shared" si="17"/>
        <v>2636.984386194712</v>
      </c>
      <c r="O73" s="18">
        <f t="shared" si="17"/>
        <v>2763.5529199581356</v>
      </c>
      <c r="P73" s="18">
        <f t="shared" si="17"/>
        <v>2896.1964209541629</v>
      </c>
    </row>
    <row r="74" spans="1:16">
      <c r="A74" t="s">
        <v>200</v>
      </c>
      <c r="B74" s="18">
        <v>2662.0486593277506</v>
      </c>
      <c r="C74" s="18">
        <v>2772.3986076131605</v>
      </c>
      <c r="D74" s="18">
        <v>1956.1519424526491</v>
      </c>
      <c r="E74" s="18">
        <v>2350.7166756341276</v>
      </c>
      <c r="F74" s="18">
        <v>2726.4436413132325</v>
      </c>
      <c r="G74" s="18">
        <v>3002.9457102229658</v>
      </c>
      <c r="H74" s="18">
        <v>3287.6449505320143</v>
      </c>
      <c r="I74" s="18">
        <v>3833.0300875681596</v>
      </c>
      <c r="J74" s="18">
        <v>3492.9903079159235</v>
      </c>
      <c r="K74" s="18">
        <v>3260.7452009478825</v>
      </c>
      <c r="L74" s="18">
        <f t="shared" si="17"/>
        <v>3498.4644131046775</v>
      </c>
      <c r="M74" s="18">
        <f t="shared" si="17"/>
        <v>3753.5141495269136</v>
      </c>
      <c r="N74" s="18">
        <f t="shared" si="17"/>
        <v>4027.1578632968644</v>
      </c>
      <c r="O74" s="18">
        <f t="shared" si="17"/>
        <v>4320.7511174449292</v>
      </c>
      <c r="P74" s="18">
        <f t="shared" si="17"/>
        <v>4635.7483000723914</v>
      </c>
    </row>
    <row r="75" spans="1:16">
      <c r="A75" t="s">
        <v>201</v>
      </c>
      <c r="B75" s="18">
        <v>2478.6465181678223</v>
      </c>
      <c r="C75" s="18">
        <v>2483.7176390920513</v>
      </c>
      <c r="D75" s="18">
        <v>2228.1437556867031</v>
      </c>
      <c r="E75" s="18">
        <v>2847.4216218293623</v>
      </c>
      <c r="F75" s="18">
        <v>3093.5081310146825</v>
      </c>
      <c r="G75" s="18">
        <v>3413.0359731419985</v>
      </c>
      <c r="H75" s="18">
        <v>3490.051264700392</v>
      </c>
      <c r="I75" s="18">
        <v>3950.5350481870501</v>
      </c>
      <c r="J75" s="18">
        <v>3745.8424237426166</v>
      </c>
      <c r="K75" s="18">
        <v>3611.9558821190576</v>
      </c>
      <c r="L75" s="18">
        <f t="shared" si="17"/>
        <v>3887.9633169645358</v>
      </c>
      <c r="M75" s="18">
        <f t="shared" si="17"/>
        <v>4185.0618466561909</v>
      </c>
      <c r="N75" s="18">
        <f t="shared" si="17"/>
        <v>4504.8631461913274</v>
      </c>
      <c r="O75" s="18">
        <f t="shared" si="17"/>
        <v>4849.1020466345781</v>
      </c>
      <c r="P75" s="18">
        <f t="shared" si="17"/>
        <v>5219.6459460828637</v>
      </c>
    </row>
    <row r="76" spans="1:16">
      <c r="B76" s="18"/>
      <c r="C76" s="18"/>
      <c r="D76" s="18"/>
      <c r="E76" s="18"/>
      <c r="F76" s="18"/>
      <c r="G76" s="18"/>
      <c r="H76" s="18"/>
      <c r="I76" s="18"/>
      <c r="J76" s="18"/>
      <c r="K76" s="18"/>
    </row>
    <row r="77" spans="1:16">
      <c r="A77" t="s">
        <v>206</v>
      </c>
      <c r="B77" s="17">
        <v>3104</v>
      </c>
      <c r="C77" s="17">
        <v>3983</v>
      </c>
      <c r="D77" s="17">
        <v>1763</v>
      </c>
      <c r="E77" s="17">
        <v>2486</v>
      </c>
      <c r="F77" s="17">
        <v>3581</v>
      </c>
      <c r="G77" s="17">
        <v>3608</v>
      </c>
      <c r="H77" s="17">
        <v>3534</v>
      </c>
      <c r="I77" s="17">
        <v>3539</v>
      </c>
      <c r="J77" s="17">
        <v>2013</v>
      </c>
      <c r="K77" s="17">
        <v>560</v>
      </c>
      <c r="L77" s="150">
        <f>Segments!L19</f>
        <v>2300</v>
      </c>
      <c r="M77" s="150">
        <f>L77</f>
        <v>2300</v>
      </c>
      <c r="N77" s="150">
        <f t="shared" ref="N77:P77" si="18">M77</f>
        <v>2300</v>
      </c>
      <c r="O77" s="150">
        <f t="shared" si="18"/>
        <v>2300</v>
      </c>
      <c r="P77" s="150">
        <f t="shared" si="18"/>
        <v>2300</v>
      </c>
    </row>
    <row r="78" spans="1:16">
      <c r="A78" t="s">
        <v>216</v>
      </c>
      <c r="B78" s="17">
        <v>797</v>
      </c>
      <c r="C78" s="17">
        <v>852</v>
      </c>
      <c r="D78" s="17">
        <v>770</v>
      </c>
      <c r="E78" s="17">
        <v>896</v>
      </c>
      <c r="F78" s="17">
        <v>1049</v>
      </c>
      <c r="G78" s="17">
        <v>1240</v>
      </c>
      <c r="H78" s="17">
        <v>1279</v>
      </c>
      <c r="I78" s="17">
        <v>1428</v>
      </c>
      <c r="J78" s="17">
        <v>1416</v>
      </c>
      <c r="K78" s="17">
        <v>1340</v>
      </c>
      <c r="L78" s="17">
        <f>K78*(1+L79)</f>
        <v>1474.0000000000002</v>
      </c>
      <c r="M78" s="17">
        <f t="shared" ref="M78:P78" si="19">L78*(1+M79)</f>
        <v>1621.4000000000003</v>
      </c>
      <c r="N78" s="17">
        <f t="shared" si="19"/>
        <v>1783.5400000000004</v>
      </c>
      <c r="O78" s="17">
        <f t="shared" si="19"/>
        <v>1961.8940000000007</v>
      </c>
      <c r="P78" s="17">
        <f t="shared" si="19"/>
        <v>2158.0834000000009</v>
      </c>
    </row>
    <row r="79" spans="1:16">
      <c r="L79" s="149">
        <v>0.1</v>
      </c>
      <c r="M79" s="149">
        <v>0.1</v>
      </c>
      <c r="N79" s="149">
        <v>0.1</v>
      </c>
      <c r="O79" s="149">
        <v>0.1</v>
      </c>
      <c r="P79" s="149">
        <v>0.1</v>
      </c>
    </row>
    <row r="81" spans="1:16">
      <c r="A81" t="s">
        <v>226</v>
      </c>
      <c r="B81" s="18">
        <f t="shared" ref="B81:J81" si="20">SUM(B70:B75)</f>
        <v>12382</v>
      </c>
      <c r="C81" s="18">
        <f t="shared" si="20"/>
        <v>13135</v>
      </c>
      <c r="D81" s="18">
        <f t="shared" si="20"/>
        <v>11610</v>
      </c>
      <c r="E81" s="18">
        <f t="shared" si="20"/>
        <v>13583</v>
      </c>
      <c r="F81" s="18">
        <f t="shared" si="20"/>
        <v>14926.999999999996</v>
      </c>
      <c r="G81" s="18">
        <f t="shared" si="20"/>
        <v>16078</v>
      </c>
      <c r="H81" s="18">
        <f t="shared" si="20"/>
        <v>17150</v>
      </c>
      <c r="I81" s="18">
        <f t="shared" si="20"/>
        <v>19021</v>
      </c>
      <c r="J81" s="18">
        <f t="shared" si="20"/>
        <v>18383.999999999996</v>
      </c>
      <c r="K81" s="18">
        <f>SUM(K70:K75)</f>
        <v>18037</v>
      </c>
      <c r="L81" s="18">
        <f>SUM(L70:L75)</f>
        <v>19480.510988279173</v>
      </c>
      <c r="M81" s="18">
        <f t="shared" ref="M81:P81" si="21">SUM(M70:M75)</f>
        <v>21060.080319911664</v>
      </c>
      <c r="N81" s="18">
        <f t="shared" si="21"/>
        <v>22790.619514638867</v>
      </c>
      <c r="O81" s="18">
        <f t="shared" si="21"/>
        <v>24688.884537903854</v>
      </c>
      <c r="P81" s="18">
        <f t="shared" si="21"/>
        <v>26773.724623832266</v>
      </c>
    </row>
    <row r="82" spans="1:16">
      <c r="B82" s="18"/>
      <c r="C82" s="20">
        <f>C81/B81-1</f>
        <v>6.081408496204177E-2</v>
      </c>
      <c r="D82" s="20">
        <f t="shared" ref="D82:P82" si="22">D81/C81-1</f>
        <v>-0.11610201751046823</v>
      </c>
      <c r="E82" s="20">
        <f t="shared" si="22"/>
        <v>0.16993970714900941</v>
      </c>
      <c r="F82" s="20">
        <f t="shared" si="22"/>
        <v>9.8947213428550063E-2</v>
      </c>
      <c r="G82" s="20">
        <f t="shared" si="22"/>
        <v>7.7108595163127402E-2</v>
      </c>
      <c r="H82" s="20">
        <f t="shared" si="22"/>
        <v>6.6674959572086134E-2</v>
      </c>
      <c r="I82" s="20">
        <f t="shared" si="22"/>
        <v>0.10909620991253655</v>
      </c>
      <c r="J82" s="20">
        <f t="shared" si="22"/>
        <v>-3.3489301298564977E-2</v>
      </c>
      <c r="K82" s="20">
        <f t="shared" si="22"/>
        <v>-1.8875108790252226E-2</v>
      </c>
      <c r="L82" s="20">
        <f t="shared" si="22"/>
        <v>8.0030547667526264E-2</v>
      </c>
      <c r="M82" s="20">
        <f t="shared" si="22"/>
        <v>8.108459437141402E-2</v>
      </c>
      <c r="N82" s="20">
        <f t="shared" si="22"/>
        <v>8.21715382106607E-2</v>
      </c>
      <c r="O82" s="20">
        <f t="shared" si="22"/>
        <v>8.3291506053430941E-2</v>
      </c>
      <c r="P82" s="20">
        <f t="shared" si="22"/>
        <v>8.444448280875716E-2</v>
      </c>
    </row>
    <row r="83" spans="1:16" ht="14.65" thickBot="1">
      <c r="A83" t="s">
        <v>227</v>
      </c>
      <c r="B83" s="18">
        <f>B81+B77+B78</f>
        <v>16283</v>
      </c>
      <c r="C83" s="18">
        <f t="shared" ref="C83:P83" si="23">C81+C77+C78</f>
        <v>17970</v>
      </c>
      <c r="D83" s="18">
        <f t="shared" si="23"/>
        <v>14143</v>
      </c>
      <c r="E83" s="18">
        <f t="shared" si="23"/>
        <v>16965</v>
      </c>
      <c r="F83" s="18">
        <f t="shared" si="23"/>
        <v>19556.999999999996</v>
      </c>
      <c r="G83" s="18">
        <f t="shared" si="23"/>
        <v>20926</v>
      </c>
      <c r="H83" s="18">
        <f t="shared" si="23"/>
        <v>21963</v>
      </c>
      <c r="I83" s="18">
        <f t="shared" si="23"/>
        <v>23988</v>
      </c>
      <c r="J83" s="18">
        <f t="shared" si="23"/>
        <v>21812.999999999996</v>
      </c>
      <c r="K83" s="18">
        <f>K81+K77+K78</f>
        <v>19937</v>
      </c>
      <c r="L83" s="18">
        <f t="shared" si="23"/>
        <v>23254.510988279173</v>
      </c>
      <c r="M83" s="18">
        <f t="shared" si="23"/>
        <v>24981.480319911665</v>
      </c>
      <c r="N83" s="18">
        <f t="shared" si="23"/>
        <v>26874.159514638868</v>
      </c>
      <c r="O83" s="18">
        <f t="shared" si="23"/>
        <v>28950.778537903854</v>
      </c>
      <c r="P83" s="18">
        <f t="shared" si="23"/>
        <v>31231.808023832265</v>
      </c>
    </row>
    <row r="84" spans="1:16" ht="14.65" thickBot="1">
      <c r="B84" s="18"/>
      <c r="C84" s="20">
        <f>C83/B83-1</f>
        <v>0.10360498679604491</v>
      </c>
      <c r="D84" s="20">
        <f t="shared" ref="D84:P84" si="24">D83/C83-1</f>
        <v>-0.21296605453533668</v>
      </c>
      <c r="E84" s="20">
        <f t="shared" si="24"/>
        <v>0.1995333380470905</v>
      </c>
      <c r="F84" s="20">
        <f t="shared" si="24"/>
        <v>0.15278514588859404</v>
      </c>
      <c r="G84" s="20">
        <f t="shared" si="24"/>
        <v>7.0000511325868153E-2</v>
      </c>
      <c r="H84" s="20">
        <f t="shared" si="24"/>
        <v>4.9555576794418466E-2</v>
      </c>
      <c r="I84" s="20">
        <f t="shared" si="24"/>
        <v>9.2200519054773888E-2</v>
      </c>
      <c r="J84" s="20">
        <f t="shared" si="24"/>
        <v>-9.0670335167583938E-2</v>
      </c>
      <c r="K84" s="20">
        <f t="shared" si="24"/>
        <v>-8.6003759226149445E-2</v>
      </c>
      <c r="L84" s="151">
        <f t="shared" si="24"/>
        <v>0.16639970849572028</v>
      </c>
      <c r="M84" s="152">
        <f t="shared" si="24"/>
        <v>7.4263842077905817E-2</v>
      </c>
      <c r="N84" s="152">
        <f t="shared" si="24"/>
        <v>7.5763292266496807E-2</v>
      </c>
      <c r="O84" s="152">
        <f t="shared" si="24"/>
        <v>7.7271961645305032E-2</v>
      </c>
      <c r="P84" s="153">
        <f t="shared" si="24"/>
        <v>7.8789918652514723E-2</v>
      </c>
    </row>
    <row r="86" spans="1:16">
      <c r="A86" s="146" t="s">
        <v>191</v>
      </c>
      <c r="B86" s="147"/>
      <c r="C86" s="147"/>
      <c r="D86" s="147"/>
      <c r="E86" s="147"/>
      <c r="F86" s="147"/>
      <c r="G86" s="147"/>
      <c r="H86" s="147"/>
      <c r="I86" s="147"/>
      <c r="J86" s="147"/>
      <c r="K86" s="147"/>
      <c r="L86" s="147">
        <v>1</v>
      </c>
      <c r="M86" s="147">
        <v>2</v>
      </c>
      <c r="N86" s="147">
        <v>3</v>
      </c>
      <c r="O86" s="147">
        <v>4</v>
      </c>
      <c r="P86" s="147">
        <v>5</v>
      </c>
    </row>
    <row r="87" spans="1:16">
      <c r="A87" t="s">
        <v>196</v>
      </c>
      <c r="B87" s="18">
        <v>2160.0884532210839</v>
      </c>
      <c r="C87" s="18">
        <v>2546.8642680549065</v>
      </c>
      <c r="D87" s="18">
        <v>2367.2280336736312</v>
      </c>
      <c r="E87" s="18">
        <v>2596.4835088393543</v>
      </c>
      <c r="F87" s="18">
        <v>2744.5247016423677</v>
      </c>
      <c r="G87" s="18">
        <v>2716.3648896300406</v>
      </c>
      <c r="H87" s="18">
        <v>2720.0398543961173</v>
      </c>
      <c r="I87" s="18">
        <v>3169.986638259626</v>
      </c>
      <c r="J87" s="18">
        <v>3211.4108177760368</v>
      </c>
      <c r="K87" s="18">
        <v>3507.6356219285271</v>
      </c>
      <c r="L87" s="18">
        <f>L45*L12</f>
        <v>3585.803737035008</v>
      </c>
      <c r="M87" s="18">
        <f t="shared" ref="M87:P87" si="25">M45*M12</f>
        <v>3665.7138387324285</v>
      </c>
      <c r="N87" s="18">
        <f t="shared" si="25"/>
        <v>3747.404747418067</v>
      </c>
      <c r="O87" s="18">
        <f t="shared" si="25"/>
        <v>3830.916148606796</v>
      </c>
      <c r="P87" s="18">
        <f t="shared" si="25"/>
        <v>3916.2886122103369</v>
      </c>
    </row>
    <row r="88" spans="1:16">
      <c r="A88" t="s">
        <v>197</v>
      </c>
      <c r="B88" s="18">
        <v>1361.4179747083269</v>
      </c>
      <c r="C88" s="18">
        <v>1245.0180633488023</v>
      </c>
      <c r="D88" s="18">
        <v>818.16517108107882</v>
      </c>
      <c r="E88" s="18">
        <v>1211.0856802459646</v>
      </c>
      <c r="F88" s="18">
        <v>1424.4607262714526</v>
      </c>
      <c r="G88" s="18">
        <v>1703.5465399886014</v>
      </c>
      <c r="H88" s="18">
        <v>1965.8890587082321</v>
      </c>
      <c r="I88" s="18">
        <v>1994.8459852009264</v>
      </c>
      <c r="J88" s="18">
        <v>2078.4951209706514</v>
      </c>
      <c r="K88" s="18">
        <v>1976.8538575313707</v>
      </c>
      <c r="L88" s="18">
        <f t="shared" ref="L88:P92" si="26">L46*L13</f>
        <v>2004.6793296267178</v>
      </c>
      <c r="M88" s="18">
        <f t="shared" si="26"/>
        <v>2032.8964628933647</v>
      </c>
      <c r="N88" s="18">
        <f t="shared" si="26"/>
        <v>2061.5107702107543</v>
      </c>
      <c r="O88" s="18">
        <f t="shared" si="26"/>
        <v>2090.5278420556047</v>
      </c>
      <c r="P88" s="18">
        <f t="shared" si="26"/>
        <v>2119.9533475941398</v>
      </c>
    </row>
    <row r="89" spans="1:16">
      <c r="A89" t="s">
        <v>198</v>
      </c>
      <c r="B89" s="18">
        <v>1974.7409534658136</v>
      </c>
      <c r="C89" s="18">
        <v>2106.0080816734235</v>
      </c>
      <c r="D89" s="18">
        <v>1925.1989010576224</v>
      </c>
      <c r="E89" s="18">
        <v>2165.9238316679475</v>
      </c>
      <c r="F89" s="18">
        <v>2423.3374779802239</v>
      </c>
      <c r="G89" s="18">
        <v>2766.5327694099719</v>
      </c>
      <c r="H89" s="18">
        <v>2992.7373646630576</v>
      </c>
      <c r="I89" s="18">
        <v>3177.741558396664</v>
      </c>
      <c r="J89" s="18">
        <v>3245.4004638840497</v>
      </c>
      <c r="K89" s="18">
        <v>3388.8000063616269</v>
      </c>
      <c r="L89" s="18">
        <f t="shared" si="26"/>
        <v>3565.0610280515502</v>
      </c>
      <c r="M89" s="18">
        <f t="shared" si="26"/>
        <v>3750.4898813363911</v>
      </c>
      <c r="N89" s="18">
        <f t="shared" si="26"/>
        <v>3945.5634109283087</v>
      </c>
      <c r="O89" s="18">
        <f t="shared" si="26"/>
        <v>4150.7832635743989</v>
      </c>
      <c r="P89" s="18">
        <f t="shared" si="26"/>
        <v>4366.6771780803083</v>
      </c>
    </row>
    <row r="90" spans="1:16">
      <c r="A90" t="s">
        <v>199</v>
      </c>
      <c r="B90" s="18">
        <v>1745.0574411092027</v>
      </c>
      <c r="C90" s="18">
        <v>1980.9933402176559</v>
      </c>
      <c r="D90" s="18">
        <v>2315.1121960483151</v>
      </c>
      <c r="E90" s="18">
        <v>2411.3686817832436</v>
      </c>
      <c r="F90" s="18">
        <v>2514.7253217780408</v>
      </c>
      <c r="G90" s="18">
        <v>2475.5741176064216</v>
      </c>
      <c r="H90" s="18">
        <v>2693.6375070001868</v>
      </c>
      <c r="I90" s="18">
        <v>2894.8606823875743</v>
      </c>
      <c r="J90" s="18">
        <v>2609.860865710722</v>
      </c>
      <c r="K90" s="18">
        <v>2291.0094311115354</v>
      </c>
      <c r="L90" s="18">
        <f t="shared" si="26"/>
        <v>2244.8517284604077</v>
      </c>
      <c r="M90" s="18">
        <f t="shared" si="26"/>
        <v>2199.623979865818</v>
      </c>
      <c r="N90" s="18">
        <f t="shared" si="26"/>
        <v>2155.3074492447822</v>
      </c>
      <c r="O90" s="18">
        <f t="shared" si="26"/>
        <v>2111.8837779961946</v>
      </c>
      <c r="P90" s="18">
        <f t="shared" si="26"/>
        <v>2069.3349773955815</v>
      </c>
    </row>
    <row r="91" spans="1:16">
      <c r="A91" t="s">
        <v>200</v>
      </c>
      <c r="B91" s="18">
        <v>2662.0486593277506</v>
      </c>
      <c r="C91" s="18">
        <v>2772.3986076131605</v>
      </c>
      <c r="D91" s="18">
        <v>1956.1519424526491</v>
      </c>
      <c r="E91" s="18">
        <v>2350.7166756341276</v>
      </c>
      <c r="F91" s="18">
        <v>2726.4436413132325</v>
      </c>
      <c r="G91" s="18">
        <v>3002.9457102229658</v>
      </c>
      <c r="H91" s="18">
        <v>3287.6449505320143</v>
      </c>
      <c r="I91" s="18">
        <v>3833.0300875681596</v>
      </c>
      <c r="J91" s="18">
        <v>3492.9903079159235</v>
      </c>
      <c r="K91" s="18">
        <v>3260.7452009478825</v>
      </c>
      <c r="L91" s="18">
        <f t="shared" si="26"/>
        <v>3334.4451071812027</v>
      </c>
      <c r="M91" s="18">
        <f t="shared" si="26"/>
        <v>3409.8107909727391</v>
      </c>
      <c r="N91" s="18">
        <f t="shared" si="26"/>
        <v>3486.8799025043613</v>
      </c>
      <c r="O91" s="18">
        <f t="shared" si="26"/>
        <v>3565.690942933622</v>
      </c>
      <c r="P91" s="18">
        <f t="shared" si="26"/>
        <v>3646.2832836276489</v>
      </c>
    </row>
    <row r="92" spans="1:16">
      <c r="A92" t="s">
        <v>201</v>
      </c>
      <c r="B92" s="18">
        <v>2478.6465181678223</v>
      </c>
      <c r="C92" s="18">
        <v>2483.7176390920513</v>
      </c>
      <c r="D92" s="18">
        <v>2228.1437556867031</v>
      </c>
      <c r="E92" s="18">
        <v>2847.4216218293623</v>
      </c>
      <c r="F92" s="18">
        <v>3093.5081310146825</v>
      </c>
      <c r="G92" s="18">
        <v>3413.0359731419985</v>
      </c>
      <c r="H92" s="18">
        <v>3490.051264700392</v>
      </c>
      <c r="I92" s="18">
        <v>3950.5350481870501</v>
      </c>
      <c r="J92" s="18">
        <v>3745.8424237426166</v>
      </c>
      <c r="K92" s="18">
        <v>3611.9558821190576</v>
      </c>
      <c r="L92" s="18">
        <f t="shared" si="26"/>
        <v>3680.0403738515083</v>
      </c>
      <c r="M92" s="18">
        <f t="shared" si="26"/>
        <v>3749.4082417285604</v>
      </c>
      <c r="N92" s="18">
        <f t="shared" si="26"/>
        <v>3820.0836770790561</v>
      </c>
      <c r="O92" s="18">
        <f t="shared" si="26"/>
        <v>3892.0913272325147</v>
      </c>
      <c r="P92" s="18">
        <f t="shared" si="26"/>
        <v>3965.4563041146348</v>
      </c>
    </row>
    <row r="93" spans="1:16">
      <c r="B93" s="18"/>
      <c r="C93" s="18"/>
      <c r="D93" s="18"/>
      <c r="E93" s="18"/>
      <c r="F93" s="18"/>
      <c r="G93" s="18"/>
      <c r="H93" s="18"/>
      <c r="I93" s="18"/>
      <c r="J93" s="18"/>
      <c r="K93" s="18"/>
    </row>
    <row r="94" spans="1:16">
      <c r="A94" t="s">
        <v>206</v>
      </c>
      <c r="B94" s="17">
        <v>3104</v>
      </c>
      <c r="C94" s="17">
        <v>3983</v>
      </c>
      <c r="D94" s="17">
        <v>1763</v>
      </c>
      <c r="E94" s="17">
        <v>2486</v>
      </c>
      <c r="F94" s="17">
        <v>3581</v>
      </c>
      <c r="G94" s="17">
        <v>3608</v>
      </c>
      <c r="H94" s="17">
        <v>3534</v>
      </c>
      <c r="I94" s="17">
        <v>3539</v>
      </c>
      <c r="J94" s="17">
        <v>2013</v>
      </c>
      <c r="K94" s="17">
        <v>560</v>
      </c>
      <c r="L94" s="150">
        <f>Segments!M19</f>
        <v>1568.6</v>
      </c>
      <c r="M94" s="150">
        <f>L94</f>
        <v>1568.6</v>
      </c>
      <c r="N94" s="150">
        <f t="shared" ref="N94:P94" si="27">M94</f>
        <v>1568.6</v>
      </c>
      <c r="O94" s="150">
        <f t="shared" si="27"/>
        <v>1568.6</v>
      </c>
      <c r="P94" s="150">
        <f t="shared" si="27"/>
        <v>1568.6</v>
      </c>
    </row>
    <row r="95" spans="1:16">
      <c r="A95" t="s">
        <v>216</v>
      </c>
      <c r="B95" s="17">
        <v>797</v>
      </c>
      <c r="C95" s="17">
        <v>852</v>
      </c>
      <c r="D95" s="17">
        <v>770</v>
      </c>
      <c r="E95" s="17">
        <v>896</v>
      </c>
      <c r="F95" s="17">
        <v>1049</v>
      </c>
      <c r="G95" s="17">
        <v>1240</v>
      </c>
      <c r="H95" s="17">
        <v>1279</v>
      </c>
      <c r="I95" s="17">
        <v>1428</v>
      </c>
      <c r="J95" s="17">
        <v>1416</v>
      </c>
      <c r="K95" s="17">
        <v>1340</v>
      </c>
      <c r="L95" s="17">
        <f>K95*(1+L96)</f>
        <v>1400.3</v>
      </c>
      <c r="M95" s="17">
        <f t="shared" ref="M95:P95" si="28">L95*(1+M96)</f>
        <v>1463.3134999999997</v>
      </c>
      <c r="N95" s="17">
        <f t="shared" si="28"/>
        <v>1529.1626074999997</v>
      </c>
      <c r="O95" s="17">
        <f t="shared" si="28"/>
        <v>1597.9749248374997</v>
      </c>
      <c r="P95" s="17">
        <f t="shared" si="28"/>
        <v>1669.8837964551869</v>
      </c>
    </row>
    <row r="96" spans="1:16">
      <c r="L96" s="149">
        <v>4.4999999999999998E-2</v>
      </c>
      <c r="M96" s="149">
        <f>L96</f>
        <v>4.4999999999999998E-2</v>
      </c>
      <c r="N96" s="149">
        <f t="shared" ref="N96:P96" si="29">M96</f>
        <v>4.4999999999999998E-2</v>
      </c>
      <c r="O96" s="149">
        <f t="shared" si="29"/>
        <v>4.4999999999999998E-2</v>
      </c>
      <c r="P96" s="149">
        <f t="shared" si="29"/>
        <v>4.4999999999999998E-2</v>
      </c>
    </row>
    <row r="97" spans="1:16">
      <c r="B97" s="18"/>
      <c r="C97" s="18"/>
      <c r="D97" s="18"/>
      <c r="E97" s="18"/>
      <c r="F97" s="18"/>
      <c r="G97" s="18"/>
      <c r="H97" s="18"/>
      <c r="I97" s="18"/>
      <c r="J97" s="18"/>
      <c r="K97" s="18"/>
    </row>
    <row r="98" spans="1:16">
      <c r="A98" t="s">
        <v>228</v>
      </c>
      <c r="B98" s="18">
        <f t="shared" ref="B98:J98" si="30">SUM(B87:B92)</f>
        <v>12382</v>
      </c>
      <c r="C98" s="18">
        <f t="shared" si="30"/>
        <v>13135</v>
      </c>
      <c r="D98" s="18">
        <f t="shared" si="30"/>
        <v>11610</v>
      </c>
      <c r="E98" s="18">
        <f t="shared" si="30"/>
        <v>13583</v>
      </c>
      <c r="F98" s="18">
        <f t="shared" si="30"/>
        <v>14926.999999999996</v>
      </c>
      <c r="G98" s="18">
        <f t="shared" si="30"/>
        <v>16078</v>
      </c>
      <c r="H98" s="18">
        <f t="shared" si="30"/>
        <v>17150</v>
      </c>
      <c r="I98" s="18">
        <f t="shared" si="30"/>
        <v>19021</v>
      </c>
      <c r="J98" s="18">
        <f t="shared" si="30"/>
        <v>18383.999999999996</v>
      </c>
      <c r="K98" s="18">
        <f>SUM(K87:K92)</f>
        <v>18037</v>
      </c>
      <c r="L98" s="18">
        <f>SUM(L87:L92)</f>
        <v>18414.881304206396</v>
      </c>
      <c r="M98" s="18">
        <f t="shared" ref="M98:P98" si="31">SUM(M87:M92)</f>
        <v>18807.9431955293</v>
      </c>
      <c r="N98" s="18">
        <f t="shared" si="31"/>
        <v>19216.749957385331</v>
      </c>
      <c r="O98" s="18">
        <f t="shared" si="31"/>
        <v>19641.893302399134</v>
      </c>
      <c r="P98" s="18">
        <f t="shared" si="31"/>
        <v>20083.99370302265</v>
      </c>
    </row>
    <row r="99" spans="1:16">
      <c r="B99" s="18"/>
      <c r="C99" s="20">
        <f>C98/B98-1</f>
        <v>6.081408496204177E-2</v>
      </c>
      <c r="D99" s="20">
        <f t="shared" ref="D99:P99" si="32">D98/C98-1</f>
        <v>-0.11610201751046823</v>
      </c>
      <c r="E99" s="20">
        <f t="shared" si="32"/>
        <v>0.16993970714900941</v>
      </c>
      <c r="F99" s="20">
        <f t="shared" si="32"/>
        <v>9.8947213428550063E-2</v>
      </c>
      <c r="G99" s="20">
        <f t="shared" si="32"/>
        <v>7.7108595163127402E-2</v>
      </c>
      <c r="H99" s="20">
        <f t="shared" si="32"/>
        <v>6.6674959572086134E-2</v>
      </c>
      <c r="I99" s="20">
        <f t="shared" si="32"/>
        <v>0.10909620991253655</v>
      </c>
      <c r="J99" s="20">
        <f t="shared" si="32"/>
        <v>-3.3489301298564977E-2</v>
      </c>
      <c r="K99" s="20">
        <f t="shared" si="32"/>
        <v>-1.8875108790252226E-2</v>
      </c>
      <c r="L99" s="20">
        <f t="shared" si="32"/>
        <v>2.0950341199001743E-2</v>
      </c>
      <c r="M99" s="20">
        <f t="shared" si="32"/>
        <v>2.1344796354083373E-2</v>
      </c>
      <c r="N99" s="20">
        <f t="shared" si="32"/>
        <v>2.1735856898653649E-2</v>
      </c>
      <c r="O99" s="20">
        <f t="shared" si="32"/>
        <v>2.2123582081079896E-2</v>
      </c>
      <c r="P99" s="20">
        <f t="shared" si="32"/>
        <v>2.2508033915932035E-2</v>
      </c>
    </row>
    <row r="100" spans="1:16" ht="14.65" thickBot="1">
      <c r="A100" t="s">
        <v>191</v>
      </c>
      <c r="B100" s="18">
        <f>B98+B94+B95</f>
        <v>16283</v>
      </c>
      <c r="C100" s="18">
        <f t="shared" ref="C100:J100" si="33">C98+C94+C95</f>
        <v>17970</v>
      </c>
      <c r="D100" s="18">
        <f t="shared" si="33"/>
        <v>14143</v>
      </c>
      <c r="E100" s="18">
        <f t="shared" si="33"/>
        <v>16965</v>
      </c>
      <c r="F100" s="18">
        <f t="shared" si="33"/>
        <v>19556.999999999996</v>
      </c>
      <c r="G100" s="18">
        <f t="shared" si="33"/>
        <v>20926</v>
      </c>
      <c r="H100" s="18">
        <f t="shared" si="33"/>
        <v>21963</v>
      </c>
      <c r="I100" s="18">
        <f t="shared" si="33"/>
        <v>23988</v>
      </c>
      <c r="J100" s="18">
        <f t="shared" si="33"/>
        <v>21812.999999999996</v>
      </c>
      <c r="K100" s="18">
        <f>K98+K94+K95</f>
        <v>19937</v>
      </c>
      <c r="L100" s="18">
        <f t="shared" ref="L100:P100" si="34">L98+L94+L95</f>
        <v>21383.781304206394</v>
      </c>
      <c r="M100" s="18">
        <f t="shared" si="34"/>
        <v>21839.856695529299</v>
      </c>
      <c r="N100" s="18">
        <f t="shared" si="34"/>
        <v>22314.512564885328</v>
      </c>
      <c r="O100" s="18">
        <f t="shared" si="34"/>
        <v>22808.468227236634</v>
      </c>
      <c r="P100" s="18">
        <f t="shared" si="34"/>
        <v>23322.477499477834</v>
      </c>
    </row>
    <row r="101" spans="1:16" ht="14.65" thickBot="1">
      <c r="B101" s="18"/>
      <c r="C101" s="20">
        <f>C100/B100-1</f>
        <v>0.10360498679604491</v>
      </c>
      <c r="D101" s="20">
        <f t="shared" ref="D101:P101" si="35">D100/C100-1</f>
        <v>-0.21296605453533668</v>
      </c>
      <c r="E101" s="20">
        <f t="shared" si="35"/>
        <v>0.1995333380470905</v>
      </c>
      <c r="F101" s="20">
        <f t="shared" si="35"/>
        <v>0.15278514588859404</v>
      </c>
      <c r="G101" s="20">
        <f t="shared" si="35"/>
        <v>7.0000511325868153E-2</v>
      </c>
      <c r="H101" s="20">
        <f t="shared" si="35"/>
        <v>4.9555576794418466E-2</v>
      </c>
      <c r="I101" s="20">
        <f t="shared" si="35"/>
        <v>9.2200519054773888E-2</v>
      </c>
      <c r="J101" s="20">
        <f t="shared" si="35"/>
        <v>-9.0670335167583938E-2</v>
      </c>
      <c r="K101" s="20">
        <f t="shared" si="35"/>
        <v>-8.6003759226149445E-2</v>
      </c>
      <c r="L101" s="151">
        <f t="shared" si="35"/>
        <v>7.2567653318272196E-2</v>
      </c>
      <c r="M101" s="152">
        <f t="shared" si="35"/>
        <v>2.1328098376744542E-2</v>
      </c>
      <c r="N101" s="152">
        <f t="shared" si="35"/>
        <v>2.1733469956934037E-2</v>
      </c>
      <c r="O101" s="152">
        <f t="shared" si="35"/>
        <v>2.2136072249617778E-2</v>
      </c>
      <c r="P101" s="153">
        <f t="shared" si="35"/>
        <v>2.2535896190845506E-2</v>
      </c>
    </row>
    <row r="102" spans="1:16">
      <c r="B102" s="18"/>
      <c r="C102" s="18"/>
      <c r="D102" s="18"/>
      <c r="E102" s="18"/>
      <c r="F102" s="18"/>
      <c r="G102" s="18"/>
      <c r="H102" s="18"/>
      <c r="I102" s="18"/>
      <c r="J102" s="18"/>
      <c r="K102" s="18"/>
    </row>
    <row r="103" spans="1:16" ht="18">
      <c r="A103" s="177" t="s">
        <v>229</v>
      </c>
      <c r="B103" s="177"/>
      <c r="C103" s="177"/>
      <c r="D103" s="177"/>
      <c r="E103" s="177"/>
      <c r="F103" s="177"/>
      <c r="G103" s="177"/>
      <c r="H103" s="177"/>
      <c r="I103" s="177"/>
      <c r="J103" s="177"/>
      <c r="K103" s="177"/>
      <c r="L103" s="177"/>
      <c r="M103" s="177"/>
      <c r="N103" s="177"/>
      <c r="O103" s="177"/>
      <c r="P103" s="177"/>
    </row>
    <row r="104" spans="1:16">
      <c r="A104" t="s">
        <v>230</v>
      </c>
      <c r="B104" s="18">
        <f>B70</f>
        <v>2160.0884532210839</v>
      </c>
      <c r="C104" s="18">
        <f t="shared" ref="C104:K104" si="36">C70</f>
        <v>2546.8642680549065</v>
      </c>
      <c r="D104" s="18">
        <f t="shared" si="36"/>
        <v>2367.2280336736312</v>
      </c>
      <c r="E104" s="18">
        <f t="shared" si="36"/>
        <v>2596.4835088393543</v>
      </c>
      <c r="F104" s="18">
        <f t="shared" si="36"/>
        <v>2744.5247016423677</v>
      </c>
      <c r="G104" s="18">
        <f t="shared" si="36"/>
        <v>2716.3648896300406</v>
      </c>
      <c r="H104" s="18">
        <f t="shared" si="36"/>
        <v>2720.0398543961173</v>
      </c>
      <c r="I104" s="18">
        <f t="shared" si="36"/>
        <v>3169.986638259626</v>
      </c>
      <c r="J104" s="18">
        <f t="shared" si="36"/>
        <v>3211.4108177760368</v>
      </c>
      <c r="K104" s="18">
        <f t="shared" si="36"/>
        <v>3507.6356219285271</v>
      </c>
    </row>
    <row r="105" spans="1:16">
      <c r="A105" t="s">
        <v>190</v>
      </c>
      <c r="B105" s="18"/>
      <c r="C105" s="18"/>
      <c r="D105" s="18"/>
      <c r="E105" s="18"/>
      <c r="F105" s="18"/>
      <c r="G105" s="18"/>
      <c r="H105" s="18"/>
      <c r="I105" s="18"/>
      <c r="J105" s="18"/>
      <c r="K105" s="18"/>
      <c r="L105" s="18">
        <f>L70</f>
        <v>3665.9816738095487</v>
      </c>
      <c r="M105" s="18">
        <f t="shared" ref="M105:P105" si="37">M70</f>
        <v>3831.4759801984096</v>
      </c>
      <c r="N105" s="18">
        <f t="shared" si="37"/>
        <v>4004.4412364948489</v>
      </c>
      <c r="O105" s="18">
        <f t="shared" si="37"/>
        <v>4185.2147056158774</v>
      </c>
      <c r="P105" s="18">
        <f t="shared" si="37"/>
        <v>4374.1488756207727</v>
      </c>
    </row>
    <row r="106" spans="1:16">
      <c r="A106" t="s">
        <v>191</v>
      </c>
      <c r="B106" s="18"/>
      <c r="C106" s="18"/>
      <c r="D106" s="18"/>
      <c r="E106" s="18"/>
      <c r="F106" s="18"/>
      <c r="G106" s="18"/>
      <c r="H106" s="18"/>
      <c r="I106" s="18"/>
      <c r="J106" s="18"/>
      <c r="K106" s="18"/>
      <c r="L106" s="18">
        <f>L87</f>
        <v>3585.803737035008</v>
      </c>
      <c r="M106" s="18">
        <f t="shared" ref="M106:P106" si="38">M87</f>
        <v>3665.7138387324285</v>
      </c>
      <c r="N106" s="18">
        <f t="shared" si="38"/>
        <v>3747.404747418067</v>
      </c>
      <c r="O106" s="18">
        <f t="shared" si="38"/>
        <v>3830.916148606796</v>
      </c>
      <c r="P106" s="18">
        <f t="shared" si="38"/>
        <v>3916.2886122103369</v>
      </c>
    </row>
    <row r="107" spans="1:16">
      <c r="A107" t="s">
        <v>231</v>
      </c>
      <c r="B107" s="18"/>
      <c r="C107" s="20">
        <f>C104/B104-1</f>
        <v>0.17905554481209762</v>
      </c>
      <c r="D107" s="20">
        <f t="shared" ref="D107:K107" si="39">D104/C104-1</f>
        <v>-7.0532315614317054E-2</v>
      </c>
      <c r="E107" s="20">
        <f t="shared" si="39"/>
        <v>9.6845539130401503E-2</v>
      </c>
      <c r="F107" s="20">
        <f t="shared" si="39"/>
        <v>5.7016034301403673E-2</v>
      </c>
      <c r="G107" s="20">
        <f t="shared" si="39"/>
        <v>-1.0260360198425578E-2</v>
      </c>
      <c r="H107" s="20">
        <f t="shared" si="39"/>
        <v>1.3528980514017075E-3</v>
      </c>
      <c r="I107" s="20">
        <f t="shared" si="39"/>
        <v>0.16541918793443644</v>
      </c>
      <c r="J107" s="20">
        <f t="shared" si="39"/>
        <v>1.3067619597019187E-2</v>
      </c>
      <c r="K107" s="20">
        <f t="shared" si="39"/>
        <v>9.2241329733587785E-2</v>
      </c>
    </row>
    <row r="108" spans="1:16">
      <c r="A108" t="s">
        <v>232</v>
      </c>
      <c r="B108" s="18"/>
      <c r="C108" s="18"/>
      <c r="D108" s="18"/>
      <c r="E108" s="18"/>
      <c r="F108" s="18"/>
      <c r="G108" s="18"/>
      <c r="H108" s="18"/>
      <c r="I108" s="18"/>
      <c r="J108" s="18"/>
      <c r="K108" s="20">
        <f>K107</f>
        <v>9.2241329733587785E-2</v>
      </c>
      <c r="L108" s="20">
        <f>L105/K104-1</f>
        <v>4.5143244324209908E-2</v>
      </c>
      <c r="M108" s="20">
        <f>M105/L105-1</f>
        <v>4.514324432421013E-2</v>
      </c>
      <c r="N108" s="20">
        <f t="shared" ref="N108:P109" si="40">N105/M105-1</f>
        <v>4.514324432421013E-2</v>
      </c>
      <c r="O108" s="20">
        <f t="shared" si="40"/>
        <v>4.5143244324209908E-2</v>
      </c>
      <c r="P108" s="20">
        <f t="shared" si="40"/>
        <v>4.5143244324210352E-2</v>
      </c>
    </row>
    <row r="109" spans="1:16">
      <c r="A109" t="s">
        <v>233</v>
      </c>
      <c r="B109" s="18"/>
      <c r="C109" s="18"/>
      <c r="D109" s="18"/>
      <c r="E109" s="18"/>
      <c r="F109" s="18"/>
      <c r="G109" s="18"/>
      <c r="H109" s="18"/>
      <c r="I109" s="18"/>
      <c r="J109" s="18"/>
      <c r="K109" s="20">
        <f>K108</f>
        <v>9.2241329733587785E-2</v>
      </c>
      <c r="L109" s="20">
        <f>L106/K104-1</f>
        <v>2.2285129794497704E-2</v>
      </c>
      <c r="M109" s="20">
        <f>M106/L106-1</f>
        <v>2.2285129794497927E-2</v>
      </c>
      <c r="N109" s="20">
        <f t="shared" si="40"/>
        <v>2.2285129794497704E-2</v>
      </c>
      <c r="O109" s="20">
        <f t="shared" si="40"/>
        <v>2.2285129794497927E-2</v>
      </c>
      <c r="P109" s="20">
        <f t="shared" si="40"/>
        <v>2.2285129794497927E-2</v>
      </c>
    </row>
    <row r="110" spans="1:16">
      <c r="B110" s="18"/>
      <c r="C110" s="18"/>
      <c r="D110" s="18"/>
      <c r="E110" s="18"/>
      <c r="F110" s="18"/>
      <c r="G110" s="20">
        <f>MEDIAN(C107:G107)</f>
        <v>5.7016034301403673E-2</v>
      </c>
      <c r="H110" s="20">
        <f t="shared" ref="H110:K110" si="41">MEDIAN(D107:H107)</f>
        <v>1.3528980514017075E-3</v>
      </c>
      <c r="I110" s="20">
        <f t="shared" si="41"/>
        <v>5.7016034301403673E-2</v>
      </c>
      <c r="J110" s="20">
        <f t="shared" si="41"/>
        <v>1.3067619597019187E-2</v>
      </c>
      <c r="K110" s="20">
        <f t="shared" si="41"/>
        <v>1.3067619597019187E-2</v>
      </c>
    </row>
    <row r="111" spans="1:16">
      <c r="A111" t="s">
        <v>234</v>
      </c>
      <c r="B111" s="18">
        <f t="shared" ref="B111:K111" si="42">B71</f>
        <v>1361.4179747083269</v>
      </c>
      <c r="C111" s="18">
        <f t="shared" si="42"/>
        <v>1245.0180633488023</v>
      </c>
      <c r="D111" s="18">
        <f t="shared" si="42"/>
        <v>818.16517108107882</v>
      </c>
      <c r="E111" s="18">
        <f t="shared" si="42"/>
        <v>1211.0856802459646</v>
      </c>
      <c r="F111" s="18">
        <f t="shared" si="42"/>
        <v>1424.4607262714526</v>
      </c>
      <c r="G111" s="18">
        <f t="shared" si="42"/>
        <v>1703.5465399886014</v>
      </c>
      <c r="H111" s="18">
        <f t="shared" si="42"/>
        <v>1965.8890587082321</v>
      </c>
      <c r="I111" s="18">
        <f t="shared" si="42"/>
        <v>1994.8459852009264</v>
      </c>
      <c r="J111" s="18">
        <f t="shared" si="42"/>
        <v>2078.4951209706514</v>
      </c>
      <c r="K111" s="18">
        <f t="shared" si="42"/>
        <v>1976.8538575313707</v>
      </c>
    </row>
    <row r="112" spans="1:16">
      <c r="A112" t="s">
        <v>190</v>
      </c>
      <c r="B112" s="18"/>
      <c r="C112" s="18"/>
      <c r="D112" s="18"/>
      <c r="E112" s="18"/>
      <c r="F112" s="18"/>
      <c r="G112" s="18"/>
      <c r="H112" s="18"/>
      <c r="I112" s="18"/>
      <c r="J112" s="18"/>
      <c r="K112" s="18"/>
      <c r="L112" s="18">
        <f>L71</f>
        <v>2288.196218135769</v>
      </c>
      <c r="M112" s="18">
        <f>M71</f>
        <v>2648.5730914014962</v>
      </c>
      <c r="N112" s="18">
        <f>N71</f>
        <v>3065.7071123958353</v>
      </c>
      <c r="O112" s="18">
        <f>O71</f>
        <v>3548.5371838544011</v>
      </c>
      <c r="P112" s="18">
        <f>P71</f>
        <v>4107.4100308808183</v>
      </c>
    </row>
    <row r="113" spans="1:16">
      <c r="A113" t="s">
        <v>191</v>
      </c>
      <c r="B113" s="18"/>
      <c r="C113" s="18"/>
      <c r="D113" s="18"/>
      <c r="E113" s="18"/>
      <c r="F113" s="18"/>
      <c r="G113" s="18"/>
      <c r="H113" s="18"/>
      <c r="I113" s="18"/>
      <c r="J113" s="18"/>
      <c r="K113" s="18"/>
      <c r="L113" s="18">
        <f>L88</f>
        <v>2004.6793296267178</v>
      </c>
      <c r="M113" s="18">
        <f>M88</f>
        <v>2032.8964628933647</v>
      </c>
      <c r="N113" s="18">
        <f>N88</f>
        <v>2061.5107702107543</v>
      </c>
      <c r="O113" s="18">
        <f>O88</f>
        <v>2090.5278420556047</v>
      </c>
      <c r="P113" s="18">
        <f>P88</f>
        <v>2119.9533475941398</v>
      </c>
    </row>
    <row r="114" spans="1:16">
      <c r="A114" t="s">
        <v>231</v>
      </c>
      <c r="B114" s="18"/>
      <c r="C114" s="20">
        <f>C111/B111-1</f>
        <v>-8.549902639890028E-2</v>
      </c>
      <c r="D114" s="20">
        <f t="shared" ref="D114:K114" si="43">D111/C111-1</f>
        <v>-0.34284875443460705</v>
      </c>
      <c r="E114" s="20">
        <f t="shared" si="43"/>
        <v>0.48024594917148833</v>
      </c>
      <c r="F114" s="20">
        <f t="shared" si="43"/>
        <v>0.17618493018772452</v>
      </c>
      <c r="G114" s="20">
        <f t="shared" si="43"/>
        <v>0.19592383880435937</v>
      </c>
      <c r="H114" s="20">
        <f t="shared" si="43"/>
        <v>0.15399785832759583</v>
      </c>
      <c r="I114" s="20">
        <f t="shared" si="43"/>
        <v>1.4729684955732791E-2</v>
      </c>
      <c r="J114" s="20">
        <f t="shared" si="43"/>
        <v>4.1932628578992714E-2</v>
      </c>
      <c r="K114" s="20">
        <f t="shared" si="43"/>
        <v>-4.8901372158051792E-2</v>
      </c>
    </row>
    <row r="115" spans="1:16">
      <c r="A115" t="s">
        <v>232</v>
      </c>
      <c r="B115" s="18"/>
      <c r="C115" s="18"/>
      <c r="D115" s="18"/>
      <c r="E115" s="18"/>
      <c r="F115" s="18"/>
      <c r="G115" s="18"/>
      <c r="H115" s="18"/>
      <c r="I115" s="18"/>
      <c r="J115" s="18"/>
      <c r="K115" s="20">
        <f>K114</f>
        <v>-4.8901372158051792E-2</v>
      </c>
      <c r="L115" s="20">
        <f>L112/K111-1</f>
        <v>0.15749386805618104</v>
      </c>
      <c r="M115" s="20">
        <f>M112/L112-1</f>
        <v>0.15749386805618104</v>
      </c>
      <c r="N115" s="20">
        <f t="shared" ref="N115:P116" si="44">N112/M112-1</f>
        <v>0.15749386805618126</v>
      </c>
      <c r="O115" s="20">
        <f t="shared" si="44"/>
        <v>0.15749386805618104</v>
      </c>
      <c r="P115" s="20">
        <f t="shared" si="44"/>
        <v>0.15749386805618104</v>
      </c>
    </row>
    <row r="116" spans="1:16">
      <c r="A116" t="s">
        <v>233</v>
      </c>
      <c r="B116" s="18"/>
      <c r="C116" s="18"/>
      <c r="D116" s="18"/>
      <c r="E116" s="18"/>
      <c r="F116" s="18"/>
      <c r="G116" s="18"/>
      <c r="H116" s="18"/>
      <c r="I116" s="18"/>
      <c r="J116" s="18"/>
      <c r="K116" s="20">
        <f>K115</f>
        <v>-4.8901372158051792E-2</v>
      </c>
      <c r="L116" s="20">
        <f>L113/K111-1</f>
        <v>1.4075634366869538E-2</v>
      </c>
      <c r="M116" s="20">
        <f>M113/L113-1</f>
        <v>1.4075634366869538E-2</v>
      </c>
      <c r="N116" s="20">
        <f t="shared" si="44"/>
        <v>1.407563436686976E-2</v>
      </c>
      <c r="O116" s="20">
        <f t="shared" si="44"/>
        <v>1.4075634366869538E-2</v>
      </c>
      <c r="P116" s="20">
        <f t="shared" si="44"/>
        <v>1.4075634366869316E-2</v>
      </c>
    </row>
    <row r="117" spans="1:16">
      <c r="G117" s="20">
        <f>MEDIAN(C114:G114)</f>
        <v>0.17618493018772452</v>
      </c>
      <c r="H117" s="20">
        <f t="shared" ref="H117:K117" si="45">MEDIAN(D114:H114)</f>
        <v>0.17618493018772452</v>
      </c>
      <c r="I117" s="20">
        <f t="shared" si="45"/>
        <v>0.17618493018772452</v>
      </c>
      <c r="J117" s="20">
        <f t="shared" si="45"/>
        <v>0.15399785832759583</v>
      </c>
      <c r="K117" s="20">
        <f t="shared" si="45"/>
        <v>4.1932628578992714E-2</v>
      </c>
    </row>
    <row r="118" spans="1:16">
      <c r="A118" t="s">
        <v>235</v>
      </c>
      <c r="B118" s="18">
        <f t="shared" ref="B118:K118" si="46">B72</f>
        <v>1974.7409534658136</v>
      </c>
      <c r="C118" s="18">
        <f t="shared" si="46"/>
        <v>2106.0080816734235</v>
      </c>
      <c r="D118" s="18">
        <f t="shared" si="46"/>
        <v>1925.1989010576224</v>
      </c>
      <c r="E118" s="18">
        <f t="shared" si="46"/>
        <v>2165.9238316679475</v>
      </c>
      <c r="F118" s="18">
        <f t="shared" si="46"/>
        <v>2423.3374779802239</v>
      </c>
      <c r="G118" s="18">
        <f t="shared" si="46"/>
        <v>2766.5327694099719</v>
      </c>
      <c r="H118" s="18">
        <f t="shared" si="46"/>
        <v>2992.7373646630576</v>
      </c>
      <c r="I118" s="18">
        <f t="shared" si="46"/>
        <v>3177.741558396664</v>
      </c>
      <c r="J118" s="18">
        <f t="shared" si="46"/>
        <v>3245.4004638840497</v>
      </c>
      <c r="K118" s="18">
        <f t="shared" si="46"/>
        <v>3388.8000063616269</v>
      </c>
    </row>
    <row r="119" spans="1:16">
      <c r="A119" t="s">
        <v>190</v>
      </c>
      <c r="G119" s="20"/>
      <c r="H119" s="20"/>
      <c r="I119" s="20"/>
      <c r="J119" s="20"/>
      <c r="K119" s="20">
        <f t="shared" ref="K119" si="47">MEDIAN(G116:K116)</f>
        <v>-4.8901372158051792E-2</v>
      </c>
      <c r="L119" s="18">
        <f>L72</f>
        <v>3738.9333179863083</v>
      </c>
      <c r="M119" s="18">
        <f>M72</f>
        <v>4125.2426611499213</v>
      </c>
      <c r="N119" s="18">
        <f>N72</f>
        <v>4551.4657700652788</v>
      </c>
      <c r="O119" s="18">
        <f>O72</f>
        <v>5021.7265643959308</v>
      </c>
      <c r="P119" s="18">
        <f>P72</f>
        <v>5540.5750502212559</v>
      </c>
    </row>
    <row r="120" spans="1:16">
      <c r="A120" t="s">
        <v>191</v>
      </c>
      <c r="L120" s="18">
        <f>L89</f>
        <v>3565.0610280515502</v>
      </c>
      <c r="M120" s="18">
        <f>M89</f>
        <v>3750.4898813363911</v>
      </c>
      <c r="N120" s="18">
        <f>N89</f>
        <v>3945.5634109283087</v>
      </c>
      <c r="O120" s="18">
        <f>O89</f>
        <v>4150.7832635743989</v>
      </c>
      <c r="P120" s="18">
        <f>P89</f>
        <v>4366.6771780803083</v>
      </c>
    </row>
    <row r="121" spans="1:16">
      <c r="A121" t="s">
        <v>231</v>
      </c>
      <c r="B121" s="18"/>
      <c r="C121" s="20">
        <f>C118/B118-1</f>
        <v>6.6473087509137052E-2</v>
      </c>
      <c r="D121" s="20">
        <f t="shared" ref="D121:K121" si="48">D118/C118-1</f>
        <v>-8.5853982322865119E-2</v>
      </c>
      <c r="E121" s="20">
        <f t="shared" si="48"/>
        <v>0.12503899232338078</v>
      </c>
      <c r="F121" s="20">
        <f t="shared" si="48"/>
        <v>0.11884704464147555</v>
      </c>
      <c r="G121" s="20">
        <f t="shared" si="48"/>
        <v>0.14162092343646271</v>
      </c>
      <c r="H121" s="20">
        <f t="shared" si="48"/>
        <v>8.1764654210594756E-2</v>
      </c>
      <c r="I121" s="20">
        <f t="shared" si="48"/>
        <v>6.1817717758348989E-2</v>
      </c>
      <c r="J121" s="20">
        <f t="shared" si="48"/>
        <v>2.129150663892343E-2</v>
      </c>
      <c r="K121" s="20">
        <f t="shared" si="48"/>
        <v>4.4185469273631206E-2</v>
      </c>
    </row>
    <row r="122" spans="1:16">
      <c r="A122" t="s">
        <v>232</v>
      </c>
      <c r="B122" s="18"/>
      <c r="C122" s="18"/>
      <c r="D122" s="18"/>
      <c r="E122" s="18"/>
      <c r="F122" s="18"/>
      <c r="G122" s="18"/>
      <c r="H122" s="18"/>
      <c r="I122" s="18"/>
      <c r="J122" s="18"/>
      <c r="K122" s="20">
        <f>K121</f>
        <v>4.4185469273631206E-2</v>
      </c>
      <c r="L122" s="20">
        <f>L119/K118-1</f>
        <v>0.10332073623919791</v>
      </c>
      <c r="M122" s="20">
        <f>M119/L119-1</f>
        <v>0.10332073623919813</v>
      </c>
      <c r="N122" s="20">
        <f t="shared" ref="N122:P123" si="49">N119/M119-1</f>
        <v>0.10332073623919791</v>
      </c>
      <c r="O122" s="20">
        <f t="shared" si="49"/>
        <v>0.10332073623919791</v>
      </c>
      <c r="P122" s="20">
        <f t="shared" si="49"/>
        <v>0.10332073623919791</v>
      </c>
    </row>
    <row r="123" spans="1:16">
      <c r="A123" t="s">
        <v>233</v>
      </c>
      <c r="B123" s="18"/>
      <c r="C123" s="18"/>
      <c r="D123" s="18"/>
      <c r="E123" s="18"/>
      <c r="F123" s="18"/>
      <c r="G123" s="18"/>
      <c r="H123" s="18"/>
      <c r="I123" s="18"/>
      <c r="J123" s="18"/>
      <c r="K123" s="20">
        <f>K122</f>
        <v>4.4185469273631206E-2</v>
      </c>
      <c r="L123" s="20">
        <f>L120/K118-1</f>
        <v>5.2012813196127716E-2</v>
      </c>
      <c r="M123" s="20">
        <f>M120/L120-1</f>
        <v>5.2012813196127938E-2</v>
      </c>
      <c r="N123" s="20">
        <f t="shared" si="49"/>
        <v>5.2012813196127938E-2</v>
      </c>
      <c r="O123" s="20">
        <f t="shared" si="49"/>
        <v>5.2012813196127716E-2</v>
      </c>
      <c r="P123" s="20">
        <f t="shared" si="49"/>
        <v>5.2012813196127938E-2</v>
      </c>
    </row>
    <row r="124" spans="1:16">
      <c r="G124" s="20">
        <f>MEDIAN(C121:G121)</f>
        <v>0.11884704464147555</v>
      </c>
      <c r="H124" s="20">
        <f t="shared" ref="H124:K124" si="50">MEDIAN(D121:H121)</f>
        <v>0.11884704464147555</v>
      </c>
      <c r="I124" s="20">
        <f t="shared" si="50"/>
        <v>0.11884704464147555</v>
      </c>
      <c r="J124" s="20">
        <f t="shared" si="50"/>
        <v>8.1764654210594756E-2</v>
      </c>
      <c r="K124" s="20">
        <f t="shared" si="50"/>
        <v>6.1817717758348989E-2</v>
      </c>
    </row>
    <row r="125" spans="1:16">
      <c r="A125" t="s">
        <v>236</v>
      </c>
      <c r="B125" s="18">
        <f t="shared" ref="B125:K125" si="51">B73</f>
        <v>1745.0574411092027</v>
      </c>
      <c r="C125" s="18">
        <f t="shared" si="51"/>
        <v>1980.9933402176559</v>
      </c>
      <c r="D125" s="18">
        <f t="shared" si="51"/>
        <v>2315.1121960483151</v>
      </c>
      <c r="E125" s="18">
        <f t="shared" si="51"/>
        <v>2411.3686817832436</v>
      </c>
      <c r="F125" s="18">
        <f t="shared" si="51"/>
        <v>2514.7253217780408</v>
      </c>
      <c r="G125" s="18">
        <f t="shared" si="51"/>
        <v>2475.5741176064216</v>
      </c>
      <c r="H125" s="18">
        <f t="shared" si="51"/>
        <v>2693.6375070001868</v>
      </c>
      <c r="I125" s="18">
        <f t="shared" si="51"/>
        <v>2894.8606823875743</v>
      </c>
      <c r="J125" s="18">
        <f t="shared" si="51"/>
        <v>2609.860865710722</v>
      </c>
      <c r="K125" s="18">
        <f t="shared" si="51"/>
        <v>2291.0094311115354</v>
      </c>
    </row>
    <row r="126" spans="1:16">
      <c r="A126" t="s">
        <v>190</v>
      </c>
      <c r="L126" s="18">
        <f>L73</f>
        <v>2400.9720482783364</v>
      </c>
      <c r="M126" s="18">
        <f>M73</f>
        <v>2516.2125909787333</v>
      </c>
      <c r="N126" s="18">
        <f>N73</f>
        <v>2636.984386194712</v>
      </c>
      <c r="O126" s="18">
        <f>O73</f>
        <v>2763.5529199581356</v>
      </c>
      <c r="P126" s="18">
        <f>P73</f>
        <v>2896.1964209541629</v>
      </c>
    </row>
    <row r="127" spans="1:16">
      <c r="A127" t="s">
        <v>191</v>
      </c>
      <c r="L127" s="18">
        <f>L90</f>
        <v>2244.8517284604077</v>
      </c>
      <c r="M127" s="18">
        <f>M90</f>
        <v>2199.623979865818</v>
      </c>
      <c r="N127" s="18">
        <f>N90</f>
        <v>2155.3074492447822</v>
      </c>
      <c r="O127" s="18">
        <f>O90</f>
        <v>2111.8837779961946</v>
      </c>
      <c r="P127" s="18">
        <f>P90</f>
        <v>2069.3349773955815</v>
      </c>
    </row>
    <row r="128" spans="1:16">
      <c r="A128" t="s">
        <v>231</v>
      </c>
      <c r="B128" s="18"/>
      <c r="C128" s="20">
        <f>C125/B125-1</f>
        <v>0.13520236844380684</v>
      </c>
      <c r="D128" s="20">
        <f t="shared" ref="D128:K128" si="52">D125/C125-1</f>
        <v>0.16866228121390292</v>
      </c>
      <c r="E128" s="20">
        <f t="shared" si="52"/>
        <v>4.1577460435493929E-2</v>
      </c>
      <c r="F128" s="20">
        <f t="shared" si="52"/>
        <v>4.28622303904036E-2</v>
      </c>
      <c r="G128" s="20">
        <f t="shared" si="52"/>
        <v>-1.5568779553202794E-2</v>
      </c>
      <c r="H128" s="20">
        <f t="shared" si="52"/>
        <v>8.8085986940518612E-2</v>
      </c>
      <c r="I128" s="20">
        <f t="shared" si="52"/>
        <v>7.4703138363811705E-2</v>
      </c>
      <c r="J128" s="20">
        <f t="shared" si="52"/>
        <v>-9.8450270305165399E-2</v>
      </c>
      <c r="K128" s="20">
        <f t="shared" si="52"/>
        <v>-0.12217181336690008</v>
      </c>
    </row>
    <row r="129" spans="1:16">
      <c r="A129" t="s">
        <v>232</v>
      </c>
      <c r="B129" s="18"/>
      <c r="C129" s="18"/>
      <c r="D129" s="18"/>
      <c r="E129" s="18"/>
      <c r="F129" s="18"/>
      <c r="G129" s="18"/>
      <c r="H129" s="18"/>
      <c r="I129" s="18"/>
      <c r="J129" s="18"/>
      <c r="K129" s="20">
        <f>K128</f>
        <v>-0.12217181336690008</v>
      </c>
      <c r="L129" s="20">
        <f>L126/K125-1</f>
        <v>4.7997452857909018E-2</v>
      </c>
      <c r="M129" s="20">
        <f>M126/L126-1</f>
        <v>4.7997452857909018E-2</v>
      </c>
      <c r="N129" s="20">
        <f t="shared" ref="N129:P130" si="53">N126/M126-1</f>
        <v>4.7997452857909018E-2</v>
      </c>
      <c r="O129" s="20">
        <f t="shared" si="53"/>
        <v>4.799745285790924E-2</v>
      </c>
      <c r="P129" s="20">
        <f t="shared" si="53"/>
        <v>4.7997452857909018E-2</v>
      </c>
    </row>
    <row r="130" spans="1:16">
      <c r="A130" t="s">
        <v>233</v>
      </c>
      <c r="B130" s="18"/>
      <c r="C130" s="18"/>
      <c r="D130" s="18"/>
      <c r="E130" s="18"/>
      <c r="F130" s="18"/>
      <c r="G130" s="18"/>
      <c r="H130" s="18"/>
      <c r="I130" s="18"/>
      <c r="J130" s="18"/>
      <c r="K130" s="20">
        <f>K129</f>
        <v>-0.12217181336690008</v>
      </c>
      <c r="L130" s="20">
        <f>L127/K125-1</f>
        <v>-2.0147321099736049E-2</v>
      </c>
      <c r="M130" s="20">
        <f>M127/L127-1</f>
        <v>-2.014732109973616E-2</v>
      </c>
      <c r="N130" s="20">
        <f t="shared" si="53"/>
        <v>-2.0147321099735938E-2</v>
      </c>
      <c r="O130" s="20">
        <f t="shared" si="53"/>
        <v>-2.0147321099736049E-2</v>
      </c>
      <c r="P130" s="20">
        <f t="shared" si="53"/>
        <v>-2.0147321099736049E-2</v>
      </c>
    </row>
    <row r="131" spans="1:16">
      <c r="G131" s="20">
        <f>MEDIAN(C128:G128)</f>
        <v>4.28622303904036E-2</v>
      </c>
      <c r="H131" s="20">
        <f t="shared" ref="H131:K131" si="54">MEDIAN(D128:H128)</f>
        <v>4.28622303904036E-2</v>
      </c>
      <c r="I131" s="20">
        <f t="shared" si="54"/>
        <v>4.28622303904036E-2</v>
      </c>
      <c r="J131" s="20">
        <f t="shared" si="54"/>
        <v>4.28622303904036E-2</v>
      </c>
      <c r="K131" s="20">
        <f t="shared" si="54"/>
        <v>-1.5568779553202794E-2</v>
      </c>
    </row>
    <row r="132" spans="1:16">
      <c r="A132" t="s">
        <v>237</v>
      </c>
      <c r="B132" s="18">
        <f t="shared" ref="B132:K132" si="55">B91</f>
        <v>2662.0486593277506</v>
      </c>
      <c r="C132" s="18">
        <f t="shared" si="55"/>
        <v>2772.3986076131605</v>
      </c>
      <c r="D132" s="18">
        <f t="shared" si="55"/>
        <v>1956.1519424526491</v>
      </c>
      <c r="E132" s="18">
        <f t="shared" si="55"/>
        <v>2350.7166756341276</v>
      </c>
      <c r="F132" s="18">
        <f t="shared" si="55"/>
        <v>2726.4436413132325</v>
      </c>
      <c r="G132" s="18">
        <f t="shared" si="55"/>
        <v>3002.9457102229658</v>
      </c>
      <c r="H132" s="18">
        <f t="shared" si="55"/>
        <v>3287.6449505320143</v>
      </c>
      <c r="I132" s="18">
        <f t="shared" si="55"/>
        <v>3833.0300875681596</v>
      </c>
      <c r="J132" s="18">
        <f t="shared" si="55"/>
        <v>3492.9903079159235</v>
      </c>
      <c r="K132" s="18">
        <f t="shared" si="55"/>
        <v>3260.7452009478825</v>
      </c>
    </row>
    <row r="133" spans="1:16">
      <c r="A133" t="s">
        <v>190</v>
      </c>
      <c r="L133" s="18">
        <f>L74</f>
        <v>3498.4644131046775</v>
      </c>
      <c r="M133" s="18">
        <f>M74</f>
        <v>3753.5141495269136</v>
      </c>
      <c r="N133" s="18">
        <f>N74</f>
        <v>4027.1578632968644</v>
      </c>
      <c r="O133" s="18">
        <f>O74</f>
        <v>4320.7511174449292</v>
      </c>
      <c r="P133" s="18">
        <f>P74</f>
        <v>4635.7483000723914</v>
      </c>
    </row>
    <row r="134" spans="1:16">
      <c r="A134" t="s">
        <v>191</v>
      </c>
      <c r="L134" s="18">
        <f>L91</f>
        <v>3334.4451071812027</v>
      </c>
      <c r="M134" s="18">
        <f>M91</f>
        <v>3409.8107909727391</v>
      </c>
      <c r="N134" s="18">
        <f>N91</f>
        <v>3486.8799025043613</v>
      </c>
      <c r="O134" s="18">
        <f>O91</f>
        <v>3565.690942933622</v>
      </c>
      <c r="P134" s="18">
        <f>P91</f>
        <v>3646.2832836276489</v>
      </c>
    </row>
    <row r="135" spans="1:16">
      <c r="A135" t="s">
        <v>231</v>
      </c>
      <c r="B135" s="18"/>
      <c r="C135" s="20">
        <f>C132/B132-1</f>
        <v>4.1453016983272084E-2</v>
      </c>
      <c r="D135" s="20">
        <f t="shared" ref="D135:K135" si="56">D132/C132-1</f>
        <v>-0.29441894210993058</v>
      </c>
      <c r="E135" s="20">
        <f t="shared" si="56"/>
        <v>0.20170454279066274</v>
      </c>
      <c r="F135" s="20">
        <f t="shared" si="56"/>
        <v>0.15983507054407098</v>
      </c>
      <c r="G135" s="20">
        <f t="shared" si="56"/>
        <v>0.10141492188576895</v>
      </c>
      <c r="H135" s="20">
        <f t="shared" si="56"/>
        <v>9.4806655791292993E-2</v>
      </c>
      <c r="I135" s="20">
        <f t="shared" si="56"/>
        <v>0.16588930533629842</v>
      </c>
      <c r="J135" s="20">
        <f t="shared" si="56"/>
        <v>-8.8713047349954999E-2</v>
      </c>
      <c r="K135" s="20">
        <f t="shared" si="56"/>
        <v>-6.6488906780451051E-2</v>
      </c>
    </row>
    <row r="136" spans="1:16">
      <c r="A136" t="s">
        <v>232</v>
      </c>
      <c r="B136" s="18"/>
      <c r="C136" s="18"/>
      <c r="D136" s="18"/>
      <c r="E136" s="18"/>
      <c r="F136" s="18"/>
      <c r="G136" s="18"/>
      <c r="H136" s="18"/>
      <c r="I136" s="18"/>
      <c r="J136" s="18"/>
      <c r="K136" s="20">
        <f>K135</f>
        <v>-6.6488906780451051E-2</v>
      </c>
      <c r="L136" s="20">
        <f>L133/K132-1</f>
        <v>7.2903338809696461E-2</v>
      </c>
      <c r="M136" s="20">
        <f>M133/L133-1</f>
        <v>7.2903338809696461E-2</v>
      </c>
      <c r="N136" s="20">
        <f t="shared" ref="N136:P137" si="57">N133/M133-1</f>
        <v>7.2903338809696683E-2</v>
      </c>
      <c r="O136" s="20">
        <f t="shared" si="57"/>
        <v>7.2903338809696461E-2</v>
      </c>
      <c r="P136" s="20">
        <f t="shared" si="57"/>
        <v>7.2903338809696461E-2</v>
      </c>
    </row>
    <row r="137" spans="1:16">
      <c r="A137" t="s">
        <v>233</v>
      </c>
      <c r="B137" s="18"/>
      <c r="C137" s="18"/>
      <c r="D137" s="18"/>
      <c r="E137" s="18"/>
      <c r="F137" s="18"/>
      <c r="G137" s="18"/>
      <c r="H137" s="18"/>
      <c r="I137" s="18"/>
      <c r="J137" s="18"/>
      <c r="K137" s="20">
        <f>K136</f>
        <v>-6.6488906780451051E-2</v>
      </c>
      <c r="L137" s="20">
        <f>L134/K132-1</f>
        <v>2.2602166588145511E-2</v>
      </c>
      <c r="M137" s="20">
        <f>M134/L134-1</f>
        <v>2.2602166588145511E-2</v>
      </c>
      <c r="N137" s="20">
        <f t="shared" si="57"/>
        <v>2.2602166588145511E-2</v>
      </c>
      <c r="O137" s="20">
        <f t="shared" si="57"/>
        <v>2.2602166588145733E-2</v>
      </c>
      <c r="P137" s="20">
        <f t="shared" si="57"/>
        <v>2.2602166588145289E-2</v>
      </c>
    </row>
    <row r="138" spans="1:16">
      <c r="G138" s="20">
        <f>MEDIAN(C135:G135)</f>
        <v>0.10141492188576895</v>
      </c>
      <c r="H138" s="20">
        <f t="shared" ref="H138:K138" si="58">MEDIAN(D135:H135)</f>
        <v>0.10141492188576895</v>
      </c>
      <c r="I138" s="20">
        <f t="shared" si="58"/>
        <v>0.15983507054407098</v>
      </c>
      <c r="J138" s="20">
        <f t="shared" si="58"/>
        <v>0.10141492188576895</v>
      </c>
      <c r="K138" s="20">
        <f t="shared" si="58"/>
        <v>9.4806655791292993E-2</v>
      </c>
    </row>
    <row r="139" spans="1:16">
      <c r="A139" t="s">
        <v>238</v>
      </c>
      <c r="B139" s="18">
        <f t="shared" ref="B139:K139" si="59">B75</f>
        <v>2478.6465181678223</v>
      </c>
      <c r="C139" s="18">
        <f t="shared" si="59"/>
        <v>2483.7176390920513</v>
      </c>
      <c r="D139" s="18">
        <f t="shared" si="59"/>
        <v>2228.1437556867031</v>
      </c>
      <c r="E139" s="18">
        <f t="shared" si="59"/>
        <v>2847.4216218293623</v>
      </c>
      <c r="F139" s="18">
        <f t="shared" si="59"/>
        <v>3093.5081310146825</v>
      </c>
      <c r="G139" s="18">
        <f t="shared" si="59"/>
        <v>3413.0359731419985</v>
      </c>
      <c r="H139" s="18">
        <f t="shared" si="59"/>
        <v>3490.051264700392</v>
      </c>
      <c r="I139" s="18">
        <f t="shared" si="59"/>
        <v>3950.5350481870501</v>
      </c>
      <c r="J139" s="18">
        <f t="shared" si="59"/>
        <v>3745.8424237426166</v>
      </c>
      <c r="K139" s="18">
        <f t="shared" si="59"/>
        <v>3611.9558821190576</v>
      </c>
    </row>
    <row r="140" spans="1:16">
      <c r="A140" t="s">
        <v>190</v>
      </c>
      <c r="L140" s="18">
        <f>L75</f>
        <v>3887.9633169645358</v>
      </c>
      <c r="M140" s="18">
        <f>M75</f>
        <v>4185.0618466561909</v>
      </c>
      <c r="N140" s="18">
        <f>N75</f>
        <v>4504.8631461913274</v>
      </c>
      <c r="O140" s="18">
        <f>O75</f>
        <v>4849.1020466345781</v>
      </c>
      <c r="P140" s="18">
        <f>P75</f>
        <v>5219.6459460828637</v>
      </c>
    </row>
    <row r="141" spans="1:16">
      <c r="A141" t="s">
        <v>191</v>
      </c>
      <c r="L141" s="18">
        <f>L92</f>
        <v>3680.0403738515083</v>
      </c>
      <c r="M141" s="18">
        <f>M92</f>
        <v>3749.4082417285604</v>
      </c>
      <c r="N141" s="18">
        <f>N92</f>
        <v>3820.0836770790561</v>
      </c>
      <c r="O141" s="18">
        <f>O92</f>
        <v>3892.0913272325147</v>
      </c>
      <c r="P141" s="18">
        <f>P92</f>
        <v>3965.4563041146348</v>
      </c>
    </row>
    <row r="142" spans="1:16">
      <c r="A142" t="s">
        <v>231</v>
      </c>
      <c r="B142" s="18"/>
      <c r="C142" s="20">
        <f>C139/B139-1</f>
        <v>2.045923404994987E-3</v>
      </c>
      <c r="D142" s="20">
        <f t="shared" ref="D142:K142" si="60">D139/C139-1</f>
        <v>-0.1028997336020756</v>
      </c>
      <c r="E142" s="20">
        <f t="shared" si="60"/>
        <v>0.27793443064978574</v>
      </c>
      <c r="F142" s="20">
        <f t="shared" si="60"/>
        <v>8.6424331155854128E-2</v>
      </c>
      <c r="G142" s="20">
        <f t="shared" si="60"/>
        <v>0.10328980193192816</v>
      </c>
      <c r="H142" s="20">
        <f t="shared" si="60"/>
        <v>2.2565039502790318E-2</v>
      </c>
      <c r="I142" s="20">
        <f t="shared" si="60"/>
        <v>0.13194183940624393</v>
      </c>
      <c r="J142" s="20">
        <f t="shared" si="60"/>
        <v>-5.1813899116872619E-2</v>
      </c>
      <c r="K142" s="20">
        <f t="shared" si="60"/>
        <v>-3.5742705238996031E-2</v>
      </c>
    </row>
    <row r="143" spans="1:16">
      <c r="A143" t="s">
        <v>232</v>
      </c>
      <c r="B143" s="18"/>
      <c r="C143" s="18"/>
      <c r="D143" s="18"/>
      <c r="E143" s="18"/>
      <c r="F143" s="18"/>
      <c r="G143" s="18"/>
      <c r="H143" s="18"/>
      <c r="I143" s="18"/>
      <c r="J143" s="18"/>
      <c r="K143" s="20">
        <f>K142</f>
        <v>-3.5742705238996031E-2</v>
      </c>
      <c r="L143" s="20">
        <f>L140/K139-1</f>
        <v>7.6414951858036151E-2</v>
      </c>
      <c r="M143" s="20">
        <f>M140/L140-1</f>
        <v>7.6414951858036151E-2</v>
      </c>
      <c r="N143" s="20">
        <f t="shared" ref="N143:P144" si="61">N140/M140-1</f>
        <v>7.6414951858036151E-2</v>
      </c>
      <c r="O143" s="20">
        <f t="shared" si="61"/>
        <v>7.6414951858035929E-2</v>
      </c>
      <c r="P143" s="20">
        <f t="shared" si="61"/>
        <v>7.6414951858036151E-2</v>
      </c>
    </row>
    <row r="144" spans="1:16">
      <c r="A144" t="s">
        <v>233</v>
      </c>
      <c r="B144" s="18"/>
      <c r="C144" s="18"/>
      <c r="D144" s="18"/>
      <c r="E144" s="18"/>
      <c r="F144" s="18"/>
      <c r="G144" s="18"/>
      <c r="H144" s="18"/>
      <c r="I144" s="18"/>
      <c r="J144" s="18"/>
      <c r="K144" s="20">
        <f>K143</f>
        <v>-3.5742705238996031E-2</v>
      </c>
      <c r="L144" s="20">
        <f>L141/K139-1</f>
        <v>1.8849757293410541E-2</v>
      </c>
      <c r="M144" s="20">
        <f>M141/L141-1</f>
        <v>1.8849757293410319E-2</v>
      </c>
      <c r="N144" s="20">
        <f t="shared" si="61"/>
        <v>1.8849757293410319E-2</v>
      </c>
      <c r="O144" s="20">
        <f t="shared" si="61"/>
        <v>1.8849757293410319E-2</v>
      </c>
      <c r="P144" s="20">
        <f t="shared" si="61"/>
        <v>1.8849757293410319E-2</v>
      </c>
    </row>
    <row r="145" spans="1:16">
      <c r="G145" s="20">
        <f>MEDIAN(C142:G142)</f>
        <v>8.6424331155854128E-2</v>
      </c>
      <c r="H145" s="20">
        <f t="shared" ref="H145:K145" si="62">MEDIAN(D142:H142)</f>
        <v>8.6424331155854128E-2</v>
      </c>
      <c r="I145" s="20">
        <f t="shared" si="62"/>
        <v>0.10328980193192816</v>
      </c>
      <c r="J145" s="20">
        <f t="shared" si="62"/>
        <v>8.6424331155854128E-2</v>
      </c>
      <c r="K145" s="20">
        <f t="shared" si="62"/>
        <v>2.2565039502790318E-2</v>
      </c>
    </row>
    <row r="146" spans="1:16">
      <c r="A146" t="s">
        <v>206</v>
      </c>
      <c r="B146" s="18">
        <f t="shared" ref="B146:K146" si="63">B77</f>
        <v>3104</v>
      </c>
      <c r="C146" s="18">
        <f t="shared" si="63"/>
        <v>3983</v>
      </c>
      <c r="D146" s="18">
        <f t="shared" si="63"/>
        <v>1763</v>
      </c>
      <c r="E146" s="18">
        <f t="shared" si="63"/>
        <v>2486</v>
      </c>
      <c r="F146" s="18">
        <f t="shared" si="63"/>
        <v>3581</v>
      </c>
      <c r="G146" s="18">
        <f t="shared" si="63"/>
        <v>3608</v>
      </c>
      <c r="H146" s="18">
        <f t="shared" si="63"/>
        <v>3534</v>
      </c>
      <c r="I146" s="18">
        <f t="shared" si="63"/>
        <v>3539</v>
      </c>
      <c r="J146" s="18">
        <f t="shared" si="63"/>
        <v>2013</v>
      </c>
      <c r="K146" s="18">
        <f t="shared" si="63"/>
        <v>560</v>
      </c>
    </row>
    <row r="147" spans="1:16">
      <c r="A147" t="s">
        <v>190</v>
      </c>
      <c r="L147" s="18">
        <f>L77</f>
        <v>2300</v>
      </c>
      <c r="M147" s="18">
        <f>M77</f>
        <v>2300</v>
      </c>
      <c r="N147" s="18">
        <f>N77</f>
        <v>2300</v>
      </c>
      <c r="O147" s="18">
        <f>O77</f>
        <v>2300</v>
      </c>
      <c r="P147" s="18">
        <f>P77</f>
        <v>2300</v>
      </c>
    </row>
    <row r="148" spans="1:16">
      <c r="A148" t="s">
        <v>191</v>
      </c>
      <c r="L148" s="18">
        <f>L94</f>
        <v>1568.6</v>
      </c>
      <c r="M148" s="18">
        <f>M94</f>
        <v>1568.6</v>
      </c>
      <c r="N148" s="18">
        <f>N94</f>
        <v>1568.6</v>
      </c>
      <c r="O148" s="18">
        <f>O94</f>
        <v>1568.6</v>
      </c>
      <c r="P148" s="18">
        <f>P94</f>
        <v>1568.6</v>
      </c>
    </row>
    <row r="150" spans="1:16">
      <c r="A150" t="s">
        <v>221</v>
      </c>
      <c r="B150" s="18">
        <f t="shared" ref="B150:K150" si="64">B78</f>
        <v>797</v>
      </c>
      <c r="C150" s="18">
        <f t="shared" si="64"/>
        <v>852</v>
      </c>
      <c r="D150" s="18">
        <f t="shared" si="64"/>
        <v>770</v>
      </c>
      <c r="E150" s="18">
        <f t="shared" si="64"/>
        <v>896</v>
      </c>
      <c r="F150" s="18">
        <f t="shared" si="64"/>
        <v>1049</v>
      </c>
      <c r="G150" s="18">
        <f t="shared" si="64"/>
        <v>1240</v>
      </c>
      <c r="H150" s="18">
        <f t="shared" si="64"/>
        <v>1279</v>
      </c>
      <c r="I150" s="18">
        <f t="shared" si="64"/>
        <v>1428</v>
      </c>
      <c r="J150" s="18">
        <f t="shared" si="64"/>
        <v>1416</v>
      </c>
      <c r="K150" s="18">
        <f t="shared" si="64"/>
        <v>1340</v>
      </c>
    </row>
    <row r="151" spans="1:16">
      <c r="A151" t="s">
        <v>190</v>
      </c>
      <c r="L151" s="18">
        <f>L78</f>
        <v>1474.0000000000002</v>
      </c>
      <c r="M151" s="18">
        <f>M78</f>
        <v>1621.4000000000003</v>
      </c>
      <c r="N151" s="18">
        <f>N78</f>
        <v>1783.5400000000004</v>
      </c>
      <c r="O151" s="18">
        <f>O78</f>
        <v>1961.8940000000007</v>
      </c>
      <c r="P151" s="18">
        <f>P78</f>
        <v>2158.0834000000009</v>
      </c>
    </row>
    <row r="152" spans="1:16">
      <c r="A152" t="s">
        <v>191</v>
      </c>
      <c r="L152" s="18">
        <f>L95</f>
        <v>1400.3</v>
      </c>
      <c r="M152" s="18">
        <f>M95</f>
        <v>1463.3134999999997</v>
      </c>
      <c r="N152" s="18">
        <f>N95</f>
        <v>1529.1626074999997</v>
      </c>
      <c r="O152" s="18">
        <f>O95</f>
        <v>1597.9749248374997</v>
      </c>
      <c r="P152" s="18">
        <f>P95</f>
        <v>1669.8837964551869</v>
      </c>
    </row>
    <row r="153" spans="1:16">
      <c r="A153" t="s">
        <v>231</v>
      </c>
      <c r="B153" s="18"/>
      <c r="C153" s="20">
        <f>C150/B150-1</f>
        <v>6.9008782936009982E-2</v>
      </c>
      <c r="D153" s="20">
        <f t="shared" ref="D153:K153" si="65">D150/C150-1</f>
        <v>-9.6244131455399007E-2</v>
      </c>
      <c r="E153" s="20">
        <f t="shared" si="65"/>
        <v>0.16363636363636358</v>
      </c>
      <c r="F153" s="20">
        <f t="shared" si="65"/>
        <v>0.1707589285714286</v>
      </c>
      <c r="G153" s="20">
        <f t="shared" si="65"/>
        <v>0.18207816968541457</v>
      </c>
      <c r="H153" s="20">
        <f t="shared" si="65"/>
        <v>3.1451612903225845E-2</v>
      </c>
      <c r="I153" s="20">
        <f t="shared" si="65"/>
        <v>0.11649726348709932</v>
      </c>
      <c r="J153" s="20">
        <f t="shared" si="65"/>
        <v>-8.4033613445377853E-3</v>
      </c>
      <c r="K153" s="20">
        <f t="shared" si="65"/>
        <v>-5.3672316384180796E-2</v>
      </c>
    </row>
    <row r="154" spans="1:16">
      <c r="A154" t="s">
        <v>232</v>
      </c>
      <c r="B154" s="18"/>
      <c r="C154" s="18"/>
      <c r="D154" s="18"/>
      <c r="E154" s="18"/>
      <c r="F154" s="18"/>
      <c r="G154" s="18"/>
      <c r="H154" s="18"/>
      <c r="I154" s="18"/>
      <c r="J154" s="18"/>
      <c r="K154" s="20">
        <f>K153</f>
        <v>-5.3672316384180796E-2</v>
      </c>
      <c r="L154" s="20">
        <f>L151/K150-1</f>
        <v>0.10000000000000009</v>
      </c>
      <c r="M154" s="20">
        <f>M151/L151-1</f>
        <v>0.10000000000000009</v>
      </c>
      <c r="N154" s="20">
        <f t="shared" ref="N154:P155" si="66">N151/M151-1</f>
        <v>0.10000000000000009</v>
      </c>
      <c r="O154" s="20">
        <f t="shared" si="66"/>
        <v>0.10000000000000009</v>
      </c>
      <c r="P154" s="20">
        <f t="shared" si="66"/>
        <v>0.10000000000000009</v>
      </c>
    </row>
    <row r="155" spans="1:16">
      <c r="A155" t="s">
        <v>233</v>
      </c>
      <c r="B155" s="18"/>
      <c r="C155" s="18"/>
      <c r="D155" s="18"/>
      <c r="E155" s="18"/>
      <c r="F155" s="18"/>
      <c r="G155" s="18"/>
      <c r="H155" s="18"/>
      <c r="I155" s="18"/>
      <c r="J155" s="18"/>
      <c r="K155" s="20">
        <f>K154</f>
        <v>-5.3672316384180796E-2</v>
      </c>
      <c r="L155" s="20">
        <f>L152/K150-1</f>
        <v>4.4999999999999929E-2</v>
      </c>
      <c r="M155" s="20">
        <f>M152/L152-1</f>
        <v>4.4999999999999929E-2</v>
      </c>
      <c r="N155" s="20">
        <f t="shared" si="66"/>
        <v>4.4999999999999929E-2</v>
      </c>
      <c r="O155" s="20">
        <f t="shared" si="66"/>
        <v>4.4999999999999929E-2</v>
      </c>
      <c r="P155" s="20">
        <f t="shared" si="66"/>
        <v>4.4999999999999929E-2</v>
      </c>
    </row>
    <row r="156" spans="1:16">
      <c r="G156" s="20">
        <f>MEDIAN(C153:G153)</f>
        <v>0.16363636363636358</v>
      </c>
      <c r="H156" s="20">
        <f t="shared" ref="H156:K156" si="67">MEDIAN(D153:H153)</f>
        <v>0.16363636363636358</v>
      </c>
      <c r="I156" s="20">
        <f t="shared" si="67"/>
        <v>0.16363636363636358</v>
      </c>
      <c r="J156" s="20">
        <f t="shared" si="67"/>
        <v>0.11649726348709932</v>
      </c>
      <c r="K156" s="20">
        <f t="shared" si="67"/>
        <v>3.1451612903225845E-2</v>
      </c>
    </row>
  </sheetData>
  <mergeCells count="1">
    <mergeCell ref="A103:P10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4BB-158D-4C21-B7AD-7380A005EE5C}">
  <dimension ref="A1:F78"/>
  <sheetViews>
    <sheetView workbookViewId="0">
      <selection activeCell="C75" sqref="C75"/>
    </sheetView>
  </sheetViews>
  <sheetFormatPr defaultRowHeight="14.25"/>
  <cols>
    <col min="1" max="1" width="24.59765625" bestFit="1" customWidth="1"/>
    <col min="3" max="3" width="9.59765625" bestFit="1" customWidth="1"/>
    <col min="4" max="4" width="10.59765625" customWidth="1"/>
  </cols>
  <sheetData>
    <row r="1" spans="1:6">
      <c r="B1" t="s">
        <v>239</v>
      </c>
      <c r="C1" t="s">
        <v>240</v>
      </c>
      <c r="D1" t="s">
        <v>241</v>
      </c>
      <c r="E1" t="s">
        <v>242</v>
      </c>
      <c r="F1" t="s">
        <v>243</v>
      </c>
    </row>
    <row r="2" spans="1:6">
      <c r="A2">
        <v>2016</v>
      </c>
      <c r="B2" s="17">
        <v>19588.074000000001</v>
      </c>
      <c r="C2" s="17">
        <v>19941</v>
      </c>
      <c r="D2" s="17">
        <v>20896.853999999999</v>
      </c>
    </row>
    <row r="3" spans="1:6">
      <c r="A3">
        <v>2017</v>
      </c>
      <c r="B3" s="17">
        <v>19869.519302814017</v>
      </c>
      <c r="D3" s="17">
        <v>22278.248662564198</v>
      </c>
      <c r="E3" s="17">
        <v>22653.311027424446</v>
      </c>
      <c r="F3" s="17">
        <v>24555.056032230579</v>
      </c>
    </row>
    <row r="4" spans="1:6">
      <c r="A4">
        <v>2018</v>
      </c>
      <c r="B4" s="17">
        <v>20259.054584430778</v>
      </c>
      <c r="D4" s="17">
        <v>23770.877612492528</v>
      </c>
      <c r="E4" s="17">
        <v>23298.790108060864</v>
      </c>
      <c r="F4" s="17">
        <v>26567.964116454496</v>
      </c>
    </row>
    <row r="5" spans="1:6">
      <c r="A5">
        <v>2019</v>
      </c>
      <c r="B5" s="17">
        <v>20757.511939710152</v>
      </c>
      <c r="D5" s="17">
        <v>25384.941452738865</v>
      </c>
      <c r="E5" s="17">
        <v>23969.741971123149</v>
      </c>
      <c r="F5" s="17">
        <v>28791.386856759451</v>
      </c>
    </row>
    <row r="6" spans="1:6">
      <c r="A6">
        <v>2020</v>
      </c>
      <c r="B6" s="17">
        <v>21366.699390098016</v>
      </c>
      <c r="D6" s="17">
        <v>27131.629574110102</v>
      </c>
      <c r="E6" s="17">
        <v>24667.30474459385</v>
      </c>
      <c r="F6" s="17">
        <v>31249.489854073479</v>
      </c>
    </row>
    <row r="7" spans="1:6">
      <c r="A7">
        <v>2021</v>
      </c>
      <c r="E7" s="17">
        <v>25392.672182132414</v>
      </c>
      <c r="F7" s="17">
        <v>33969.455587962868</v>
      </c>
    </row>
    <row r="8" spans="1:6">
      <c r="E8" s="20">
        <f>(E7/$C2)^0.2-1</f>
        <v>4.9523807236024897E-2</v>
      </c>
      <c r="F8" s="20">
        <f>(F7/$C2)^0.2-1</f>
        <v>0.11241882756683741</v>
      </c>
    </row>
    <row r="12" spans="1:6">
      <c r="B12" t="s">
        <v>239</v>
      </c>
      <c r="C12" t="s">
        <v>240</v>
      </c>
      <c r="D12" t="s">
        <v>241</v>
      </c>
      <c r="E12" t="s">
        <v>242</v>
      </c>
      <c r="F12" t="s">
        <v>243</v>
      </c>
    </row>
    <row r="13" spans="1:6">
      <c r="A13">
        <v>2016</v>
      </c>
      <c r="B13" s="17">
        <v>4505.25702</v>
      </c>
      <c r="C13" s="17">
        <v>5445</v>
      </c>
      <c r="D13" s="17">
        <v>5642.1505800000004</v>
      </c>
    </row>
    <row r="14" spans="1:6">
      <c r="A14">
        <v>2017</v>
      </c>
      <c r="B14" s="17">
        <v>4569.9894396472237</v>
      </c>
      <c r="D14" s="17">
        <v>6015.1271388923342</v>
      </c>
      <c r="E14" s="17">
        <v>5210.2615363076229</v>
      </c>
      <c r="F14" s="17">
        <v>6629.8651287022567</v>
      </c>
    </row>
    <row r="15" spans="1:6">
      <c r="A15">
        <v>2018</v>
      </c>
      <c r="B15" s="17">
        <v>4659.5825544190793</v>
      </c>
      <c r="D15" s="17">
        <v>6418.1369553729828</v>
      </c>
      <c r="E15" s="17">
        <v>5358.7217248539991</v>
      </c>
      <c r="F15" s="17">
        <v>7173.350311442714</v>
      </c>
    </row>
    <row r="16" spans="1:6">
      <c r="A16">
        <v>2019</v>
      </c>
      <c r="B16" s="17">
        <v>4774.2277461333351</v>
      </c>
      <c r="D16" s="17">
        <v>6853.9341922394942</v>
      </c>
      <c r="E16" s="17">
        <v>5513.0406533583246</v>
      </c>
      <c r="F16" s="17">
        <v>7773.6744513250524</v>
      </c>
    </row>
    <row r="17" spans="1:6">
      <c r="A17">
        <v>2020</v>
      </c>
      <c r="B17" s="17">
        <v>4914.3408597225443</v>
      </c>
      <c r="D17" s="17">
        <v>7325.5399850097283</v>
      </c>
      <c r="E17" s="17">
        <v>5673.4800912565861</v>
      </c>
      <c r="F17" s="17">
        <v>8437.3622605998407</v>
      </c>
    </row>
    <row r="18" spans="1:6">
      <c r="A18">
        <v>2021</v>
      </c>
      <c r="E18" s="17">
        <v>5840.3146018904554</v>
      </c>
      <c r="F18" s="17">
        <v>9171.7530087499745</v>
      </c>
    </row>
    <row r="19" spans="1:6">
      <c r="E19" s="20">
        <f>(E18/$C13)^0.2-1</f>
        <v>1.4116085987016636E-2</v>
      </c>
      <c r="F19" s="20">
        <f>(F18/$C13)^0.2-1</f>
        <v>0.10991799684961512</v>
      </c>
    </row>
    <row r="23" spans="1:6">
      <c r="B23" t="s">
        <v>239</v>
      </c>
      <c r="C23" t="s">
        <v>240</v>
      </c>
      <c r="D23" t="s">
        <v>241</v>
      </c>
      <c r="E23" t="s">
        <v>242</v>
      </c>
      <c r="F23" t="s">
        <v>243</v>
      </c>
    </row>
    <row r="24" spans="1:6">
      <c r="A24">
        <v>2016</v>
      </c>
      <c r="B24" s="17">
        <v>2477.891361</v>
      </c>
      <c r="C24" s="17">
        <v>3998.5156626984126</v>
      </c>
      <c r="D24" s="17">
        <v>3103.1828190000001</v>
      </c>
    </row>
    <row r="25" spans="1:6">
      <c r="A25">
        <v>2017</v>
      </c>
      <c r="B25" s="17">
        <v>2513.4941918059731</v>
      </c>
      <c r="D25" s="17">
        <v>3308.3199263907836</v>
      </c>
      <c r="E25" s="17">
        <v>2865.6438449691927</v>
      </c>
      <c r="F25" s="17">
        <v>3646.4258207862413</v>
      </c>
    </row>
    <row r="26" spans="1:6">
      <c r="A26">
        <v>2018</v>
      </c>
      <c r="B26" s="17">
        <v>2562.7704049304934</v>
      </c>
      <c r="D26" s="17">
        <v>3529.9753254551406</v>
      </c>
      <c r="E26" s="17">
        <v>2947.2969486696993</v>
      </c>
      <c r="F26" s="17">
        <v>3945.3426712934925</v>
      </c>
    </row>
    <row r="27" spans="1:6">
      <c r="A27">
        <v>2019</v>
      </c>
      <c r="B27" s="17">
        <v>2625.8252603733345</v>
      </c>
      <c r="D27" s="17">
        <v>3769.6638057317218</v>
      </c>
      <c r="E27" s="17">
        <v>3032.1723593470783</v>
      </c>
      <c r="F27" s="17">
        <v>4275.5209482287792</v>
      </c>
    </row>
    <row r="28" spans="1:6">
      <c r="A28">
        <v>2020</v>
      </c>
      <c r="B28" s="17">
        <v>2702.8874728473993</v>
      </c>
      <c r="D28" s="17">
        <v>4029.0469917553505</v>
      </c>
      <c r="E28" s="17">
        <v>3120.4140501911224</v>
      </c>
      <c r="F28" s="17">
        <v>4640.5492433299123</v>
      </c>
    </row>
    <row r="29" spans="1:6">
      <c r="A29">
        <v>2021</v>
      </c>
      <c r="E29" s="17">
        <v>3212.1730310397502</v>
      </c>
      <c r="F29" s="17">
        <v>5044.4641548124855</v>
      </c>
    </row>
    <row r="30" spans="1:6">
      <c r="E30" s="20">
        <f>(E29/$C24)^0.2-1</f>
        <v>-4.2849950822975491E-2</v>
      </c>
      <c r="F30" s="20">
        <f>(F29/$C24)^0.2-1</f>
        <v>4.7570470429037837E-2</v>
      </c>
    </row>
    <row r="34" spans="1:3">
      <c r="B34" t="s">
        <v>244</v>
      </c>
      <c r="C34" t="s">
        <v>186</v>
      </c>
    </row>
    <row r="35" spans="1:3">
      <c r="A35">
        <v>2006</v>
      </c>
      <c r="B35" s="17">
        <v>157.49145418319995</v>
      </c>
      <c r="C35" s="20">
        <v>1.0109863537244829E-2</v>
      </c>
    </row>
    <row r="36" spans="1:3">
      <c r="A36">
        <v>2007</v>
      </c>
      <c r="B36" s="17">
        <v>230.89074795065994</v>
      </c>
      <c r="C36" s="20">
        <v>1.4179865378042127E-2</v>
      </c>
    </row>
    <row r="37" spans="1:3">
      <c r="A37">
        <v>2008</v>
      </c>
      <c r="B37" s="17">
        <v>872.26463817893</v>
      </c>
      <c r="C37" s="20">
        <v>4.8540046643234837E-2</v>
      </c>
    </row>
    <row r="38" spans="1:3">
      <c r="A38">
        <v>2009</v>
      </c>
      <c r="B38" s="17">
        <v>755.97482539715998</v>
      </c>
      <c r="C38" s="20">
        <v>5.3452225510652616E-2</v>
      </c>
    </row>
    <row r="39" spans="1:3">
      <c r="A39">
        <v>2010</v>
      </c>
      <c r="B39" s="17">
        <v>1567.50980952384</v>
      </c>
      <c r="C39" s="20">
        <v>9.2396687858758625E-2</v>
      </c>
    </row>
    <row r="40" spans="1:3">
      <c r="A40">
        <v>2011</v>
      </c>
      <c r="B40" s="17">
        <v>2569.70658730173</v>
      </c>
      <c r="C40" s="20">
        <v>0.13139574511948304</v>
      </c>
    </row>
    <row r="41" spans="1:3">
      <c r="A41">
        <v>2012</v>
      </c>
      <c r="B41" s="17">
        <v>2088.9440755199998</v>
      </c>
      <c r="C41" s="20">
        <v>9.9825292722928408E-2</v>
      </c>
    </row>
    <row r="42" spans="1:3">
      <c r="A42">
        <v>2013</v>
      </c>
      <c r="B42" s="17">
        <v>3274.1757130952001</v>
      </c>
      <c r="C42" s="20">
        <v>0.14907688899946273</v>
      </c>
    </row>
    <row r="43" spans="1:3">
      <c r="A43">
        <v>2014</v>
      </c>
      <c r="B43" s="17">
        <v>2835.7487137692001</v>
      </c>
      <c r="C43" s="20">
        <v>0.11821530405907954</v>
      </c>
    </row>
    <row r="44" spans="1:3">
      <c r="A44">
        <v>2015</v>
      </c>
      <c r="B44" s="17">
        <v>2835.6194047619101</v>
      </c>
      <c r="C44" s="20">
        <v>0.12999676361627974</v>
      </c>
    </row>
    <row r="65" spans="1:3">
      <c r="A65" t="s">
        <v>37</v>
      </c>
      <c r="B65" s="17">
        <v>15790</v>
      </c>
    </row>
    <row r="66" spans="1:3">
      <c r="B66" s="17"/>
    </row>
    <row r="67" spans="1:3">
      <c r="A67" t="s">
        <v>246</v>
      </c>
      <c r="B67" s="17">
        <v>5398</v>
      </c>
    </row>
    <row r="68" spans="1:3">
      <c r="A68" t="s">
        <v>247</v>
      </c>
      <c r="B68" s="17">
        <f>1373+119+262</f>
        <v>1754</v>
      </c>
    </row>
    <row r="69" spans="1:3">
      <c r="A69" t="s">
        <v>248</v>
      </c>
      <c r="B69" s="99">
        <v>0.02</v>
      </c>
    </row>
    <row r="70" spans="1:3">
      <c r="A70" t="s">
        <v>249</v>
      </c>
      <c r="B70" s="17">
        <f>-B68*(1+B69)</f>
        <v>-1789.08</v>
      </c>
    </row>
    <row r="71" spans="1:3">
      <c r="A71" s="1" t="s">
        <v>250</v>
      </c>
      <c r="B71" s="5">
        <f>B67+B70</f>
        <v>3608.92</v>
      </c>
      <c r="C71" s="38">
        <f>B71/0.75</f>
        <v>4811.8933333333334</v>
      </c>
    </row>
    <row r="72" spans="1:3">
      <c r="A72" s="178" t="s">
        <v>127</v>
      </c>
      <c r="B72" s="99">
        <f>B71/B65</f>
        <v>0.2285573147561748</v>
      </c>
    </row>
    <row r="73" spans="1:3">
      <c r="A73" s="178"/>
      <c r="B73" s="99"/>
    </row>
    <row r="74" spans="1:3">
      <c r="A74" t="s">
        <v>251</v>
      </c>
      <c r="B74" s="18">
        <v>-2379</v>
      </c>
    </row>
    <row r="75" spans="1:3">
      <c r="A75" t="s">
        <v>252</v>
      </c>
      <c r="B75" s="18">
        <f>B74-B70</f>
        <v>-589.92000000000007</v>
      </c>
    </row>
    <row r="76" spans="1:3">
      <c r="A76" t="s">
        <v>253</v>
      </c>
      <c r="B76" s="18">
        <f>-150*0.75</f>
        <v>-112.5</v>
      </c>
      <c r="C76" s="38">
        <f>-SUM(B75:B76)/B71</f>
        <v>0.19463440586103323</v>
      </c>
    </row>
    <row r="77" spans="1:3">
      <c r="A77" s="1" t="s">
        <v>73</v>
      </c>
      <c r="B77" s="30">
        <f>B71+SUM(B75:B76)</f>
        <v>2906.5</v>
      </c>
    </row>
    <row r="78" spans="1:3">
      <c r="B78" s="99">
        <f>B77/B65</f>
        <v>0.18407219759341356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B6E64-05CB-4092-85FA-9C13F92E980E}">
  <dimension ref="A1:D31"/>
  <sheetViews>
    <sheetView zoomScale="90" zoomScaleNormal="90" workbookViewId="0">
      <selection activeCell="B34" sqref="B34"/>
    </sheetView>
  </sheetViews>
  <sheetFormatPr defaultColWidth="9" defaultRowHeight="14.25"/>
  <cols>
    <col min="2" max="2" width="11.1328125" bestFit="1" customWidth="1"/>
  </cols>
  <sheetData>
    <row r="1" spans="1:4">
      <c r="B1" s="179" t="s">
        <v>254</v>
      </c>
      <c r="C1" t="s">
        <v>255</v>
      </c>
      <c r="D1" t="s">
        <v>256</v>
      </c>
    </row>
    <row r="2" spans="1:4">
      <c r="A2">
        <v>2001</v>
      </c>
      <c r="B2" s="179">
        <v>740</v>
      </c>
    </row>
    <row r="3" spans="1:4">
      <c r="A3">
        <v>2002</v>
      </c>
      <c r="B3" s="179">
        <v>999</v>
      </c>
    </row>
    <row r="4" spans="1:4">
      <c r="A4">
        <v>2003</v>
      </c>
      <c r="B4" s="179">
        <v>1219</v>
      </c>
    </row>
    <row r="5" spans="1:4">
      <c r="A5">
        <v>2004</v>
      </c>
      <c r="B5" s="179">
        <v>929</v>
      </c>
    </row>
    <row r="6" spans="1:4">
      <c r="A6">
        <v>2005</v>
      </c>
      <c r="B6" s="179">
        <v>1123</v>
      </c>
    </row>
    <row r="7" spans="1:4">
      <c r="A7">
        <v>2006</v>
      </c>
      <c r="B7" s="179">
        <v>1393</v>
      </c>
    </row>
    <row r="8" spans="1:4">
      <c r="A8">
        <v>2007</v>
      </c>
      <c r="B8" s="179">
        <v>1578</v>
      </c>
    </row>
    <row r="9" spans="1:4">
      <c r="A9">
        <v>2008</v>
      </c>
      <c r="B9" s="179">
        <v>2196</v>
      </c>
    </row>
    <row r="10" spans="1:4">
      <c r="A10">
        <v>2009</v>
      </c>
      <c r="B10" s="179">
        <v>1477</v>
      </c>
    </row>
    <row r="11" spans="1:4">
      <c r="A11">
        <v>2010</v>
      </c>
      <c r="B11" s="179">
        <v>2302</v>
      </c>
    </row>
    <row r="12" spans="1:4">
      <c r="A12">
        <v>2011</v>
      </c>
      <c r="B12" s="179">
        <v>3794</v>
      </c>
    </row>
    <row r="13" spans="1:4">
      <c r="A13">
        <v>2012</v>
      </c>
      <c r="B13" s="179">
        <v>3956</v>
      </c>
    </row>
    <row r="14" spans="1:4">
      <c r="A14">
        <v>2013</v>
      </c>
      <c r="B14" s="179">
        <v>4508</v>
      </c>
    </row>
    <row r="15" spans="1:4">
      <c r="A15">
        <v>2014</v>
      </c>
      <c r="B15" s="179">
        <v>4978</v>
      </c>
    </row>
    <row r="16" spans="1:4">
      <c r="A16">
        <v>2015</v>
      </c>
      <c r="B16" s="179">
        <v>4855</v>
      </c>
    </row>
    <row r="17" spans="1:4">
      <c r="A17">
        <v>2016</v>
      </c>
      <c r="B17" s="179">
        <v>4998</v>
      </c>
      <c r="C17" s="179"/>
      <c r="D17" s="179"/>
    </row>
    <row r="18" spans="1:4">
      <c r="A18">
        <v>2017</v>
      </c>
      <c r="C18" s="180">
        <f>[7]Model!L159</f>
        <v>5396.8703937049168</v>
      </c>
      <c r="D18" s="181">
        <f>[7]Model!L91</f>
        <v>4919.2564622085238</v>
      </c>
    </row>
    <row r="19" spans="1:4">
      <c r="A19">
        <v>2018</v>
      </c>
      <c r="C19" s="180">
        <f>[7]Model!M159</f>
        <v>5797.6627243379444</v>
      </c>
      <c r="D19" s="181">
        <f>[7]Model!M91</f>
        <v>5024.1748479749431</v>
      </c>
    </row>
    <row r="20" spans="1:4">
      <c r="A20">
        <v>2019</v>
      </c>
      <c r="C20" s="180">
        <f>[7]Model!N159</f>
        <v>6486.3892493759158</v>
      </c>
      <c r="D20" s="181">
        <f>[7]Model!N91</f>
        <v>5356.5574967914336</v>
      </c>
    </row>
    <row r="21" spans="1:4">
      <c r="A21">
        <v>2020</v>
      </c>
      <c r="C21" s="180">
        <f>[7]Model!O159</f>
        <v>6987.6052706702103</v>
      </c>
      <c r="D21" s="181">
        <f>[7]Model!O91</f>
        <v>5475.1306405496398</v>
      </c>
    </row>
    <row r="22" spans="1:4">
      <c r="A22">
        <v>2021</v>
      </c>
      <c r="C22" s="180">
        <f>[7]Model!P159</f>
        <v>7538.1581215221986</v>
      </c>
      <c r="D22" s="181">
        <f>[7]Model!P91</f>
        <v>5598.5176162963835</v>
      </c>
    </row>
    <row r="23" spans="1:4">
      <c r="A23">
        <v>2022</v>
      </c>
      <c r="C23" s="182">
        <f>C22*(1+[7]Model!$C$21)</f>
        <v>8065.8291900287531</v>
      </c>
      <c r="D23" s="183">
        <f>D22*(1+[7]Model!$C$22)</f>
        <v>5710.4879686223112</v>
      </c>
    </row>
    <row r="24" spans="1:4">
      <c r="A24">
        <v>2023</v>
      </c>
      <c r="C24" s="182">
        <f>C23*(1+[7]Model!$C$21)</f>
        <v>8630.4372333307656</v>
      </c>
      <c r="D24" s="183">
        <f>D23*(1+[7]Model!$C$22)</f>
        <v>5824.6977279947578</v>
      </c>
    </row>
    <row r="25" spans="1:4">
      <c r="A25">
        <v>2024</v>
      </c>
      <c r="C25" s="182">
        <f>C24*(1+[7]Model!$C$21)</f>
        <v>9234.5678396639196</v>
      </c>
      <c r="D25" s="183">
        <f>D24*(1+[7]Model!$C$22)</f>
        <v>5941.1916825546532</v>
      </c>
    </row>
    <row r="26" spans="1:4">
      <c r="A26">
        <v>2025</v>
      </c>
      <c r="C26" s="182">
        <f>C25*(1+[7]Model!$C$21)</f>
        <v>9880.9875884403937</v>
      </c>
      <c r="D26" s="183">
        <f>D25*(1+[7]Model!$C$22)</f>
        <v>6060.0155162057463</v>
      </c>
    </row>
    <row r="27" spans="1:4">
      <c r="A27">
        <v>2026</v>
      </c>
      <c r="C27" s="182">
        <f>C26*(1+[7]Model!$C$21)</f>
        <v>10572.656719631223</v>
      </c>
      <c r="D27" s="183">
        <f>D26*(1+[7]Model!$C$22)</f>
        <v>6181.2158265298613</v>
      </c>
    </row>
    <row r="30" spans="1:4">
      <c r="B30" t="s">
        <v>257</v>
      </c>
      <c r="C30" s="20">
        <f>(C27/B2)^(1/25)-1</f>
        <v>0.11223894156566572</v>
      </c>
      <c r="D30" s="20">
        <f>(D27/B2)^(1/25)-1</f>
        <v>8.8613429276204414E-2</v>
      </c>
    </row>
    <row r="31" spans="1:4">
      <c r="B31" t="s">
        <v>258</v>
      </c>
      <c r="C31" s="20">
        <f>(C27/$B17)^0.1-1</f>
        <v>7.7801510645205019E-2</v>
      </c>
      <c r="D31" s="20">
        <f>(D27/$B17)^0.1-1</f>
        <v>2.1475055543832999E-2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C4BA2-6CD4-43E9-BE35-02F1D4F29DA1}">
  <dimension ref="A1:F32"/>
  <sheetViews>
    <sheetView zoomScale="90" zoomScaleNormal="90" workbookViewId="0">
      <selection activeCell="C31" sqref="C31"/>
    </sheetView>
  </sheetViews>
  <sheetFormatPr defaultColWidth="9" defaultRowHeight="14.25"/>
  <cols>
    <col min="2" max="2" width="11.1328125" bestFit="1" customWidth="1"/>
  </cols>
  <sheetData>
    <row r="1" spans="1:6">
      <c r="B1" s="179" t="s">
        <v>250</v>
      </c>
      <c r="C1" t="s">
        <v>259</v>
      </c>
      <c r="D1" t="s">
        <v>260</v>
      </c>
      <c r="E1" t="s">
        <v>261</v>
      </c>
      <c r="F1" t="s">
        <v>262</v>
      </c>
    </row>
    <row r="2" spans="1:6">
      <c r="A2">
        <v>2001</v>
      </c>
      <c r="B2" s="179">
        <v>740</v>
      </c>
    </row>
    <row r="3" spans="1:6">
      <c r="A3">
        <v>2002</v>
      </c>
      <c r="B3" s="179">
        <v>999</v>
      </c>
    </row>
    <row r="4" spans="1:6">
      <c r="A4">
        <v>2003</v>
      </c>
      <c r="B4" s="179">
        <v>1219</v>
      </c>
    </row>
    <row r="5" spans="1:6">
      <c r="A5">
        <v>2004</v>
      </c>
      <c r="B5" s="179">
        <v>929</v>
      </c>
    </row>
    <row r="6" spans="1:6">
      <c r="A6">
        <v>2005</v>
      </c>
      <c r="B6" s="179">
        <v>1123</v>
      </c>
    </row>
    <row r="7" spans="1:6">
      <c r="A7">
        <v>2006</v>
      </c>
      <c r="B7" s="179">
        <v>1393</v>
      </c>
    </row>
    <row r="8" spans="1:6">
      <c r="A8">
        <v>2007</v>
      </c>
      <c r="B8" s="179">
        <v>1578</v>
      </c>
    </row>
    <row r="9" spans="1:6">
      <c r="A9">
        <v>2008</v>
      </c>
      <c r="B9" s="179">
        <v>2196</v>
      </c>
    </row>
    <row r="10" spans="1:6">
      <c r="A10">
        <v>2009</v>
      </c>
      <c r="B10" s="179">
        <v>1477</v>
      </c>
    </row>
    <row r="11" spans="1:6">
      <c r="A11">
        <v>2010</v>
      </c>
      <c r="B11" s="179">
        <v>2302</v>
      </c>
    </row>
    <row r="12" spans="1:6">
      <c r="A12">
        <v>2011</v>
      </c>
      <c r="B12" s="179">
        <v>3794</v>
      </c>
    </row>
    <row r="13" spans="1:6">
      <c r="A13">
        <v>2012</v>
      </c>
      <c r="B13" s="179">
        <v>3956</v>
      </c>
    </row>
    <row r="14" spans="1:6">
      <c r="A14">
        <v>2013</v>
      </c>
      <c r="B14" s="179">
        <v>4508</v>
      </c>
    </row>
    <row r="15" spans="1:6">
      <c r="A15">
        <v>2014</v>
      </c>
      <c r="B15" s="179">
        <v>4978</v>
      </c>
    </row>
    <row r="16" spans="1:6">
      <c r="A16">
        <v>2015</v>
      </c>
      <c r="B16" s="179">
        <v>4855</v>
      </c>
    </row>
    <row r="17" spans="1:6">
      <c r="A17">
        <v>2016</v>
      </c>
      <c r="B17" s="179">
        <v>4998</v>
      </c>
      <c r="C17" s="179">
        <f>B17</f>
        <v>4998</v>
      </c>
      <c r="D17" s="179"/>
      <c r="E17" s="179"/>
      <c r="F17" s="179">
        <f>C17</f>
        <v>4998</v>
      </c>
    </row>
    <row r="18" spans="1:6">
      <c r="A18">
        <v>2017</v>
      </c>
      <c r="C18" s="180">
        <f>[7]Model!L159</f>
        <v>5396.8703937049168</v>
      </c>
      <c r="D18" s="180"/>
      <c r="E18" s="181"/>
      <c r="F18" s="181">
        <f>[7]Model!L91</f>
        <v>4919.2564622085238</v>
      </c>
    </row>
    <row r="19" spans="1:6">
      <c r="A19">
        <v>2018</v>
      </c>
      <c r="C19" s="180">
        <f>[7]Model!M159</f>
        <v>5797.6627243379444</v>
      </c>
      <c r="D19" s="180"/>
      <c r="E19" s="181"/>
      <c r="F19" s="181">
        <f>[7]Model!M91</f>
        <v>5024.1748479749431</v>
      </c>
    </row>
    <row r="20" spans="1:6">
      <c r="A20">
        <v>2019</v>
      </c>
      <c r="C20" s="180">
        <f>[7]Model!N159</f>
        <v>6486.3892493759158</v>
      </c>
      <c r="D20" s="180"/>
      <c r="E20" s="181"/>
      <c r="F20" s="181">
        <f>[7]Model!N91</f>
        <v>5356.5574967914336</v>
      </c>
    </row>
    <row r="21" spans="1:6">
      <c r="A21">
        <v>2020</v>
      </c>
      <c r="C21" s="180">
        <f>[7]Model!O159</f>
        <v>6987.6052706702103</v>
      </c>
      <c r="D21" s="180"/>
      <c r="E21" s="181"/>
      <c r="F21" s="181">
        <f>[7]Model!O91</f>
        <v>5475.1306405496398</v>
      </c>
    </row>
    <row r="22" spans="1:6">
      <c r="A22">
        <v>2021</v>
      </c>
      <c r="C22" s="180">
        <f>[7]Model!P159</f>
        <v>7538.1581215221986</v>
      </c>
      <c r="D22" s="180">
        <f>C22</f>
        <v>7538.1581215221986</v>
      </c>
      <c r="E22" s="181">
        <f>F22</f>
        <v>5598.5176162963835</v>
      </c>
      <c r="F22" s="181">
        <f>[7]Model!P91</f>
        <v>5598.5176162963835</v>
      </c>
    </row>
    <row r="23" spans="1:6">
      <c r="A23">
        <v>2022</v>
      </c>
      <c r="C23" s="182">
        <f>C22*(1+[7]Model!$C$21)</f>
        <v>8065.8291900287531</v>
      </c>
      <c r="D23" s="183">
        <f>C22*(1+[7]Model!$C$22)</f>
        <v>7688.9212839526426</v>
      </c>
      <c r="E23" s="182">
        <f>F22*(1+[7]Model!$C$21)</f>
        <v>5990.4138494371309</v>
      </c>
      <c r="F23" s="183">
        <f>F22*(1+[7]Model!$C$22)</f>
        <v>5710.4879686223112</v>
      </c>
    </row>
    <row r="24" spans="1:6">
      <c r="A24">
        <v>2023</v>
      </c>
      <c r="C24" s="182">
        <f>C23*(1+[7]Model!$C$21)</f>
        <v>8630.4372333307656</v>
      </c>
      <c r="D24" s="183">
        <f>D23*(1+[7]Model!$C$22)</f>
        <v>7842.6997096316954</v>
      </c>
      <c r="E24" s="182">
        <f>E23*(1+[7]Model!$C$21)</f>
        <v>6409.7428188977301</v>
      </c>
      <c r="F24" s="183">
        <f>F23*(1+[7]Model!$C$22)</f>
        <v>5824.6977279947578</v>
      </c>
    </row>
    <row r="25" spans="1:6">
      <c r="A25">
        <v>2024</v>
      </c>
      <c r="C25" s="182">
        <f>C24*(1+[7]Model!$C$21)</f>
        <v>9234.5678396639196</v>
      </c>
      <c r="D25" s="183">
        <f>D24*(1+[7]Model!$C$22)</f>
        <v>7999.5537038243292</v>
      </c>
      <c r="E25" s="182">
        <f>E24*(1+[7]Model!$C$21)</f>
        <v>6858.4248162205713</v>
      </c>
      <c r="F25" s="183">
        <f>F24*(1+[7]Model!$C$22)</f>
        <v>5941.1916825546532</v>
      </c>
    </row>
    <row r="26" spans="1:6">
      <c r="A26">
        <v>2025</v>
      </c>
      <c r="C26" s="182">
        <f>C25*(1+[7]Model!$C$21)</f>
        <v>9880.9875884403937</v>
      </c>
      <c r="D26" s="183">
        <f>D25*(1+[7]Model!$C$22)</f>
        <v>8159.5447779008164</v>
      </c>
      <c r="E26" s="182">
        <f>E25*(1+[7]Model!$C$21)</f>
        <v>7338.5145533560117</v>
      </c>
      <c r="F26" s="183">
        <f>F25*(1+[7]Model!$C$22)</f>
        <v>6060.0155162057463</v>
      </c>
    </row>
    <row r="27" spans="1:6">
      <c r="A27">
        <v>2026</v>
      </c>
      <c r="C27" s="182">
        <f>C26*(1+[7]Model!$C$21)</f>
        <v>10572.656719631223</v>
      </c>
      <c r="D27" s="183">
        <f>D26*(1+[7]Model!$C$22)</f>
        <v>8322.735673458832</v>
      </c>
      <c r="E27" s="182">
        <f>E26*(1+[7]Model!$C$21)</f>
        <v>7852.2105720909331</v>
      </c>
      <c r="F27" s="183">
        <f>F26*(1+[7]Model!$C$22)</f>
        <v>6181.2158265298613</v>
      </c>
    </row>
    <row r="30" spans="1:6">
      <c r="C30" t="s">
        <v>259</v>
      </c>
      <c r="D30" t="s">
        <v>263</v>
      </c>
      <c r="E30" t="s">
        <v>261</v>
      </c>
      <c r="F30" t="s">
        <v>262</v>
      </c>
    </row>
    <row r="31" spans="1:6">
      <c r="B31" t="s">
        <v>264</v>
      </c>
      <c r="C31" s="20">
        <f>(C27/B2)^(1/25)-1</f>
        <v>0.11223894156566572</v>
      </c>
      <c r="D31" s="20">
        <f>(D27/$B2)^(1/25)-1</f>
        <v>0.10164425831547819</v>
      </c>
      <c r="E31" s="20">
        <f>(E27/$B2)^(1/25)-1</f>
        <v>9.90827930277276E-2</v>
      </c>
      <c r="F31" s="20">
        <f>(F27/B2)^(1/25)-1</f>
        <v>8.8613429276204414E-2</v>
      </c>
    </row>
    <row r="32" spans="1:6">
      <c r="B32" t="s">
        <v>265</v>
      </c>
      <c r="C32" s="20">
        <f>(C27/$B17)^0.1-1</f>
        <v>7.7801510645205019E-2</v>
      </c>
      <c r="D32" s="20">
        <f>(D27/$B17)^0.1-1</f>
        <v>5.2317965822396673E-2</v>
      </c>
      <c r="E32" s="20">
        <f>(E27/$B17)^0.1-1</f>
        <v>4.6211690485714385E-2</v>
      </c>
      <c r="F32" s="20">
        <f>(F27/$B17)^0.1-1</f>
        <v>2.1475055543832999E-2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1"/>
  <sheetViews>
    <sheetView topLeftCell="A5" workbookViewId="0">
      <selection activeCell="B26" sqref="B26:K26"/>
    </sheetView>
  </sheetViews>
  <sheetFormatPr defaultRowHeight="14.25"/>
  <cols>
    <col min="1" max="1" width="37.3984375" bestFit="1" customWidth="1"/>
    <col min="12" max="12" width="9.59765625" bestFit="1" customWidth="1"/>
  </cols>
  <sheetData>
    <row r="1" spans="1:16">
      <c r="A1" s="10" t="s">
        <v>37</v>
      </c>
      <c r="B1" s="134">
        <f>'Company Analysis'!B2</f>
        <v>39447</v>
      </c>
      <c r="C1" s="134">
        <f>'Company Analysis'!C2</f>
        <v>39813</v>
      </c>
      <c r="D1" s="134">
        <f>'Company Analysis'!D2</f>
        <v>40178</v>
      </c>
      <c r="E1" s="134">
        <f>'Company Analysis'!E2</f>
        <v>40543</v>
      </c>
      <c r="F1" s="134">
        <f>'Company Analysis'!F2</f>
        <v>40908</v>
      </c>
      <c r="G1" s="134">
        <f>'Company Analysis'!G2</f>
        <v>41274</v>
      </c>
      <c r="H1" s="134">
        <f>'Company Analysis'!H2</f>
        <v>41639</v>
      </c>
      <c r="I1" s="134">
        <f>'Company Analysis'!I2</f>
        <v>42004</v>
      </c>
      <c r="J1" s="134">
        <f>'Company Analysis'!J2</f>
        <v>42369</v>
      </c>
      <c r="K1" s="134">
        <f>'Company Analysis'!K2</f>
        <v>42735</v>
      </c>
      <c r="L1" s="134">
        <f>'Graphing Data'!K1+365</f>
        <v>43100</v>
      </c>
      <c r="M1" s="134">
        <f>'Graphing Data'!L1+365</f>
        <v>43465</v>
      </c>
      <c r="N1" s="134">
        <f>'Graphing Data'!M1+365</f>
        <v>43830</v>
      </c>
      <c r="O1" s="134">
        <f>'Graphing Data'!N1+365</f>
        <v>44195</v>
      </c>
      <c r="P1" s="134">
        <f>'Graphing Data'!O1+365</f>
        <v>44560</v>
      </c>
    </row>
    <row r="2" spans="1:16">
      <c r="A2" t="s">
        <v>163</v>
      </c>
      <c r="B2" s="17">
        <f>'Company Analysis'!B3</f>
        <v>16283</v>
      </c>
      <c r="C2" s="17">
        <f>'Company Analysis'!C3</f>
        <v>17970</v>
      </c>
      <c r="D2" s="17">
        <f>'Company Analysis'!D3</f>
        <v>14143</v>
      </c>
      <c r="E2" s="17">
        <f>'Company Analysis'!E3</f>
        <v>16965</v>
      </c>
      <c r="F2" s="17">
        <f>'Company Analysis'!F3</f>
        <v>19557</v>
      </c>
      <c r="G2" s="17">
        <f>'Company Analysis'!G3</f>
        <v>20926</v>
      </c>
      <c r="H2" s="17">
        <f>'Company Analysis'!H3</f>
        <v>21963</v>
      </c>
      <c r="I2" s="17">
        <f>'Company Analysis'!I3</f>
        <v>23988</v>
      </c>
      <c r="J2" s="17">
        <f>'Company Analysis'!J3</f>
        <v>21813</v>
      </c>
      <c r="K2" s="17">
        <f>'Company Analysis'!K3</f>
        <v>19941</v>
      </c>
      <c r="L2" s="17"/>
      <c r="M2" s="17"/>
      <c r="N2" s="17"/>
      <c r="O2" s="17"/>
      <c r="P2" s="17"/>
    </row>
    <row r="3" spans="1:16">
      <c r="A3" t="s">
        <v>164</v>
      </c>
      <c r="L3" s="17">
        <f>$K$2*(1+'Valuation Model'!C8)</f>
        <v>21587.481574819667</v>
      </c>
      <c r="M3" s="17">
        <f>L3*(1+'Valuation Model'!D8)</f>
        <v>23190.650897351778</v>
      </c>
      <c r="N3" s="17">
        <f>M3*(1+'Valuation Model'!E8)</f>
        <v>24947.650959138136</v>
      </c>
      <c r="O3" s="17">
        <f>N3*(1+'Valuation Model'!F8)</f>
        <v>26875.404887193115</v>
      </c>
      <c r="P3" s="17">
        <f>O3*(1+'Valuation Model'!G8)</f>
        <v>28992.915852008457</v>
      </c>
    </row>
    <row r="4" spans="1:16">
      <c r="A4" t="s">
        <v>165</v>
      </c>
      <c r="L4" s="17">
        <f>$K$2*(1+'Valuation Model'!C9)</f>
        <v>21388.071574819667</v>
      </c>
      <c r="M4" s="17">
        <f>L4*(1+'Valuation Model'!D9)</f>
        <v>21844.238469456275</v>
      </c>
      <c r="N4" s="17">
        <f>M4*(1+'Valuation Model'!E9)</f>
        <v>22318.989569964306</v>
      </c>
      <c r="O4" s="17">
        <f>N4*(1+'Valuation Model'!F9)</f>
        <v>22813.044335623501</v>
      </c>
      <c r="P4" s="17">
        <f>O4*(1+'Valuation Model'!G9)</f>
        <v>23327.156734568267</v>
      </c>
    </row>
    <row r="5" spans="1:16">
      <c r="A5" t="s">
        <v>166</v>
      </c>
      <c r="C5" s="20">
        <f>C2/B2-1</f>
        <v>0.10360498679604491</v>
      </c>
      <c r="D5" s="20">
        <f t="shared" ref="D5:K5" si="0">D2/C2-1</f>
        <v>-0.21296605453533668</v>
      </c>
      <c r="E5" s="20">
        <f t="shared" si="0"/>
        <v>0.1995333380470905</v>
      </c>
      <c r="F5" s="20">
        <f t="shared" si="0"/>
        <v>0.15278514588859426</v>
      </c>
      <c r="G5" s="20">
        <f t="shared" si="0"/>
        <v>7.0000511325867931E-2</v>
      </c>
      <c r="H5" s="20">
        <f t="shared" si="0"/>
        <v>4.9555576794418466E-2</v>
      </c>
      <c r="I5" s="20">
        <f t="shared" si="0"/>
        <v>9.2200519054773888E-2</v>
      </c>
      <c r="J5" s="20">
        <f t="shared" si="0"/>
        <v>-9.0670335167583826E-2</v>
      </c>
      <c r="K5" s="20">
        <f t="shared" si="0"/>
        <v>-8.5820382340805912E-2</v>
      </c>
    </row>
    <row r="6" spans="1:16">
      <c r="A6" t="s">
        <v>167</v>
      </c>
      <c r="K6" s="99">
        <f>K5</f>
        <v>-8.5820382340805912E-2</v>
      </c>
      <c r="L6" s="99">
        <f>'Valuation Model'!C8</f>
        <v>8.2567653318272191E-2</v>
      </c>
      <c r="M6" s="99">
        <f>'Valuation Model'!D8</f>
        <v>7.4263842077905817E-2</v>
      </c>
      <c r="N6" s="99">
        <f>'Valuation Model'!E8</f>
        <v>7.5763292266496807E-2</v>
      </c>
      <c r="O6" s="99">
        <f>'Valuation Model'!F8</f>
        <v>7.7271961645305032E-2</v>
      </c>
      <c r="P6" s="99">
        <f>'Valuation Model'!G8</f>
        <v>7.8789918652514723E-2</v>
      </c>
    </row>
    <row r="7" spans="1:16">
      <c r="A7" t="s">
        <v>168</v>
      </c>
      <c r="K7" s="99">
        <f>K5</f>
        <v>-8.5820382340805912E-2</v>
      </c>
      <c r="L7" s="99">
        <f>'Valuation Model'!C9</f>
        <v>7.2567653318272196E-2</v>
      </c>
      <c r="M7" s="99">
        <f>'Valuation Model'!D9</f>
        <v>2.1328098376744542E-2</v>
      </c>
      <c r="N7" s="99">
        <f>'Valuation Model'!E9</f>
        <v>2.1733469956934037E-2</v>
      </c>
      <c r="O7" s="99">
        <f>'Valuation Model'!F9</f>
        <v>2.2136072249617778E-2</v>
      </c>
      <c r="P7" s="99">
        <f>'Valuation Model'!G9</f>
        <v>2.2535896190845506E-2</v>
      </c>
    </row>
    <row r="9" spans="1:16">
      <c r="A9" s="10" t="s">
        <v>71</v>
      </c>
      <c r="B9" s="134">
        <f>B1</f>
        <v>39447</v>
      </c>
      <c r="C9" s="134">
        <f t="shared" ref="C9:P9" si="1">C1</f>
        <v>39813</v>
      </c>
      <c r="D9" s="134">
        <f t="shared" si="1"/>
        <v>40178</v>
      </c>
      <c r="E9" s="134">
        <f t="shared" si="1"/>
        <v>40543</v>
      </c>
      <c r="F9" s="134">
        <f t="shared" si="1"/>
        <v>40908</v>
      </c>
      <c r="G9" s="134">
        <f t="shared" si="1"/>
        <v>41274</v>
      </c>
      <c r="H9" s="134">
        <f t="shared" si="1"/>
        <v>41639</v>
      </c>
      <c r="I9" s="134">
        <f t="shared" si="1"/>
        <v>42004</v>
      </c>
      <c r="J9" s="134">
        <f t="shared" si="1"/>
        <v>42369</v>
      </c>
      <c r="K9" s="134">
        <f t="shared" si="1"/>
        <v>42735</v>
      </c>
      <c r="L9" s="134">
        <f t="shared" si="1"/>
        <v>43100</v>
      </c>
      <c r="M9" s="134">
        <f t="shared" si="1"/>
        <v>43465</v>
      </c>
      <c r="N9" s="134">
        <f t="shared" si="1"/>
        <v>43830</v>
      </c>
      <c r="O9" s="134">
        <f t="shared" si="1"/>
        <v>44195</v>
      </c>
      <c r="P9" s="134">
        <f t="shared" si="1"/>
        <v>44560</v>
      </c>
    </row>
    <row r="10" spans="1:16">
      <c r="A10" t="s">
        <v>169</v>
      </c>
      <c r="B10" s="17">
        <f>'Company Analysis'!B11</f>
        <v>1902.086</v>
      </c>
      <c r="C10" s="17">
        <f>'Company Analysis'!C11</f>
        <v>2676.7514999999999</v>
      </c>
      <c r="D10" s="17">
        <f>'Company Analysis'!D11</f>
        <v>1738.1669999999999</v>
      </c>
      <c r="E10" s="17">
        <f>'Company Analysis'!E11</f>
        <v>2595.7588999999998</v>
      </c>
      <c r="F10" s="17">
        <f>'Company Analysis'!F11</f>
        <v>4208.098</v>
      </c>
      <c r="G10" s="17">
        <f>'Company Analysis'!G11</f>
        <v>4370.3584000000001</v>
      </c>
      <c r="H10" s="17">
        <f>'Company Analysis'!H11</f>
        <v>5019.3148000000001</v>
      </c>
      <c r="I10" s="17">
        <f>'Company Analysis'!I11</f>
        <v>5466.5962</v>
      </c>
      <c r="J10" s="17">
        <f>'Company Analysis'!J11</f>
        <v>5317.3225000000002</v>
      </c>
      <c r="K10" s="17">
        <f>'Company Analysis'!K11</f>
        <v>5445</v>
      </c>
    </row>
    <row r="11" spans="1:16">
      <c r="A11" t="s">
        <v>170</v>
      </c>
      <c r="L11" s="18">
        <f>'Valuation Model'!C10*'Graphing Data'!L3</f>
        <v>5396.8703937049168</v>
      </c>
      <c r="M11" s="18">
        <f>'Valuation Model'!D10*'Graphing Data'!M3</f>
        <v>5797.6627243379444</v>
      </c>
      <c r="N11" s="18">
        <f>'Valuation Model'!E10*'Graphing Data'!N3</f>
        <v>6486.3892493759158</v>
      </c>
      <c r="O11" s="18">
        <f>'Valuation Model'!F10*'Graphing Data'!O3</f>
        <v>6987.6052706702103</v>
      </c>
      <c r="P11" s="18">
        <f>'Valuation Model'!G10*'Graphing Data'!P3</f>
        <v>7538.1581215221986</v>
      </c>
    </row>
    <row r="12" spans="1:16">
      <c r="A12" t="s">
        <v>171</v>
      </c>
      <c r="L12" s="18">
        <f>'Valuation Model'!C11*'Graphing Data'!L4</f>
        <v>4919.2564622085238</v>
      </c>
      <c r="M12" s="18">
        <f>'Valuation Model'!D11*'Graphing Data'!M4</f>
        <v>5024.1748479749431</v>
      </c>
      <c r="N12" s="18">
        <f>'Valuation Model'!E11*'Graphing Data'!N4</f>
        <v>5356.5574967914336</v>
      </c>
      <c r="O12" s="18">
        <f>'Valuation Model'!F11*'Graphing Data'!O4</f>
        <v>5475.1306405496398</v>
      </c>
      <c r="P12" s="18">
        <f>'Valuation Model'!G11*'Graphing Data'!P4</f>
        <v>5598.5176162963835</v>
      </c>
    </row>
    <row r="13" spans="1:16">
      <c r="A13" t="s">
        <v>172</v>
      </c>
      <c r="B13" s="20">
        <f>B10/B2</f>
        <v>0.11681422342320211</v>
      </c>
      <c r="C13" s="20">
        <f t="shared" ref="C13:K13" si="2">C10/C2</f>
        <v>0.14895667779632721</v>
      </c>
      <c r="D13" s="20">
        <f t="shared" si="2"/>
        <v>0.12289945556105493</v>
      </c>
      <c r="E13" s="20">
        <f t="shared" si="2"/>
        <v>0.15300671382257588</v>
      </c>
      <c r="F13" s="20">
        <f t="shared" si="2"/>
        <v>0.21517093623766426</v>
      </c>
      <c r="G13" s="20">
        <f t="shared" si="2"/>
        <v>0.2088482462008984</v>
      </c>
      <c r="H13" s="20">
        <f t="shared" si="2"/>
        <v>0.22853502709101672</v>
      </c>
      <c r="I13" s="20">
        <f t="shared" si="2"/>
        <v>0.22788878605969651</v>
      </c>
      <c r="J13" s="20">
        <f t="shared" si="2"/>
        <v>0.24376850960436439</v>
      </c>
      <c r="K13" s="20">
        <f t="shared" si="2"/>
        <v>0.27305551376560855</v>
      </c>
    </row>
    <row r="14" spans="1:16">
      <c r="A14" t="s">
        <v>173</v>
      </c>
      <c r="K14" s="99">
        <f>K13</f>
        <v>0.27305551376560855</v>
      </c>
      <c r="L14" s="99">
        <f>'Valuation Model'!C10</f>
        <v>0.25</v>
      </c>
      <c r="M14" s="99">
        <f>'Valuation Model'!D10</f>
        <v>0.25</v>
      </c>
      <c r="N14" s="99">
        <f>'Valuation Model'!E10</f>
        <v>0.26</v>
      </c>
      <c r="O14" s="99">
        <f>'Valuation Model'!F10</f>
        <v>0.26</v>
      </c>
      <c r="P14" s="99">
        <f>'Valuation Model'!G10</f>
        <v>0.26</v>
      </c>
    </row>
    <row r="15" spans="1:16">
      <c r="A15" t="s">
        <v>174</v>
      </c>
      <c r="K15" s="99">
        <f>K13</f>
        <v>0.27305551376560855</v>
      </c>
      <c r="L15" s="99">
        <f>'Valuation Model'!C11</f>
        <v>0.23</v>
      </c>
      <c r="M15" s="99">
        <f>'Valuation Model'!D11</f>
        <v>0.23</v>
      </c>
      <c r="N15" s="99">
        <f>'Valuation Model'!E11</f>
        <v>0.24</v>
      </c>
      <c r="O15" s="99">
        <f>'Valuation Model'!F11</f>
        <v>0.24</v>
      </c>
      <c r="P15" s="99">
        <f>'Valuation Model'!G11</f>
        <v>0.24</v>
      </c>
    </row>
    <row r="17" spans="1:16">
      <c r="A17" s="10" t="s">
        <v>175</v>
      </c>
      <c r="B17" s="134">
        <f>B9</f>
        <v>39447</v>
      </c>
      <c r="C17" s="134">
        <f t="shared" ref="C17:K17" si="3">C9</f>
        <v>39813</v>
      </c>
      <c r="D17" s="134">
        <f t="shared" si="3"/>
        <v>40178</v>
      </c>
      <c r="E17" s="134">
        <f t="shared" si="3"/>
        <v>40543</v>
      </c>
      <c r="F17" s="134">
        <f t="shared" si="3"/>
        <v>40908</v>
      </c>
      <c r="G17" s="134">
        <f t="shared" si="3"/>
        <v>41274</v>
      </c>
      <c r="H17" s="134">
        <f t="shared" si="3"/>
        <v>41639</v>
      </c>
      <c r="I17" s="134">
        <f t="shared" si="3"/>
        <v>42004</v>
      </c>
      <c r="J17" s="134">
        <f t="shared" si="3"/>
        <v>42369</v>
      </c>
      <c r="K17" s="134">
        <f t="shared" si="3"/>
        <v>42735</v>
      </c>
    </row>
    <row r="18" spans="1:16">
      <c r="A18" t="s">
        <v>137</v>
      </c>
      <c r="B18" s="18">
        <f>B10</f>
        <v>1902.086</v>
      </c>
      <c r="C18" s="18">
        <f t="shared" ref="C18:K18" si="4">C10</f>
        <v>2676.7514999999999</v>
      </c>
      <c r="D18" s="18">
        <f t="shared" si="4"/>
        <v>1738.1669999999999</v>
      </c>
      <c r="E18" s="18">
        <f t="shared" si="4"/>
        <v>2595.7588999999998</v>
      </c>
      <c r="F18" s="18">
        <f t="shared" si="4"/>
        <v>4208.098</v>
      </c>
      <c r="G18" s="18">
        <f t="shared" si="4"/>
        <v>4370.3584000000001</v>
      </c>
      <c r="H18" s="18">
        <f t="shared" si="4"/>
        <v>5019.3148000000001</v>
      </c>
      <c r="I18" s="18">
        <f t="shared" si="4"/>
        <v>5466.5962</v>
      </c>
      <c r="J18" s="18">
        <f t="shared" si="4"/>
        <v>5317.3225000000002</v>
      </c>
      <c r="K18" s="18">
        <f t="shared" si="4"/>
        <v>5445</v>
      </c>
    </row>
    <row r="19" spans="1:16">
      <c r="A19" t="s">
        <v>176</v>
      </c>
      <c r="B19" s="18">
        <f>-'Company Analysis'!B28</f>
        <v>1660.1952520493401</v>
      </c>
      <c r="C19" s="18">
        <f>-'Company Analysis'!C28</f>
        <v>1775.4868618210699</v>
      </c>
      <c r="D19" s="18">
        <f>-'Company Analysis'!D28</f>
        <v>1076.1921746028399</v>
      </c>
      <c r="E19" s="18">
        <f>-'Company Analysis'!E28</f>
        <v>908.24909047615984</v>
      </c>
      <c r="F19" s="18">
        <f>-'Company Analysis'!F28</f>
        <v>1679.39141269827</v>
      </c>
      <c r="G19" s="18">
        <f>-'Company Analysis'!G28</f>
        <v>2253.4143244800002</v>
      </c>
      <c r="H19" s="18">
        <f>-'Company Analysis'!H28</f>
        <v>1763.1390869048</v>
      </c>
      <c r="I19" s="18">
        <f>-'Company Analysis'!I28</f>
        <v>2670.8474862307999</v>
      </c>
      <c r="J19" s="18">
        <f>-'Company Analysis'!J28</f>
        <v>2594.7030952380901</v>
      </c>
      <c r="K19" s="18">
        <f>-'Company Analysis'!K28</f>
        <v>1446.4843373015874</v>
      </c>
    </row>
    <row r="21" spans="1:16">
      <c r="A21" s="10" t="s">
        <v>177</v>
      </c>
      <c r="B21" s="134">
        <f>B17</f>
        <v>39447</v>
      </c>
      <c r="C21" s="134">
        <f t="shared" ref="C21:K21" si="5">C17</f>
        <v>39813</v>
      </c>
      <c r="D21" s="134">
        <f t="shared" si="5"/>
        <v>40178</v>
      </c>
      <c r="E21" s="134">
        <f t="shared" si="5"/>
        <v>40543</v>
      </c>
      <c r="F21" s="134">
        <f t="shared" si="5"/>
        <v>40908</v>
      </c>
      <c r="G21" s="134">
        <f t="shared" si="5"/>
        <v>41274</v>
      </c>
      <c r="H21" s="134">
        <f t="shared" si="5"/>
        <v>41639</v>
      </c>
      <c r="I21" s="134">
        <f t="shared" si="5"/>
        <v>42004</v>
      </c>
      <c r="J21" s="134">
        <f t="shared" si="5"/>
        <v>42369</v>
      </c>
      <c r="K21" s="134">
        <f t="shared" si="5"/>
        <v>42735</v>
      </c>
    </row>
    <row r="22" spans="1:16">
      <c r="A22" t="str">
        <f>'Company Analysis'!A19</f>
        <v>Capex in Excess of Maintenance</v>
      </c>
      <c r="B22" s="18">
        <f>-'Company Analysis'!B19</f>
        <v>1742.086</v>
      </c>
      <c r="C22" s="18">
        <f>-'Company Analysis'!C19</f>
        <v>1774.7514999999999</v>
      </c>
      <c r="D22" s="18">
        <f>-'Company Analysis'!D19</f>
        <v>988.16699999999992</v>
      </c>
      <c r="E22" s="18">
        <f>-'Company Analysis'!E19</f>
        <v>972.75889999999981</v>
      </c>
      <c r="F22" s="18">
        <f>-'Company Analysis'!F19</f>
        <v>1596.098</v>
      </c>
      <c r="G22" s="18">
        <f>-'Company Analysis'!G19</f>
        <v>2221.3584000000001</v>
      </c>
      <c r="H22" s="18">
        <f>-'Company Analysis'!H19</f>
        <v>1692.3148000000001</v>
      </c>
      <c r="I22" s="18">
        <f>-'Company Analysis'!I19</f>
        <v>2427.5962</v>
      </c>
      <c r="J22" s="18">
        <f>-'Company Analysis'!J19</f>
        <v>2623.3225000000002</v>
      </c>
      <c r="K22" s="18">
        <f>-'Company Analysis'!K19</f>
        <v>1425</v>
      </c>
    </row>
    <row r="23" spans="1:16">
      <c r="A23" t="s">
        <v>179</v>
      </c>
      <c r="B23" s="18">
        <f>-'Company Analysis'!B20</f>
        <v>-133</v>
      </c>
      <c r="C23" s="18">
        <f>-'Company Analysis'!C20</f>
        <v>-122</v>
      </c>
      <c r="D23" s="18">
        <f>-'Company Analysis'!D20</f>
        <v>-93</v>
      </c>
      <c r="E23" s="18">
        <f>-'Company Analysis'!E20</f>
        <v>-187</v>
      </c>
      <c r="F23" s="18">
        <f>-'Company Analysis'!F20</f>
        <v>-67</v>
      </c>
      <c r="G23" s="18">
        <f>-'Company Analysis'!G20</f>
        <v>-108</v>
      </c>
      <c r="H23" s="18">
        <f>-'Company Analysis'!H20</f>
        <v>-80</v>
      </c>
      <c r="I23" s="18">
        <f>-'Company Analysis'!I20</f>
        <v>-98</v>
      </c>
      <c r="J23" s="18">
        <f>-'Company Analysis'!J20</f>
        <v>-138</v>
      </c>
      <c r="K23" s="18">
        <f>-'Company Analysis'!K20</f>
        <v>-129</v>
      </c>
    </row>
    <row r="24" spans="1:16">
      <c r="A24" t="s">
        <v>180</v>
      </c>
      <c r="B24" s="18">
        <f>-'Company Analysis'!B21</f>
        <v>0</v>
      </c>
      <c r="C24" s="18">
        <f>-'Company Analysis'!C21</f>
        <v>0</v>
      </c>
      <c r="D24" s="18">
        <f>-'Company Analysis'!D21</f>
        <v>0</v>
      </c>
      <c r="E24" s="18">
        <f>-'Company Analysis'!E21</f>
        <v>0</v>
      </c>
      <c r="F24" s="18">
        <f>-'Company Analysis'!F21</f>
        <v>0</v>
      </c>
      <c r="G24" s="18">
        <f>-'Company Analysis'!G21</f>
        <v>0</v>
      </c>
      <c r="H24" s="18">
        <f>-'Company Analysis'!H21</f>
        <v>0</v>
      </c>
      <c r="I24" s="18">
        <f>-'Company Analysis'!I21</f>
        <v>0</v>
      </c>
      <c r="J24" s="18">
        <f>-'Company Analysis'!J21</f>
        <v>0</v>
      </c>
      <c r="K24" s="18">
        <f>-'Company Analysis'!K21</f>
        <v>0</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192</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51.109252049340007</v>
      </c>
      <c r="C27" s="18">
        <f>-'Company Analysis'!C27</f>
        <v>122.73536182107</v>
      </c>
      <c r="D27" s="18">
        <f>-'Company Analysis'!D27</f>
        <v>181.02517460284</v>
      </c>
      <c r="E27" s="18">
        <f>-'Company Analysis'!E27</f>
        <v>122.49019047616001</v>
      </c>
      <c r="F27" s="18">
        <f>-'Company Analysis'!F27</f>
        <v>150.29341269827</v>
      </c>
      <c r="G27" s="18">
        <f>-'Company Analysis'!G27</f>
        <v>140.05592447999999</v>
      </c>
      <c r="H27" s="18">
        <f>-'Company Analysis'!H27</f>
        <v>150.8242869048</v>
      </c>
      <c r="I27" s="18">
        <f>-'Company Analysis'!I27</f>
        <v>341.25128623079996</v>
      </c>
      <c r="J27" s="18">
        <f>-'Company Analysis'!J27</f>
        <v>109.38059523809001</v>
      </c>
      <c r="K27" s="18">
        <f>-'Company Analysis'!K27</f>
        <v>150.48433730158735</v>
      </c>
    </row>
    <row r="29" spans="1:16">
      <c r="A29" s="10" t="s">
        <v>73</v>
      </c>
      <c r="B29" s="134">
        <f>B1</f>
        <v>39447</v>
      </c>
      <c r="C29" s="134">
        <f t="shared" ref="C29:P29" si="6">C1</f>
        <v>39813</v>
      </c>
      <c r="D29" s="134">
        <f t="shared" si="6"/>
        <v>40178</v>
      </c>
      <c r="E29" s="134">
        <f t="shared" si="6"/>
        <v>40543</v>
      </c>
      <c r="F29" s="134">
        <f t="shared" si="6"/>
        <v>40908</v>
      </c>
      <c r="G29" s="134">
        <f t="shared" si="6"/>
        <v>41274</v>
      </c>
      <c r="H29" s="134">
        <f t="shared" si="6"/>
        <v>41639</v>
      </c>
      <c r="I29" s="134">
        <f t="shared" si="6"/>
        <v>42004</v>
      </c>
      <c r="J29" s="134">
        <f t="shared" si="6"/>
        <v>42369</v>
      </c>
      <c r="K29" s="134">
        <f t="shared" si="6"/>
        <v>42735</v>
      </c>
      <c r="L29" s="134">
        <f t="shared" si="6"/>
        <v>43100</v>
      </c>
      <c r="M29" s="134">
        <f t="shared" si="6"/>
        <v>43465</v>
      </c>
      <c r="N29" s="134">
        <f t="shared" si="6"/>
        <v>43830</v>
      </c>
      <c r="O29" s="134">
        <f t="shared" si="6"/>
        <v>44195</v>
      </c>
      <c r="P29" s="134">
        <f t="shared" si="6"/>
        <v>44560</v>
      </c>
    </row>
    <row r="30" spans="1:16">
      <c r="A30" t="s">
        <v>183</v>
      </c>
      <c r="B30" s="18">
        <f>'Company Analysis'!B32</f>
        <v>241.89074795065994</v>
      </c>
      <c r="C30" s="18">
        <f>'Company Analysis'!C32</f>
        <v>901.26463817893</v>
      </c>
      <c r="D30" s="18">
        <f>'Company Analysis'!D32</f>
        <v>661.97482539715998</v>
      </c>
      <c r="E30" s="18">
        <f>'Company Analysis'!E32</f>
        <v>1687.50980952384</v>
      </c>
      <c r="F30" s="18">
        <f>'Company Analysis'!F32</f>
        <v>2528.70658730173</v>
      </c>
      <c r="G30" s="18">
        <f>'Company Analysis'!G32</f>
        <v>2116.9440755199998</v>
      </c>
      <c r="H30" s="18">
        <f>'Company Analysis'!H32</f>
        <v>3256.1757130952001</v>
      </c>
      <c r="I30" s="18">
        <f>'Company Analysis'!I32</f>
        <v>2795.7487137692001</v>
      </c>
      <c r="J30" s="18">
        <f>'Company Analysis'!J32</f>
        <v>2722.6194047619101</v>
      </c>
      <c r="K30" s="18">
        <f>'Company Analysis'!K32</f>
        <v>3998.5156626984126</v>
      </c>
    </row>
    <row r="31" spans="1:16">
      <c r="A31" t="s">
        <v>184</v>
      </c>
      <c r="L31" s="18">
        <f>L11*(1-'Valuation Model'!C12)</f>
        <v>4587.3398346491795</v>
      </c>
      <c r="M31" s="18">
        <f>M11*(1-'Valuation Model'!D12)</f>
        <v>4348.2470432534583</v>
      </c>
      <c r="N31" s="18">
        <f>N11*(1-'Valuation Model'!E12)</f>
        <v>4864.7919370319369</v>
      </c>
      <c r="O31" s="18">
        <f>O11*(1-'Valuation Model'!F12)</f>
        <v>5240.7039530026577</v>
      </c>
      <c r="P31" s="18">
        <f>P11*(1-'Valuation Model'!G12)</f>
        <v>5276.7106850655391</v>
      </c>
    </row>
    <row r="32" spans="1:16">
      <c r="A32" t="s">
        <v>185</v>
      </c>
      <c r="L32" s="18">
        <f>L12*(1-'Valuation Model'!C12)</f>
        <v>4181.3679928772453</v>
      </c>
      <c r="M32" s="18">
        <f>M12*(1-'Valuation Model'!D12)</f>
        <v>3768.1311359812071</v>
      </c>
      <c r="N32" s="18">
        <f>N12*(1-'Valuation Model'!E12)</f>
        <v>4017.4181225935754</v>
      </c>
      <c r="O32" s="18">
        <f>O12*(1-'Valuation Model'!F12)</f>
        <v>4106.3479804122298</v>
      </c>
      <c r="P32" s="18">
        <f>P12*(1-'Valuation Model'!G12)</f>
        <v>3918.9623314074684</v>
      </c>
    </row>
    <row r="33" spans="1:16">
      <c r="A33" t="s">
        <v>186</v>
      </c>
      <c r="B33" s="20">
        <f t="shared" ref="B33:J33" si="7">B30/B2</f>
        <v>1.4855416566398081E-2</v>
      </c>
      <c r="C33" s="20">
        <f t="shared" si="7"/>
        <v>5.0153847422311076E-2</v>
      </c>
      <c r="D33" s="20">
        <f t="shared" si="7"/>
        <v>4.6805827999516367E-2</v>
      </c>
      <c r="E33" s="20">
        <f t="shared" si="7"/>
        <v>9.9470074242489825E-2</v>
      </c>
      <c r="F33" s="20">
        <f t="shared" si="7"/>
        <v>0.12929930906078285</v>
      </c>
      <c r="G33" s="20">
        <f t="shared" si="7"/>
        <v>0.10116334108381916</v>
      </c>
      <c r="H33" s="20">
        <f t="shared" si="7"/>
        <v>0.14825732883008697</v>
      </c>
      <c r="I33" s="20">
        <f t="shared" si="7"/>
        <v>0.11654780364220443</v>
      </c>
      <c r="J33" s="20">
        <f t="shared" si="7"/>
        <v>0.12481636660532298</v>
      </c>
      <c r="K33" s="20">
        <f>K30/K2</f>
        <v>0.20051730919705194</v>
      </c>
    </row>
    <row r="34" spans="1:16">
      <c r="A34" t="s">
        <v>187</v>
      </c>
      <c r="K34" s="99">
        <f>K33</f>
        <v>0.20051730919705194</v>
      </c>
      <c r="L34" s="135">
        <f>(1-'Valuation Model'!C12)*'Valuation Model'!C10</f>
        <v>0.21249999999999999</v>
      </c>
      <c r="M34" s="135">
        <f>(1-'Valuation Model'!D12)*'Valuation Model'!D10</f>
        <v>0.1875</v>
      </c>
      <c r="N34" s="135">
        <f>(1-'Valuation Model'!E12)*'Valuation Model'!E10</f>
        <v>0.19500000000000001</v>
      </c>
      <c r="O34" s="135">
        <f>(1-'Valuation Model'!F12)*'Valuation Model'!F10</f>
        <v>0.19500000000000001</v>
      </c>
      <c r="P34" s="135">
        <f>(1-'Valuation Model'!G12)*'Valuation Model'!G10</f>
        <v>0.182</v>
      </c>
    </row>
    <row r="35" spans="1:16">
      <c r="A35" t="s">
        <v>188</v>
      </c>
      <c r="K35" s="99">
        <f>K33</f>
        <v>0.20051730919705194</v>
      </c>
      <c r="L35" s="135">
        <f>(1-'Valuation Model'!C12)*'Valuation Model'!C11</f>
        <v>0.19550000000000001</v>
      </c>
      <c r="M35" s="135">
        <f>(1-'Valuation Model'!D12)*'Valuation Model'!D11</f>
        <v>0.17250000000000001</v>
      </c>
      <c r="N35" s="135">
        <f>(1-'Valuation Model'!E12)*'Valuation Model'!E11</f>
        <v>0.18</v>
      </c>
      <c r="O35" s="135">
        <f>(1-'Valuation Model'!F12)*'Valuation Model'!F11</f>
        <v>0.18</v>
      </c>
      <c r="P35" s="135">
        <f>(1-'Valuation Model'!G12)*'Valuation Model'!G11</f>
        <v>0.16799999999999998</v>
      </c>
    </row>
    <row r="37" spans="1:16">
      <c r="A37" s="10" t="s">
        <v>153</v>
      </c>
      <c r="B37" s="134">
        <f>B1</f>
        <v>39447</v>
      </c>
      <c r="C37" s="134">
        <f t="shared" ref="C37:K37" si="8">C1</f>
        <v>39813</v>
      </c>
      <c r="D37" s="134">
        <f t="shared" si="8"/>
        <v>40178</v>
      </c>
      <c r="E37" s="134">
        <f t="shared" si="8"/>
        <v>40543</v>
      </c>
      <c r="F37" s="134">
        <f t="shared" si="8"/>
        <v>40908</v>
      </c>
      <c r="G37" s="134">
        <f t="shared" si="8"/>
        <v>41274</v>
      </c>
      <c r="H37" s="134">
        <f t="shared" si="8"/>
        <v>41639</v>
      </c>
      <c r="I37" s="134">
        <f t="shared" si="8"/>
        <v>42004</v>
      </c>
      <c r="J37" s="134">
        <f t="shared" si="8"/>
        <v>42369</v>
      </c>
      <c r="K37" s="134">
        <f t="shared" si="8"/>
        <v>42735</v>
      </c>
    </row>
    <row r="38" spans="1:16">
      <c r="A38" t="str">
        <f>ticker&amp;" Actual OCP ($, LHS)"</f>
        <v>UNP Actual OCP ($, LHS)</v>
      </c>
      <c r="B38" s="18">
        <f>B10</f>
        <v>1902.086</v>
      </c>
      <c r="C38" s="18">
        <f t="shared" ref="C38:K38" si="9">C10</f>
        <v>2676.7514999999999</v>
      </c>
      <c r="D38" s="18">
        <f t="shared" si="9"/>
        <v>1738.1669999999999</v>
      </c>
      <c r="E38" s="18">
        <f t="shared" si="9"/>
        <v>2595.7588999999998</v>
      </c>
      <c r="F38" s="18">
        <f t="shared" si="9"/>
        <v>4208.098</v>
      </c>
      <c r="G38" s="18">
        <f t="shared" si="9"/>
        <v>4370.3584000000001</v>
      </c>
      <c r="H38" s="18">
        <f t="shared" si="9"/>
        <v>5019.3148000000001</v>
      </c>
      <c r="I38" s="18">
        <f t="shared" si="9"/>
        <v>5466.5962</v>
      </c>
      <c r="J38" s="18">
        <f t="shared" si="9"/>
        <v>5317.3225000000002</v>
      </c>
      <c r="K38" s="18">
        <f t="shared" si="9"/>
        <v>5445</v>
      </c>
    </row>
    <row r="39" spans="1:16">
      <c r="A39" t="str">
        <f>ticker&amp;" OCP if GDP-Growth ($, LHS)"</f>
        <v>UNP OCP if GDP-Growth ($, LHS)</v>
      </c>
      <c r="B39" s="18">
        <f>B38</f>
        <v>1902.086</v>
      </c>
      <c r="C39" s="18">
        <f>(1+'Company Analysis'!C40)*B39</f>
        <v>1883.9456154799184</v>
      </c>
      <c r="D39" s="18">
        <f>(1+'Company Analysis'!D40)*C39</f>
        <v>1886.0950115044247</v>
      </c>
      <c r="E39" s="18">
        <f>(1+'Company Analysis'!E40)*D39</f>
        <v>1972.0320079782166</v>
      </c>
      <c r="F39" s="18">
        <f>(1+'Company Analysis'!F40)*E39</f>
        <v>2043.9072931109597</v>
      </c>
      <c r="G39" s="18">
        <f>(1+'Company Analysis'!G40)*F39</f>
        <v>2114.7596729067395</v>
      </c>
      <c r="H39" s="18">
        <f>(1+'Company Analysis'!H40)*G39</f>
        <v>2211.3271159836627</v>
      </c>
      <c r="I39" s="18">
        <f>(1+'Company Analysis'!I40)*H39</f>
        <v>2292.3049637985027</v>
      </c>
      <c r="J39" s="18">
        <f>(1+'Company Analysis'!J40)*I39</f>
        <v>2287.2940224642616</v>
      </c>
      <c r="K39" s="18">
        <f>(1+'Company Analysis'!K40)*J39</f>
        <v>2287.2940224642616</v>
      </c>
    </row>
    <row r="40" spans="1:16">
      <c r="A40" t="str">
        <f>ticker&amp;" - GDP Growth Difference (YoY, %, RHS)"</f>
        <v>UNP - GDP Growth Difference (YoY, %, RHS)</v>
      </c>
      <c r="B40" s="136"/>
      <c r="C40" s="99">
        <f>'Company Analysis'!C41-'Company Analysis'!C40</f>
        <v>0.41680864299515452</v>
      </c>
      <c r="D40" s="99">
        <f>'Company Analysis'!D41-'Company Analysis'!D40</f>
        <v>-0.35178402227414296</v>
      </c>
      <c r="E40" s="99">
        <f>'Company Analysis'!E41-'Company Analysis'!E40</f>
        <v>0.44782521710434353</v>
      </c>
      <c r="F40" s="99">
        <f>'Company Analysis'!F41-'Company Analysis'!F40</f>
        <v>0.58469630601594624</v>
      </c>
      <c r="G40" s="99">
        <f>'Company Analysis'!G41-'Company Analysis'!G40</f>
        <v>3.8939198290075527E-3</v>
      </c>
      <c r="H40" s="99">
        <f>'Company Analysis'!H41-'Company Analysis'!H40</f>
        <v>0.10282687617861308</v>
      </c>
      <c r="I40" s="99">
        <f>'Company Analysis'!I41-'Company Analysis'!I40</f>
        <v>5.2492473876004864E-2</v>
      </c>
      <c r="J40" s="99">
        <f>'Company Analysis'!J41-'Company Analysis'!J40</f>
        <v>-2.5120532900888559E-2</v>
      </c>
      <c r="K40" s="99">
        <f>'Company Analysis'!K41-'Company Analysis'!K40</f>
        <v>2.4011614868197251E-2</v>
      </c>
    </row>
    <row r="41" spans="1:16">
      <c r="A41" t="str">
        <f>ticker&amp;" - GDP Growth Difference (3Y, %, RHS)"</f>
        <v>UNP - GDP Growth Difference (3Y, %, RHS)</v>
      </c>
      <c r="B41" s="137"/>
      <c r="C41" s="99"/>
      <c r="D41" s="99"/>
      <c r="E41" s="99">
        <f>'Company Analysis'!E43-'Company Analysis'!E42</f>
        <v>9.7478885797713577E-2</v>
      </c>
      <c r="F41" s="99">
        <f>'Company Analysis'!F43-'Company Analysis'!F42</f>
        <v>0.19057277514189375</v>
      </c>
      <c r="G41" s="99">
        <f>'Company Analysis'!G43-'Company Analysis'!G42</f>
        <v>0.26940274214057136</v>
      </c>
      <c r="H41" s="99">
        <f>'Company Analysis'!H43-'Company Analysis'!H42</f>
        <v>0.17785596922252611</v>
      </c>
      <c r="I41" s="99">
        <f>'Company Analysis'!I43-'Company Analysis'!I42</f>
        <v>5.3556838977008026E-2</v>
      </c>
      <c r="J41" s="99">
        <f>'Company Analysis'!J43-'Company Analysis'!J42</f>
        <v>3.7672791978281772E-2</v>
      </c>
      <c r="K41" s="99">
        <f>'Company Analysis'!K43-'Company Analysis'!K42</f>
        <v>1.5750057477016854E-2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5"/>
  <sheetViews>
    <sheetView topLeftCell="B22" zoomScale="110" zoomScaleNormal="110" workbookViewId="0">
      <selection activeCell="L31" sqref="L31"/>
    </sheetView>
  </sheetViews>
  <sheetFormatPr defaultColWidth="9.1328125" defaultRowHeight="14.25"/>
  <cols>
    <col min="1" max="1" width="4.73046875" style="77" bestFit="1" customWidth="1"/>
    <col min="2" max="2" width="14.3984375" style="77" bestFit="1" customWidth="1"/>
    <col min="3" max="3" width="9.265625" style="77" bestFit="1" customWidth="1"/>
    <col min="4" max="4" width="12.265625" style="77" bestFit="1" customWidth="1"/>
    <col min="5" max="7" width="12.265625" style="77" customWidth="1"/>
    <col min="8" max="8" width="16.1328125" style="77" bestFit="1" customWidth="1"/>
    <col min="9" max="10" width="12.265625" style="77" customWidth="1"/>
    <col min="11" max="11" width="10.86328125" style="77" bestFit="1" customWidth="1"/>
    <col min="12" max="12" width="10.59765625" style="77" bestFit="1" customWidth="1"/>
    <col min="13" max="14" width="9.1328125" style="77"/>
    <col min="15" max="15" width="13.86328125" style="77" bestFit="1" customWidth="1"/>
    <col min="16" max="16384" width="9.1328125" style="77"/>
  </cols>
  <sheetData>
    <row r="1" spans="1:15">
      <c r="A1" s="77" t="s">
        <v>100</v>
      </c>
      <c r="B1" s="78">
        <f ca="1">MAX(C5:C12)+10</f>
        <v>136</v>
      </c>
      <c r="D1" s="77" t="s">
        <v>101</v>
      </c>
      <c r="E1" s="77">
        <v>5</v>
      </c>
    </row>
    <row r="2" spans="1:15">
      <c r="A2" s="77" t="s">
        <v>102</v>
      </c>
      <c r="B2" s="78">
        <f ca="1">MIN(C5:C12)-10</f>
        <v>70</v>
      </c>
    </row>
    <row r="4" spans="1:15" s="79" customFormat="1" ht="11.65">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1.65">
      <c r="A5" s="82"/>
      <c r="B5" s="88" t="str">
        <f>'Valuation Model'!I2</f>
        <v>3% | 24% | 2%</v>
      </c>
      <c r="C5" s="89">
        <f ca="1">'Valuation Model'!K2</f>
        <v>80</v>
      </c>
      <c r="D5" s="84">
        <f t="shared" ref="D5:D12" ca="1" si="0">IF(ABS(INDEX($K$6:$K$55,MATCH(C5,$K$6:$K$55,1)+IF(C5&gt;=MAX($K$6:$K$55),0,1),1)-C5)&lt;ABS(INDEX($K$6:$K$55,MATCH(C5,$K$6:$K$55,1))-C5),INDEX($K$6:$K$55,MATCH(C5,$K$6:$K$55,1)+IF(C5&gt;=MAX($K$6:$K$55),0,1),1),INDEX($K$6:$K$55,MATCH(C5,$K$6:$K$55,1)))</f>
        <v>78.880000000000024</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-9.4572004499077078</v>
      </c>
      <c r="O5" s="84">
        <f ca="1">_xlfn.NORM.DIST(N5,0+0.03^3,AVERAGE('Valuation Model'!$K$22:$L$22),FALSE)/scaling</f>
        <v>1.2053103557786351E-304</v>
      </c>
    </row>
    <row r="6" spans="1:15" s="79" customFormat="1" ht="11.65">
      <c r="A6" s="82"/>
      <c r="B6" s="88" t="str">
        <f>'Valuation Model'!I3</f>
        <v>3% | 24% | 7%</v>
      </c>
      <c r="C6" s="89">
        <f ca="1">'Valuation Model'!K3</f>
        <v>96</v>
      </c>
      <c r="D6" s="84">
        <f t="shared" ca="1" si="0"/>
        <v>95.200000000000045</v>
      </c>
      <c r="E6" s="85">
        <f>IF(H6="N",5%/COUNTIF('Valuation Model'!$L$2:$L$9,"No"),IF(G6&lt;&gt;"Y",50%/(COUNTIF('Valuation Model'!$L$2:$L$9,"Yes")-COUNTIF(G$5:G$12,"Y")),45%/(COUNTIF(G$5:G$12,"Y"))))</f>
        <v>6.25E-2</v>
      </c>
      <c r="F6" s="79" t="s">
        <v>51</v>
      </c>
      <c r="G6" s="79" t="str">
        <f>IF(LEFT('Valuation Model'!L6,1)="M","Y","")</f>
        <v/>
      </c>
      <c r="H6" s="79" t="str">
        <f>IF(LEFT('Valuation Model'!L3,1)="M","Y",LEFT('Valuation Model'!L3,1))</f>
        <v>Y</v>
      </c>
      <c r="J6" s="86">
        <v>0.02</v>
      </c>
      <c r="K6" s="84">
        <f t="shared" ca="1" si="1"/>
        <v>2.72</v>
      </c>
      <c r="L6" s="87" t="str">
        <f t="shared" ca="1" si="2"/>
        <v/>
      </c>
      <c r="M6" s="85" t="str">
        <f t="shared" ca="1" si="3"/>
        <v/>
      </c>
      <c r="N6" s="84">
        <f ca="1">LN('Histogram Data'!K6+0.01)-LN(price)</f>
        <v>-3.8477286547227485</v>
      </c>
      <c r="O6" s="84">
        <f ca="1">_xlfn.NORM.DIST(N6,0+0.03^3,AVERAGE('Valuation Model'!$K$22:$L$22),FALSE)/scaling</f>
        <v>1.8743896718181033E-51</v>
      </c>
    </row>
    <row r="7" spans="1:15" s="79" customFormat="1" ht="11.65">
      <c r="A7" s="82"/>
      <c r="B7" s="88" t="str">
        <f>'Valuation Model'!I4</f>
        <v>3% | 26% | 2%</v>
      </c>
      <c r="C7" s="89">
        <f ca="1">'Valuation Model'!K4</f>
        <v>87</v>
      </c>
      <c r="D7" s="84">
        <f t="shared" ca="1" si="0"/>
        <v>87.040000000000035</v>
      </c>
      <c r="E7" s="85">
        <f>IF(H7="N",5%/COUNTIF('Valuation Model'!$L$2:$L$9,"No"),IF(G7&lt;&gt;"Y",50%/(COUNTIF('Valuation Model'!$L$2:$L$9,"Yes")-COUNTIF(G$5:G$12,"Y")),45%/(COUNTIF(G$5:G$12,"Y"))))</f>
        <v>6.25E-2</v>
      </c>
      <c r="F7" s="79" t="s">
        <v>51</v>
      </c>
      <c r="G7" s="79" t="str">
        <f>IF(LEFT('Valuation Model'!L4,1)="M","Y","")</f>
        <v/>
      </c>
      <c r="H7" s="79" t="str">
        <f>IF(LEFT('Valuation Model'!L4,1)="M","Y",LEFT('Valuation Model'!L4,1))</f>
        <v>Y</v>
      </c>
      <c r="J7" s="86">
        <f>J6+2%</f>
        <v>0.04</v>
      </c>
      <c r="K7" s="84">
        <f t="shared" ca="1" si="1"/>
        <v>5.44</v>
      </c>
      <c r="L7" s="87" t="str">
        <f t="shared" ca="1" si="2"/>
        <v/>
      </c>
      <c r="M7" s="85" t="str">
        <f t="shared" ca="1" si="3"/>
        <v/>
      </c>
      <c r="N7" s="84">
        <f ca="1">LN('Histogram Data'!K7+0.01)-LN(price)</f>
        <v>-3.1564146552444639</v>
      </c>
      <c r="O7" s="84">
        <f ca="1">_xlfn.NORM.DIST(N7,0+0.03^3,AVERAGE('Valuation Model'!$K$22:$L$22),FALSE)/scaling</f>
        <v>5.0053444274942525E-35</v>
      </c>
    </row>
    <row r="8" spans="1:15" s="79" customFormat="1" ht="11.65">
      <c r="A8" s="82"/>
      <c r="B8" s="88" t="str">
        <f>'Valuation Model'!I5</f>
        <v>3% | 26% | 7%</v>
      </c>
      <c r="C8" s="89">
        <f ca="1">'Valuation Model'!K5</f>
        <v>104</v>
      </c>
      <c r="D8" s="84">
        <f t="shared" ca="1" si="0"/>
        <v>103.36000000000004</v>
      </c>
      <c r="E8" s="85">
        <f>IF(H8="N",5%/COUNTIF('Valuation Model'!$L$2:$L$9,"No"),IF(G8&lt;&gt;"Y",50%/(COUNTIF('Valuation Model'!$L$2:$L$9,"Yes")-COUNTIF(G$5:G$12,"Y")),45%/(COUNTIF(G$5:G$12,"Y"))))</f>
        <v>6.25E-2</v>
      </c>
      <c r="F8" s="79" t="s">
        <v>51</v>
      </c>
      <c r="G8" s="79" t="str">
        <f>IF(LEFT('Valuation Model'!L8,1)="M","Y","")</f>
        <v/>
      </c>
      <c r="H8" s="79" t="str">
        <f>IF(LEFT('Valuation Model'!L5,1)="M","Y",LEFT('Valuation Model'!L5,1))</f>
        <v>Y</v>
      </c>
      <c r="J8" s="86">
        <f t="shared" ref="J8:J55" si="4">J7+2%</f>
        <v>0.06</v>
      </c>
      <c r="K8" s="84">
        <f t="shared" ca="1" si="1"/>
        <v>8.16</v>
      </c>
      <c r="L8" s="87" t="str">
        <f t="shared" ca="1" si="2"/>
        <v/>
      </c>
      <c r="M8" s="85" t="str">
        <f t="shared" ca="1" si="3"/>
        <v/>
      </c>
      <c r="N8" s="84">
        <f ca="1">LN('Histogram Data'!K8+0.01)-LN(price)</f>
        <v>-2.7515613550477056</v>
      </c>
      <c r="O8" s="84">
        <f ca="1">_xlfn.NORM.DIST(N8,0+0.03^3,AVERAGE('Valuation Model'!$K$22:$L$22),FALSE)/scaling</f>
        <v>6.513019060087036E-27</v>
      </c>
    </row>
    <row r="9" spans="1:15" s="79" customFormat="1" ht="11.65">
      <c r="A9" s="82"/>
      <c r="B9" s="88" t="str">
        <f>'Valuation Model'!I6</f>
        <v>8% | 24% | 2%</v>
      </c>
      <c r="C9" s="89">
        <f ca="1">'Valuation Model'!K6</f>
        <v>97</v>
      </c>
      <c r="D9" s="84">
        <f t="shared" ca="1" si="0"/>
        <v>97.920000000000044</v>
      </c>
      <c r="E9" s="85">
        <f>IF(H9="N",5%/COUNTIF('Valuation Model'!$L$2:$L$9,"No"),IF(G9&lt;&gt;"Y",50%/(COUNTIF('Valuation Model'!$L$2:$L$9,"Yes")-COUNTIF(G$5:G$12,"Y")),45%/(COUNTIF(G$5:G$12,"Y"))))</f>
        <v>6.25E-2</v>
      </c>
      <c r="F9" s="79" t="s">
        <v>51</v>
      </c>
      <c r="G9" s="79" t="str">
        <f>IF(LEFT('Valuation Model'!L3,1)="M","Y","")</f>
        <v/>
      </c>
      <c r="H9" s="79" t="str">
        <f>IF(LEFT('Valuation Model'!L6,1)="M","Y",LEFT('Valuation Model'!L6,1))</f>
        <v>Y</v>
      </c>
      <c r="J9" s="86">
        <f t="shared" si="4"/>
        <v>0.08</v>
      </c>
      <c r="K9" s="84">
        <f t="shared" ca="1" si="1"/>
        <v>10.88</v>
      </c>
      <c r="L9" s="87" t="str">
        <f t="shared" ca="1" si="2"/>
        <v/>
      </c>
      <c r="M9" s="85" t="str">
        <f t="shared" ca="1" si="3"/>
        <v/>
      </c>
      <c r="N9" s="84">
        <f ca="1">LN('Histogram Data'!K9+0.01)-LN(price)</f>
        <v>-2.4641853269747478</v>
      </c>
      <c r="O9" s="84">
        <f ca="1">_xlfn.NORM.DIST(N9,0+0.03^3,AVERAGE('Valuation Model'!$K$22:$L$22),FALSE)/scaling</f>
        <v>7.9197274023046543E-22</v>
      </c>
    </row>
    <row r="10" spans="1:15" s="79" customFormat="1" ht="11.65">
      <c r="A10" s="82"/>
      <c r="B10" s="88" t="str">
        <f>'Valuation Model'!I7</f>
        <v>8% | 24% | 7%</v>
      </c>
      <c r="C10" s="89">
        <f ca="1">'Valuation Model'!K7</f>
        <v>116</v>
      </c>
      <c r="D10" s="84">
        <f t="shared" ca="1" si="0"/>
        <v>116.96000000000006</v>
      </c>
      <c r="E10" s="85">
        <f>IF(H10="N",5%/COUNTIF('Valuation Model'!$L$2:$L$9,"No"),IF(G10&lt;&gt;"Y",50%/(COUNTIF('Valuation Model'!$L$2:$L$9,"Yes")-COUNTIF(G$5:G$12,"Y")),45%/(COUNTIF(G$5:G$12,"Y"))))</f>
        <v>6.25E-2</v>
      </c>
      <c r="F10" s="79" t="s">
        <v>51</v>
      </c>
      <c r="G10" s="79" t="str">
        <f>IF(LEFT('Valuation Model'!L7,1)="M","Y","")</f>
        <v/>
      </c>
      <c r="H10" s="79" t="str">
        <f>IF(LEFT('Valuation Model'!L7,1)="M","Y",LEFT('Valuation Model'!L7,1))</f>
        <v>Y</v>
      </c>
      <c r="J10" s="86">
        <f t="shared" si="4"/>
        <v>0.1</v>
      </c>
      <c r="K10" s="84">
        <f t="shared" ca="1" si="1"/>
        <v>13.600000000000001</v>
      </c>
      <c r="L10" s="87" t="str">
        <f t="shared" ca="1" si="2"/>
        <v/>
      </c>
      <c r="M10" s="85" t="str">
        <f t="shared" ca="1" si="3"/>
        <v/>
      </c>
      <c r="N10" s="84">
        <f ca="1">LN('Histogram Data'!K10+0.01)-LN(price)</f>
        <v>-2.2412254472562423</v>
      </c>
      <c r="O10" s="84">
        <f ca="1">_xlfn.NORM.DIST(N10,0+0.03^3,AVERAGE('Valuation Model'!$K$22:$L$22),FALSE)/scaling</f>
        <v>2.8696526650672519E-18</v>
      </c>
    </row>
    <row r="11" spans="1:15" s="79" customFormat="1" ht="11.65">
      <c r="A11" s="82"/>
      <c r="B11" s="88" t="str">
        <f>'Valuation Model'!I8</f>
        <v>8% | 26% | 2%</v>
      </c>
      <c r="C11" s="89">
        <f ca="1">'Valuation Model'!K8</f>
        <v>105</v>
      </c>
      <c r="D11" s="84">
        <f t="shared" ca="1" si="0"/>
        <v>106.08000000000006</v>
      </c>
      <c r="E11" s="85">
        <f>IF(H11="N",5%/COUNTIF('Valuation Model'!$L$2:$L$9,"No"),IF(G11&lt;&gt;"Y",50%/(COUNTIF('Valuation Model'!$L$2:$L$9,"Yes")-COUNTIF(G$5:G$12,"Y")),45%/(COUNTIF(G$5:G$12,"Y"))))</f>
        <v>6.25E-2</v>
      </c>
      <c r="F11" s="79" t="s">
        <v>51</v>
      </c>
      <c r="G11" s="79" t="str">
        <f>IF(LEFT('Valuation Model'!L5,1)="M","Y","")</f>
        <v/>
      </c>
      <c r="H11" s="79" t="str">
        <f>IF(LEFT('Valuation Model'!L8,1)="M","Y",LEFT('Valuation Model'!L8,1))</f>
        <v>Y</v>
      </c>
      <c r="J11" s="86">
        <f t="shared" si="4"/>
        <v>0.12000000000000001</v>
      </c>
      <c r="K11" s="84">
        <f t="shared" ca="1" si="1"/>
        <v>16.32</v>
      </c>
      <c r="L11" s="87" t="str">
        <f t="shared" ca="1" si="2"/>
        <v/>
      </c>
      <c r="M11" s="85" t="str">
        <f t="shared" ca="1" si="3"/>
        <v/>
      </c>
      <c r="N11" s="84">
        <f ca="1">LN('Histogram Data'!K11+0.01)-LN(price)</f>
        <v>-2.0590263569372431</v>
      </c>
      <c r="O11" s="84">
        <f ca="1">_xlfn.NORM.DIST(N11,0+0.03^3,AVERAGE('Valuation Model'!$K$22:$L$22),FALSE)/scaling</f>
        <v>1.3057283810682442E-15</v>
      </c>
    </row>
    <row r="12" spans="1:15" s="79" customFormat="1" ht="11.65">
      <c r="A12" s="82"/>
      <c r="B12" s="88" t="str">
        <f>'Valuation Model'!I9</f>
        <v>8% | 26% | 7%</v>
      </c>
      <c r="C12" s="89">
        <f ca="1">'Valuation Model'!K9</f>
        <v>126</v>
      </c>
      <c r="D12" s="84">
        <f t="shared" ca="1" si="0"/>
        <v>125.12000000000006</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19.040000000000003</v>
      </c>
      <c r="L12" s="87" t="str">
        <f t="shared" ca="1" si="2"/>
        <v/>
      </c>
      <c r="M12" s="85" t="str">
        <f t="shared" ca="1" si="3"/>
        <v/>
      </c>
      <c r="N12" s="84">
        <f ca="1">LN('Histogram Data'!K12+0.01)-LN(price)</f>
        <v>-1.9049631623469065</v>
      </c>
      <c r="O12" s="84">
        <f ca="1">_xlfn.NORM.DIST(N12,0+0.03^3,AVERAGE('Valuation Model'!$K$22:$L$22),FALSE)/scaling</f>
        <v>1.5405152345455013E-13</v>
      </c>
    </row>
    <row r="13" spans="1:15" s="79" customFormat="1" ht="11.65">
      <c r="A13" s="82"/>
      <c r="J13" s="86">
        <f t="shared" si="4"/>
        <v>0.16</v>
      </c>
      <c r="K13" s="84">
        <f t="shared" ca="1" si="1"/>
        <v>21.76</v>
      </c>
      <c r="L13" s="87" t="str">
        <f t="shared" ca="1" si="2"/>
        <v/>
      </c>
      <c r="M13" s="85" t="str">
        <f t="shared" ca="1" si="3"/>
        <v/>
      </c>
      <c r="N13" s="84">
        <f ca="1">LN('Histogram Data'!K13+0.01)-LN(price)</f>
        <v>-1.7714973886731609</v>
      </c>
      <c r="O13" s="84">
        <f ca="1">_xlfn.NORM.DIST(N13,0+0.03^3,AVERAGE('Valuation Model'!$K$22:$L$22),FALSE)/scaling</f>
        <v>7.1170942774068144E-12</v>
      </c>
    </row>
    <row r="14" spans="1:15" s="79" customFormat="1" ht="11.65">
      <c r="A14" s="82"/>
      <c r="J14" s="86">
        <f t="shared" si="4"/>
        <v>0.18</v>
      </c>
      <c r="K14" s="84">
        <f t="shared" ca="1" si="1"/>
        <v>24.48</v>
      </c>
      <c r="L14" s="87" t="str">
        <f t="shared" ca="1" si="2"/>
        <v/>
      </c>
      <c r="M14" s="85" t="str">
        <f t="shared" ca="1" si="3"/>
        <v/>
      </c>
      <c r="N14" s="84">
        <f ca="1">LN('Histogram Data'!K14+0.01)-LN(price)</f>
        <v>-1.6537653929555405</v>
      </c>
      <c r="O14" s="84">
        <f ca="1">_xlfn.NORM.DIST(N14,0+0.03^3,AVERAGE('Valuation Model'!$K$22:$L$22),FALSE)/scaling</f>
        <v>1.6610142384449591E-10</v>
      </c>
    </row>
    <row r="15" spans="1:15" s="79" customFormat="1" ht="11.65">
      <c r="A15" s="82"/>
      <c r="J15" s="86">
        <f t="shared" si="4"/>
        <v>0.19999999999999998</v>
      </c>
      <c r="K15" s="84">
        <f t="shared" ca="1" si="1"/>
        <v>27.2</v>
      </c>
      <c r="L15" s="87" t="str">
        <f t="shared" ca="1" si="2"/>
        <v/>
      </c>
      <c r="M15" s="85" t="str">
        <f t="shared" ca="1" si="3"/>
        <v/>
      </c>
      <c r="N15" s="84">
        <f ca="1">LN('Histogram Data'!K15+0.01)-LN(price)</f>
        <v>-1.5484457111244621</v>
      </c>
      <c r="O15" s="84">
        <f ca="1">_xlfn.NORM.DIST(N15,0+0.03^3,AVERAGE('Valuation Model'!$K$22:$L$22),FALSE)/scaling</f>
        <v>2.314812362672422E-9</v>
      </c>
    </row>
    <row r="16" spans="1:15" s="79" customFormat="1" ht="11.65">
      <c r="A16" s="82"/>
      <c r="C16" s="83"/>
      <c r="D16" s="84"/>
      <c r="E16" s="85"/>
      <c r="J16" s="86">
        <f t="shared" si="4"/>
        <v>0.21999999999999997</v>
      </c>
      <c r="K16" s="84">
        <f t="shared" ca="1" si="1"/>
        <v>29.919999999999995</v>
      </c>
      <c r="L16" s="87" t="str">
        <f t="shared" ca="1" si="2"/>
        <v/>
      </c>
      <c r="M16" s="85" t="str">
        <f t="shared" ca="1" si="3"/>
        <v/>
      </c>
      <c r="N16" s="84">
        <f ca="1">LN('Histogram Data'!K16+0.01)-LN(price)</f>
        <v>-1.4531689420550093</v>
      </c>
      <c r="O16" s="84">
        <f ca="1">_xlfn.NORM.DIST(N16,0+0.03^3,AVERAGE('Valuation Model'!$K$22:$L$22),FALSE)/scaling</f>
        <v>2.1613234059789821E-8</v>
      </c>
    </row>
    <row r="17" spans="4:15" s="79" customFormat="1" ht="11.65">
      <c r="J17" s="86">
        <f t="shared" si="4"/>
        <v>0.23999999999999996</v>
      </c>
      <c r="K17" s="84">
        <f t="shared" ca="1" si="1"/>
        <v>32.639999999999993</v>
      </c>
      <c r="L17" s="87" t="str">
        <f t="shared" ca="1" si="2"/>
        <v/>
      </c>
      <c r="M17" s="85" t="str">
        <f t="shared" ca="1" si="3"/>
        <v/>
      </c>
      <c r="N17" s="84">
        <f ca="1">LN('Histogram Data'!K17+0.01)-LN(price)</f>
        <v>-1.3661854081971772</v>
      </c>
      <c r="O17" s="84">
        <f ca="1">_xlfn.NORM.DIST(N17,0+0.03^3,AVERAGE('Valuation Model'!$K$22:$L$22),FALSE)/scaling</f>
        <v>1.4678814273649448E-7</v>
      </c>
    </row>
    <row r="18" spans="4:15" s="79" customFormat="1" ht="11.65">
      <c r="D18" s="86"/>
      <c r="J18" s="86">
        <f t="shared" si="4"/>
        <v>0.25999999999999995</v>
      </c>
      <c r="K18" s="84">
        <f t="shared" ca="1" si="1"/>
        <v>35.359999999999992</v>
      </c>
      <c r="L18" s="87" t="str">
        <f t="shared" ca="1" si="2"/>
        <v/>
      </c>
      <c r="M18" s="85" t="str">
        <f t="shared" ca="1" si="3"/>
        <v/>
      </c>
      <c r="N18" s="84">
        <f ca="1">LN('Histogram Data'!K18+0.01)-LN(price)</f>
        <v>-1.2861662607022279</v>
      </c>
      <c r="O18" s="84">
        <f ca="1">_xlfn.NORM.DIST(N18,0+0.03^3,AVERAGE('Valuation Model'!$K$22:$L$22),FALSE)/scaling</f>
        <v>7.7039819124880827E-7</v>
      </c>
    </row>
    <row r="19" spans="4:15" s="79" customFormat="1" ht="11.65">
      <c r="D19" s="90"/>
      <c r="J19" s="86">
        <f t="shared" si="4"/>
        <v>0.27999999999999997</v>
      </c>
      <c r="K19" s="84">
        <f t="shared" ca="1" si="1"/>
        <v>38.08</v>
      </c>
      <c r="L19" s="87" t="str">
        <f t="shared" ca="1" si="2"/>
        <v/>
      </c>
      <c r="M19" s="85" t="str">
        <f t="shared" ca="1" si="3"/>
        <v/>
      </c>
      <c r="N19" s="84">
        <f ca="1">LN('Histogram Data'!K19+0.01)-LN(price)</f>
        <v>-1.2120784834291043</v>
      </c>
      <c r="O19" s="84">
        <f ca="1">_xlfn.NORM.DIST(N19,0+0.03^3,AVERAGE('Valuation Model'!$K$22:$L$22),FALSE)/scaling</f>
        <v>3.2706577362376621E-6</v>
      </c>
    </row>
    <row r="20" spans="4:15" s="79" customFormat="1" ht="11.65">
      <c r="J20" s="86">
        <f t="shared" si="4"/>
        <v>0.3</v>
      </c>
      <c r="K20" s="84">
        <f t="shared" ca="1" si="1"/>
        <v>40.799999999999997</v>
      </c>
      <c r="L20" s="87" t="str">
        <f t="shared" ca="1" si="2"/>
        <v/>
      </c>
      <c r="M20" s="85" t="str">
        <f t="shared" ca="1" si="3"/>
        <v/>
      </c>
      <c r="N20" s="84">
        <f ca="1">LN('Histogram Data'!K20+0.01)-LN(price)</f>
        <v>-1.1431031145019026</v>
      </c>
      <c r="O20" s="84">
        <f ca="1">_xlfn.NORM.DIST(N20,0+0.03^3,AVERAGE('Valuation Model'!$K$22:$L$22),FALSE)/scaling</f>
        <v>1.1634544266661088E-5</v>
      </c>
    </row>
    <row r="21" spans="4:15" s="79" customFormat="1" ht="11.65">
      <c r="J21" s="86">
        <f t="shared" si="4"/>
        <v>0.32</v>
      </c>
      <c r="K21" s="84">
        <f t="shared" ca="1" si="1"/>
        <v>43.52</v>
      </c>
      <c r="L21" s="87" t="str">
        <f t="shared" ca="1" si="2"/>
        <v/>
      </c>
      <c r="M21" s="85" t="str">
        <f t="shared" ca="1" si="3"/>
        <v/>
      </c>
      <c r="N21" s="84">
        <f ca="1">LN('Histogram Data'!K21+0.01)-LN(price)</f>
        <v>-1.0785799083554108</v>
      </c>
      <c r="O21" s="84">
        <f ca="1">_xlfn.NORM.DIST(N21,0+0.03^3,AVERAGE('Valuation Model'!$K$22:$L$22),FALSE)/scaling</f>
        <v>3.5650783500393368E-5</v>
      </c>
    </row>
    <row r="22" spans="4:15" s="79" customFormat="1" ht="11.65">
      <c r="J22" s="86">
        <f t="shared" si="4"/>
        <v>0.34</v>
      </c>
      <c r="K22" s="84">
        <f t="shared" ca="1" si="1"/>
        <v>46.24</v>
      </c>
      <c r="L22" s="87" t="str">
        <f t="shared" ca="1" si="2"/>
        <v/>
      </c>
      <c r="M22" s="85" t="str">
        <f t="shared" ca="1" si="3"/>
        <v/>
      </c>
      <c r="N22" s="84">
        <f ca="1">LN('Histogram Data'!K22+0.01)-LN(price)</f>
        <v>-1.0179687999611828</v>
      </c>
      <c r="O22" s="84">
        <f ca="1">_xlfn.NORM.DIST(N22,0+0.03^3,AVERAGE('Valuation Model'!$K$22:$L$22),FALSE)/scaling</f>
        <v>9.6199468180055872E-5</v>
      </c>
    </row>
    <row r="23" spans="4:15" s="79" customFormat="1" ht="11.65">
      <c r="J23" s="86">
        <f t="shared" si="4"/>
        <v>0.36000000000000004</v>
      </c>
      <c r="K23" s="84">
        <f t="shared" ca="1" si="1"/>
        <v>48.960000000000008</v>
      </c>
      <c r="L23" s="87" t="str">
        <f t="shared" ca="1" si="2"/>
        <v/>
      </c>
      <c r="M23" s="85" t="str">
        <f t="shared" ca="1" si="3"/>
        <v/>
      </c>
      <c r="N23" s="84">
        <f ca="1">LN('Histogram Data'!K23+0.01)-LN(price)</f>
        <v>-0.96082239820539073</v>
      </c>
      <c r="O23" s="84">
        <f ca="1">_xlfn.NORM.DIST(N23,0+0.03^3,AVERAGE('Valuation Model'!$K$22:$L$22),FALSE)/scaling</f>
        <v>2.3270404262207091E-4</v>
      </c>
    </row>
    <row r="24" spans="4:15" s="79" customFormat="1" ht="11.65">
      <c r="J24" s="86">
        <f t="shared" si="4"/>
        <v>0.38000000000000006</v>
      </c>
      <c r="K24" s="84">
        <f t="shared" ca="1" si="1"/>
        <v>51.680000000000007</v>
      </c>
      <c r="L24" s="87" t="str">
        <f t="shared" ca="1" si="2"/>
        <v/>
      </c>
      <c r="M24" s="85" t="str">
        <f t="shared" ca="1" si="3"/>
        <v/>
      </c>
      <c r="N24" s="84">
        <f ca="1">LN('Histogram Data'!K24+0.01)-LN(price)</f>
        <v>-0.90676592471166906</v>
      </c>
      <c r="O24" s="84">
        <f ca="1">_xlfn.NORM.DIST(N24,0+0.03^3,AVERAGE('Valuation Model'!$K$22:$L$22),FALSE)/scaling</f>
        <v>5.1203457379770724E-4</v>
      </c>
    </row>
    <row r="25" spans="4:15" s="79" customFormat="1" ht="11.65">
      <c r="J25" s="86">
        <f t="shared" si="4"/>
        <v>0.40000000000000008</v>
      </c>
      <c r="K25" s="84">
        <f t="shared" ca="1" si="1"/>
        <v>54.400000000000013</v>
      </c>
      <c r="L25" s="87" t="str">
        <f t="shared" ca="1" si="2"/>
        <v/>
      </c>
      <c r="M25" s="85" t="str">
        <f t="shared" ca="1" si="3"/>
        <v/>
      </c>
      <c r="N25" s="84">
        <f ca="1">LN('Histogram Data'!K25+0.01)-LN(price)</f>
        <v>-0.85548230342178266</v>
      </c>
      <c r="O25" s="84">
        <f ca="1">_xlfn.NORM.DIST(N25,0+0.03^3,AVERAGE('Valuation Model'!$K$22:$L$22),FALSE)/scaling</f>
        <v>1.0372881726120188E-3</v>
      </c>
    </row>
    <row r="26" spans="4:15" s="79" customFormat="1" ht="11.65">
      <c r="J26" s="86">
        <f t="shared" si="4"/>
        <v>0.4200000000000001</v>
      </c>
      <c r="K26" s="84">
        <f t="shared" ca="1" si="1"/>
        <v>57.120000000000012</v>
      </c>
      <c r="L26" s="87" t="str">
        <f t="shared" ca="1" si="2"/>
        <v/>
      </c>
      <c r="M26" s="85" t="str">
        <f t="shared" ca="1" si="3"/>
        <v/>
      </c>
      <c r="N26" s="84">
        <f ca="1">LN('Histogram Data'!K26+0.01)-LN(price)</f>
        <v>-0.80670089118324562</v>
      </c>
      <c r="O26" s="84">
        <f ca="1">_xlfn.NORM.DIST(N26,0+0.03^3,AVERAGE('Valuation Model'!$K$22:$L$22),FALSE)/scaling</f>
        <v>1.9542514992929513E-3</v>
      </c>
    </row>
    <row r="27" spans="4:15" s="79" customFormat="1" ht="11.65">
      <c r="J27" s="86">
        <f t="shared" si="4"/>
        <v>0.44000000000000011</v>
      </c>
      <c r="K27" s="84">
        <f t="shared" ca="1" si="1"/>
        <v>59.840000000000018</v>
      </c>
      <c r="L27" s="87" t="str">
        <f t="shared" ca="1" si="2"/>
        <v/>
      </c>
      <c r="M27" s="85" t="str">
        <f t="shared" ca="1" si="3"/>
        <v/>
      </c>
      <c r="N27" s="84">
        <f ca="1">LN('Histogram Data'!K27+0.01)-LN(price)</f>
        <v>-0.76018883191563447</v>
      </c>
      <c r="O27" s="84">
        <f ca="1">_xlfn.NORM.DIST(N27,0+0.03^3,AVERAGE('Valuation Model'!$K$22:$L$22),FALSE)/scaling</f>
        <v>3.4532509689146839E-3</v>
      </c>
    </row>
    <row r="28" spans="4:15" s="79" customFormat="1" ht="11.65">
      <c r="J28" s="86">
        <f t="shared" si="4"/>
        <v>0.46000000000000013</v>
      </c>
      <c r="K28" s="84">
        <f t="shared" ca="1" si="1"/>
        <v>62.560000000000016</v>
      </c>
      <c r="L28" s="87" t="str">
        <f t="shared" ca="1" si="2"/>
        <v/>
      </c>
      <c r="M28" s="85" t="str">
        <f t="shared" ca="1" si="3"/>
        <v/>
      </c>
      <c r="N28" s="84">
        <f ca="1">LN('Histogram Data'!K28+0.01)-LN(price)</f>
        <v>-0.71574433390934455</v>
      </c>
      <c r="O28" s="84">
        <f ca="1">_xlfn.NORM.DIST(N28,0+0.03^3,AVERAGE('Valuation Model'!$K$22:$L$22),FALSE)/scaling</f>
        <v>5.7646255473760896E-3</v>
      </c>
    </row>
    <row r="29" spans="4:15" s="79" customFormat="1" ht="11.65">
      <c r="J29" s="86">
        <f t="shared" si="4"/>
        <v>0.48000000000000015</v>
      </c>
      <c r="K29" s="84">
        <f t="shared" ca="1" si="1"/>
        <v>65.280000000000015</v>
      </c>
      <c r="L29" s="87" t="str">
        <f t="shared" ca="1" si="2"/>
        <v/>
      </c>
      <c r="M29" s="85" t="str">
        <f t="shared" ca="1" si="3"/>
        <v/>
      </c>
      <c r="N29" s="84">
        <f ca="1">LN('Histogram Data'!K29+0.01)-LN(price)</f>
        <v>-0.67319137872107415</v>
      </c>
      <c r="O29" s="84">
        <f ca="1">_xlfn.NORM.DIST(N29,0+0.03^3,AVERAGE('Valuation Model'!$K$22:$L$22),FALSE)/scaling</f>
        <v>9.1471092958217721E-3</v>
      </c>
    </row>
    <row r="30" spans="4:15" s="79" customFormat="1" ht="11.65">
      <c r="J30" s="86">
        <f t="shared" si="4"/>
        <v>0.50000000000000011</v>
      </c>
      <c r="K30" s="84">
        <f t="shared" ca="1" si="1"/>
        <v>68.000000000000014</v>
      </c>
      <c r="L30" s="87" t="str">
        <f t="shared" ca="1" si="2"/>
        <v/>
      </c>
      <c r="M30" s="85" t="str">
        <f t="shared" ca="1" si="3"/>
        <v/>
      </c>
      <c r="N30" s="84">
        <f ca="1">LN('Histogram Data'!K30+0.01)-LN(price)</f>
        <v>-0.63237551073206966</v>
      </c>
      <c r="O30" s="84">
        <f ca="1">_xlfn.NORM.DIST(N30,0+0.03^3,AVERAGE('Valuation Model'!$K$22:$L$22),FALSE)/scaling</f>
        <v>1.3869717716714428E-2</v>
      </c>
    </row>
    <row r="31" spans="4:15" s="79" customFormat="1" ht="11.65">
      <c r="J31" s="86">
        <f t="shared" si="4"/>
        <v>0.52000000000000013</v>
      </c>
      <c r="K31" s="84">
        <f t="shared" ca="1" si="1"/>
        <v>70.720000000000013</v>
      </c>
      <c r="L31" s="87" t="str">
        <f t="shared" ca="1" si="2"/>
        <v/>
      </c>
      <c r="M31" s="85" t="str">
        <f t="shared" ca="1" si="3"/>
        <v/>
      </c>
      <c r="N31" s="84">
        <f ca="1">LN('Histogram Data'!K31+0.01)-LN(price)</f>
        <v>-0.59316045287171804</v>
      </c>
      <c r="O31" s="84">
        <f ca="1">_xlfn.NORM.DIST(N31,0+0.03^3,AVERAGE('Valuation Model'!$K$22:$L$22),FALSE)/scaling</f>
        <v>2.0188965476758323E-2</v>
      </c>
    </row>
    <row r="32" spans="4:15" s="79" customFormat="1" ht="11.65">
      <c r="J32" s="86">
        <f t="shared" si="4"/>
        <v>0.54000000000000015</v>
      </c>
      <c r="K32" s="84">
        <f t="shared" ca="1" si="1"/>
        <v>73.440000000000026</v>
      </c>
      <c r="L32" s="87" t="str">
        <f t="shared" ca="1" si="2"/>
        <v/>
      </c>
      <c r="M32" s="85" t="str">
        <f t="shared" ca="1" si="3"/>
        <v/>
      </c>
      <c r="N32" s="84">
        <f ca="1">LN('Histogram Data'!K32+0.01)-LN(price)</f>
        <v>-0.55542536129973019</v>
      </c>
      <c r="O32" s="84">
        <f ca="1">_xlfn.NORM.DIST(N32,0+0.03^3,AVERAGE('Valuation Model'!$K$22:$L$22),FALSE)/scaling</f>
        <v>2.8324121809575265E-2</v>
      </c>
    </row>
    <row r="33" spans="10:15" s="79" customFormat="1" ht="11.65">
      <c r="J33" s="86">
        <f t="shared" si="4"/>
        <v>0.56000000000000016</v>
      </c>
      <c r="K33" s="84">
        <f t="shared" ca="1" si="1"/>
        <v>76.160000000000025</v>
      </c>
      <c r="L33" s="87" t="str">
        <f t="shared" ca="1" si="2"/>
        <v/>
      </c>
      <c r="M33" s="85" t="str">
        <f t="shared" ca="1" si="3"/>
        <v/>
      </c>
      <c r="N33" s="84">
        <f ca="1">LN('Histogram Data'!K33+0.01)-LN(price)</f>
        <v>-0.51906257953491952</v>
      </c>
      <c r="O33" s="84">
        <f ca="1">_xlfn.NORM.DIST(N33,0+0.03^3,AVERAGE('Valuation Model'!$K$22:$L$22),FALSE)/scaling</f>
        <v>3.8433570280630866E-2</v>
      </c>
    </row>
    <row r="34" spans="10:15" s="79" customFormat="1" ht="11.65">
      <c r="J34" s="86">
        <f t="shared" si="4"/>
        <v>0.58000000000000018</v>
      </c>
      <c r="K34" s="84">
        <f t="shared" ca="1" si="1"/>
        <v>78.880000000000024</v>
      </c>
      <c r="L34" s="87">
        <f t="shared" ca="1" si="2"/>
        <v>6.25E-2</v>
      </c>
      <c r="M34" s="85" t="str">
        <f t="shared" ca="1" si="3"/>
        <v/>
      </c>
      <c r="N34" s="84">
        <f ca="1">LN('Histogram Data'!K34+0.01)-LN(price)</f>
        <v>-0.48397578681261866</v>
      </c>
      <c r="O34" s="84">
        <f ca="1">_xlfn.NORM.DIST(N34,0+0.03^3,AVERAGE('Valuation Model'!$K$22:$L$22),FALSE)/scaling</f>
        <v>5.0595157815675973E-2</v>
      </c>
    </row>
    <row r="35" spans="10:15" s="79" customFormat="1" ht="11.65">
      <c r="J35" s="86">
        <f t="shared" si="4"/>
        <v>0.6000000000000002</v>
      </c>
      <c r="K35" s="84">
        <f t="shared" ca="1" si="1"/>
        <v>81.600000000000023</v>
      </c>
      <c r="L35" s="87" t="str">
        <f t="shared" ca="1" si="2"/>
        <v/>
      </c>
      <c r="M35" s="85" t="str">
        <f t="shared" ca="1" si="3"/>
        <v/>
      </c>
      <c r="N35" s="84">
        <f ca="1">LN('Histogram Data'!K35+0.01)-LN(price)</f>
        <v>-0.45007846043846467</v>
      </c>
      <c r="O35" s="84">
        <f ca="1">_xlfn.NORM.DIST(N35,0+0.03^3,AVERAGE('Valuation Model'!$K$22:$L$22),FALSE)/scaling</f>
        <v>6.4792788859760003E-2</v>
      </c>
    </row>
    <row r="36" spans="10:15" s="79" customFormat="1" ht="11.65">
      <c r="J36" s="86">
        <f t="shared" si="4"/>
        <v>0.62000000000000022</v>
      </c>
      <c r="K36" s="84">
        <f t="shared" ca="1" si="1"/>
        <v>84.320000000000036</v>
      </c>
      <c r="L36" s="87" t="str">
        <f t="shared" ca="1" si="2"/>
        <v/>
      </c>
      <c r="M36" s="85" t="str">
        <f t="shared" ca="1" si="3"/>
        <v/>
      </c>
      <c r="N36" s="84">
        <f ca="1">LN('Histogram Data'!K36+0.01)-LN(price)</f>
        <v>-0.41729259033306665</v>
      </c>
      <c r="O36" s="84">
        <f ca="1">_xlfn.NORM.DIST(N36,0+0.03^3,AVERAGE('Valuation Model'!$K$22:$L$22),FALSE)/scaling</f>
        <v>8.0910611905228927E-2</v>
      </c>
    </row>
    <row r="37" spans="10:15" s="79" customFormat="1" ht="11.65">
      <c r="J37" s="86">
        <f t="shared" si="4"/>
        <v>0.64000000000000024</v>
      </c>
      <c r="K37" s="84">
        <f t="shared" ca="1" si="1"/>
        <v>87.040000000000035</v>
      </c>
      <c r="L37" s="87">
        <f t="shared" ca="1" si="2"/>
        <v>6.25E-2</v>
      </c>
      <c r="M37" s="85" t="str">
        <f t="shared" ca="1" si="3"/>
        <v/>
      </c>
      <c r="N37" s="84">
        <f ca="1">LN('Histogram Data'!K37+0.01)-LN(price)</f>
        <v>-0.38554759770541835</v>
      </c>
      <c r="O37" s="84">
        <f ca="1">_xlfn.NORM.DIST(N37,0+0.03^3,AVERAGE('Valuation Model'!$K$22:$L$22),FALSE)/scaling</f>
        <v>9.8735146344910582E-2</v>
      </c>
    </row>
    <row r="38" spans="10:15" s="79" customFormat="1" ht="11.65">
      <c r="J38" s="86">
        <f t="shared" si="4"/>
        <v>0.66000000000000025</v>
      </c>
      <c r="K38" s="84">
        <f t="shared" ca="1" si="1"/>
        <v>89.760000000000034</v>
      </c>
      <c r="L38" s="87" t="str">
        <f t="shared" ca="1" si="2"/>
        <v/>
      </c>
      <c r="M38" s="85" t="str">
        <f t="shared" ca="1" si="3"/>
        <v/>
      </c>
      <c r="N38" s="84">
        <f ca="1">LN('Histogram Data'!K38+0.01)-LN(price)</f>
        <v>-0.35477942015101949</v>
      </c>
      <c r="O38" s="84">
        <f ca="1">_xlfn.NORM.DIST(N38,0+0.03^3,AVERAGE('Valuation Model'!$K$22:$L$22),FALSE)/scaling</f>
        <v>0.11796477540218923</v>
      </c>
    </row>
    <row r="39" spans="10:15" s="79" customFormat="1" ht="11.65">
      <c r="J39" s="86">
        <f t="shared" si="4"/>
        <v>0.68000000000000027</v>
      </c>
      <c r="K39" s="84">
        <f t="shared" ca="1" si="1"/>
        <v>92.480000000000032</v>
      </c>
      <c r="L39" s="87" t="str">
        <f t="shared" ca="1" si="2"/>
        <v/>
      </c>
      <c r="M39" s="85" t="str">
        <f t="shared" ca="1" si="3"/>
        <v/>
      </c>
      <c r="N39" s="84">
        <f ca="1">LN('Histogram Data'!K39+0.01)-LN(price)</f>
        <v>-0.32492973335344821</v>
      </c>
      <c r="O39" s="84">
        <f ca="1">_xlfn.NORM.DIST(N39,0+0.03^3,AVERAGE('Valuation Model'!$K$22:$L$22),FALSE)/scaling</f>
        <v>0.13822530597136112</v>
      </c>
    </row>
    <row r="40" spans="10:15" s="79" customFormat="1" ht="11.65">
      <c r="J40" s="86">
        <f t="shared" si="4"/>
        <v>0.70000000000000029</v>
      </c>
      <c r="K40" s="84">
        <f t="shared" ca="1" si="1"/>
        <v>95.200000000000045</v>
      </c>
      <c r="L40" s="87">
        <f t="shared" ca="1" si="2"/>
        <v>6.25E-2</v>
      </c>
      <c r="M40" s="85" t="str">
        <f t="shared" ca="1" si="3"/>
        <v/>
      </c>
      <c r="N40" s="84">
        <f ca="1">LN('Histogram Data'!K40+0.01)-LN(price)</f>
        <v>-0.29594528562201639</v>
      </c>
      <c r="O40" s="84">
        <f ca="1">_xlfn.NORM.DIST(N40,0+0.03^3,AVERAGE('Valuation Model'!$K$22:$L$22),FALSE)/scaling</f>
        <v>0.15908983184747671</v>
      </c>
    </row>
    <row r="41" spans="10:15" s="79" customFormat="1" ht="11.65">
      <c r="J41" s="86">
        <f t="shared" si="4"/>
        <v>0.72000000000000031</v>
      </c>
      <c r="K41" s="84">
        <f t="shared" ca="1" si="1"/>
        <v>97.920000000000044</v>
      </c>
      <c r="L41" s="87">
        <f t="shared" ca="1" si="2"/>
        <v>6.25E-2</v>
      </c>
      <c r="M41" s="85" t="str">
        <f t="shared" ca="1" si="3"/>
        <v/>
      </c>
      <c r="N41" s="84">
        <f ca="1">LN('Histogram Data'!K41+0.01)-LN(price)</f>
        <v>-0.26777732618691363</v>
      </c>
      <c r="O41" s="84">
        <f ca="1">_xlfn.NORM.DIST(N41,0+0.03^3,AVERAGE('Valuation Model'!$K$22:$L$22),FALSE)/scaling</f>
        <v>0.1801009434242771</v>
      </c>
    </row>
    <row r="42" spans="10:15" s="79" customFormat="1" ht="11.65">
      <c r="J42" s="86">
        <f t="shared" si="4"/>
        <v>0.74000000000000032</v>
      </c>
      <c r="K42" s="84">
        <f t="shared" ca="1" si="1"/>
        <v>100.64000000000004</v>
      </c>
      <c r="L42" s="87" t="str">
        <f t="shared" ca="1" si="2"/>
        <v/>
      </c>
      <c r="M42" s="85" t="str">
        <f t="shared" ca="1" si="3"/>
        <v/>
      </c>
      <c r="N42" s="84">
        <f ca="1">LN('Histogram Data'!K42+0.01)-LN(price)</f>
        <v>-0.24038111183381616</v>
      </c>
      <c r="O42" s="84">
        <f ca="1">_xlfn.NORM.DIST(N42,0+0.03^3,AVERAGE('Valuation Model'!$K$22:$L$22),FALSE)/scaling</f>
        <v>0.20079337429380478</v>
      </c>
    </row>
    <row r="43" spans="10:15" s="79" customFormat="1" ht="11.65">
      <c r="J43" s="86">
        <f t="shared" si="4"/>
        <v>0.76000000000000034</v>
      </c>
      <c r="K43" s="84">
        <f t="shared" ca="1" si="1"/>
        <v>103.36000000000004</v>
      </c>
      <c r="L43" s="87">
        <f t="shared" ca="1" si="2"/>
        <v>6.25E-2</v>
      </c>
      <c r="M43" s="85" t="str">
        <f t="shared" ca="1" si="3"/>
        <v/>
      </c>
      <c r="N43" s="84">
        <f ca="1">LN('Histogram Data'!K43+0.01)-LN(price)</f>
        <v>-0.21371547933922308</v>
      </c>
      <c r="O43" s="84">
        <f ca="1">_xlfn.NORM.DIST(N43,0+0.03^3,AVERAGE('Valuation Model'!$K$22:$L$22),FALSE)/scaling</f>
        <v>0.22071540801486389</v>
      </c>
    </row>
    <row r="44" spans="10:15" s="79" customFormat="1" ht="11.65">
      <c r="J44" s="86">
        <f t="shared" si="4"/>
        <v>0.78000000000000036</v>
      </c>
      <c r="K44" s="84">
        <f t="shared" ca="1" si="1"/>
        <v>106.08000000000006</v>
      </c>
      <c r="L44" s="87">
        <f t="shared" ca="1" si="2"/>
        <v>6.25E-2</v>
      </c>
      <c r="M44" s="85" t="str">
        <f t="shared" ca="1" si="3"/>
        <v/>
      </c>
      <c r="N44" s="84">
        <f ca="1">LN('Histogram Data'!K44+0.01)-LN(price)</f>
        <v>-0.18774247344843609</v>
      </c>
      <c r="O44" s="84">
        <f ca="1">_xlfn.NORM.DIST(N44,0+0.03^3,AVERAGE('Valuation Model'!$K$22:$L$22),FALSE)/scaling</f>
        <v>0.23944772112730664</v>
      </c>
    </row>
    <row r="45" spans="10:15" s="79" customFormat="1" ht="11.65">
      <c r="J45" s="86">
        <f t="shared" si="4"/>
        <v>0.80000000000000038</v>
      </c>
      <c r="K45" s="84">
        <f t="shared" ca="1" si="1"/>
        <v>108.80000000000005</v>
      </c>
      <c r="L45" s="87" t="str">
        <f t="shared" ca="1" si="2"/>
        <v/>
      </c>
      <c r="M45" s="85" t="str">
        <f t="shared" ca="1" si="3"/>
        <v/>
      </c>
      <c r="N45" s="84">
        <f ca="1">LN('Histogram Data'!K45+0.01)-LN(price)</f>
        <v>-0.16242702195669523</v>
      </c>
      <c r="O45" s="84">
        <f ca="1">_xlfn.NORM.DIST(N45,0+0.03^3,AVERAGE('Valuation Model'!$K$22:$L$22),FALSE)/scaling</f>
        <v>0.256618747414601</v>
      </c>
    </row>
    <row r="46" spans="10:15" s="79" customFormat="1" ht="11.65">
      <c r="J46" s="86">
        <f t="shared" si="4"/>
        <v>0.8200000000000004</v>
      </c>
      <c r="K46" s="84">
        <f t="shared" ca="1" si="1"/>
        <v>111.52000000000005</v>
      </c>
      <c r="L46" s="87" t="str">
        <f t="shared" ca="1" si="2"/>
        <v/>
      </c>
      <c r="M46" s="85" t="str">
        <f t="shared" ca="1" si="3"/>
        <v/>
      </c>
      <c r="N46" s="84">
        <f ca="1">LN('Histogram Data'!K46+0.01)-LN(price)</f>
        <v>-0.13773665091317078</v>
      </c>
      <c r="O46" s="84">
        <f ca="1">_xlfn.NORM.DIST(N46,0+0.03^3,AVERAGE('Valuation Model'!$K$22:$L$22),FALSE)/scaling</f>
        <v>0.27191605918496992</v>
      </c>
    </row>
    <row r="47" spans="10:15" s="79" customFormat="1" ht="11.65">
      <c r="J47" s="86">
        <f t="shared" si="4"/>
        <v>0.84000000000000041</v>
      </c>
      <c r="K47" s="84">
        <f t="shared" ca="1" si="1"/>
        <v>114.24000000000005</v>
      </c>
      <c r="L47" s="87" t="str">
        <f t="shared" ca="1" si="2"/>
        <v/>
      </c>
      <c r="M47" s="85" t="str">
        <f t="shared" ca="1" si="3"/>
        <v/>
      </c>
      <c r="N47" s="84">
        <f ca="1">LN('Histogram Data'!K47+0.01)-LN(price)</f>
        <v>-0.11364123414530258</v>
      </c>
      <c r="O47" s="84">
        <f ca="1">_xlfn.NORM.DIST(N47,0+0.03^3,AVERAGE('Valuation Model'!$K$22:$L$22),FALSE)/scaling</f>
        <v>0.28509363337493904</v>
      </c>
    </row>
    <row r="48" spans="10:15" s="79" customFormat="1" ht="11.65">
      <c r="J48" s="86">
        <f t="shared" si="4"/>
        <v>0.86000000000000043</v>
      </c>
      <c r="K48" s="84">
        <f t="shared" ca="1" si="1"/>
        <v>116.96000000000006</v>
      </c>
      <c r="L48" s="87">
        <f t="shared" ca="1" si="2"/>
        <v>6.25E-2</v>
      </c>
      <c r="M48" s="85" t="str">
        <f t="shared" ca="1" si="3"/>
        <v/>
      </c>
      <c r="N48" s="84">
        <f ca="1">LN('Histogram Data'!K48+0.01)-LN(price)</f>
        <v>-9.0112772257000984E-2</v>
      </c>
      <c r="O48" s="84">
        <f ca="1">_xlfn.NORM.DIST(N48,0+0.03^3,AVERAGE('Valuation Model'!$K$22:$L$22),FALSE)/scaling</f>
        <v>0.29597517766475501</v>
      </c>
    </row>
    <row r="49" spans="10:15" s="79" customFormat="1" ht="11.65">
      <c r="J49" s="86">
        <f t="shared" si="4"/>
        <v>0.88000000000000045</v>
      </c>
      <c r="K49" s="84">
        <f t="shared" ca="1" si="1"/>
        <v>119.68000000000006</v>
      </c>
      <c r="L49" s="87" t="str">
        <f t="shared" ca="1" si="2"/>
        <v/>
      </c>
      <c r="M49" s="85" t="str">
        <f t="shared" ca="1" si="3"/>
        <v/>
      </c>
      <c r="N49" s="84">
        <f ca="1">LN('Histogram Data'!K49+0.01)-LN(price)</f>
        <v>-6.712519703433717E-2</v>
      </c>
      <c r="O49" s="84">
        <f ca="1">_xlfn.NORM.DIST(N49,0+0.03^3,AVERAGE('Valuation Model'!$K$22:$L$22),FALSE)/scaling</f>
        <v>0.30445392204220811</v>
      </c>
    </row>
    <row r="50" spans="10:15" s="79" customFormat="1" ht="11.65">
      <c r="J50" s="86">
        <f t="shared" si="4"/>
        <v>0.90000000000000047</v>
      </c>
      <c r="K50" s="84">
        <f t="shared" ca="1" si="1"/>
        <v>122.40000000000006</v>
      </c>
      <c r="L50" s="87" t="str">
        <f t="shared" ca="1" si="2"/>
        <v/>
      </c>
      <c r="M50" s="85" t="str">
        <f t="shared" ca="1" si="3"/>
        <v/>
      </c>
      <c r="N50" s="84">
        <f ca="1">LN('Histogram Data'!K50+0.01)-LN(price)</f>
        <v>-4.4654197832195486E-2</v>
      </c>
      <c r="O50" s="84">
        <f ca="1">_xlfn.NORM.DIST(N50,0+0.03^3,AVERAGE('Valuation Model'!$K$22:$L$22),FALSE)/scaling</f>
        <v>0.31048943277470564</v>
      </c>
    </row>
    <row r="51" spans="10:15" s="79" customFormat="1" ht="11.65">
      <c r="J51" s="86">
        <f t="shared" si="4"/>
        <v>0.92000000000000048</v>
      </c>
      <c r="K51" s="84">
        <f t="shared" ca="1" si="1"/>
        <v>125.12000000000006</v>
      </c>
      <c r="L51" s="87">
        <f t="shared" ca="1" si="2"/>
        <v>6.25E-2</v>
      </c>
      <c r="M51" s="85" t="str">
        <f t="shared" ca="1" si="3"/>
        <v/>
      </c>
      <c r="N51" s="84">
        <f ca="1">LN('Histogram Data'!K51+0.01)-LN(price)</f>
        <v>-2.2677067042653043E-2</v>
      </c>
      <c r="O51" s="84">
        <f ca="1">_xlfn.NORM.DIST(N51,0+0.03^3,AVERAGE('Valuation Model'!$K$22:$L$22),FALSE)/scaling</f>
        <v>0.31410208484809149</v>
      </c>
    </row>
    <row r="52" spans="10:15" s="79" customFormat="1" ht="11.65">
      <c r="J52" s="86">
        <f t="shared" si="4"/>
        <v>0.9400000000000005</v>
      </c>
      <c r="K52" s="84">
        <f t="shared" ca="1" si="1"/>
        <v>127.84000000000007</v>
      </c>
      <c r="L52" s="87" t="str">
        <f t="shared" ca="1" si="2"/>
        <v/>
      </c>
      <c r="M52" s="85" t="str">
        <f t="shared" ca="1" si="3"/>
        <v/>
      </c>
      <c r="N52" s="84">
        <f ca="1">LN('Histogram Data'!K52+0.01)-LN(price)</f>
        <v>-1.1725621824210108E-3</v>
      </c>
      <c r="O52" s="84">
        <f ca="1">_xlfn.NORM.DIST(N52,0+0.03^3,AVERAGE('Valuation Model'!$K$22:$L$22),FALSE)/scaling</f>
        <v>0.31536584682286267</v>
      </c>
    </row>
    <row r="53" spans="10:15" s="79" customFormat="1" ht="11.65">
      <c r="J53" s="86">
        <f t="shared" si="4"/>
        <v>0.96000000000000052</v>
      </c>
      <c r="K53" s="84">
        <f t="shared" ca="1" si="1"/>
        <v>130.56000000000006</v>
      </c>
      <c r="L53" s="87" t="str">
        <f t="shared" ca="1" si="2"/>
        <v/>
      </c>
      <c r="M53" s="85" t="str">
        <f t="shared" ca="1" si="3"/>
        <v/>
      </c>
      <c r="N53" s="84">
        <f ca="1">LN('Histogram Data'!K53+0.01)-LN(price)</f>
        <v>1.9879217500331059E-2</v>
      </c>
      <c r="O53" s="84">
        <f ca="1">_xlfn.NORM.DIST(N53,0+0.03^3,AVERAGE('Valuation Model'!$K$22:$L$22),FALSE)/scaling</f>
        <v>0.31440000231824944</v>
      </c>
    </row>
    <row r="54" spans="10:15" s="79" customFormat="1" ht="11.65">
      <c r="J54" s="86">
        <f t="shared" si="4"/>
        <v>0.98000000000000054</v>
      </c>
      <c r="K54" s="84">
        <f t="shared" ca="1" si="1"/>
        <v>133.28000000000009</v>
      </c>
      <c r="L54" s="87" t="str">
        <f t="shared" ca="1" si="2"/>
        <v/>
      </c>
      <c r="M54" s="85" t="str">
        <f t="shared" ca="1" si="3"/>
        <v/>
      </c>
      <c r="N54" s="84">
        <f ca="1">LN('Histogram Data'!K54+0.01)-LN(price)</f>
        <v>4.0496941696310351E-2</v>
      </c>
      <c r="O54" s="84">
        <f ca="1">_xlfn.NORM.DIST(N54,0+0.03^3,AVERAGE('Valuation Model'!$K$22:$L$22),FALSE)/scaling</f>
        <v>0.3113603688972536</v>
      </c>
    </row>
    <row r="55" spans="10:15">
      <c r="J55" s="86">
        <f t="shared" si="4"/>
        <v>1.0000000000000004</v>
      </c>
      <c r="K55" s="84">
        <f t="shared" ca="1" si="1"/>
        <v>136.00000000000006</v>
      </c>
      <c r="L55" s="87" t="str">
        <f t="shared" ca="1" si="2"/>
        <v/>
      </c>
      <c r="M55" s="85" t="str">
        <f t="shared" ca="1" si="3"/>
        <v/>
      </c>
      <c r="N55" s="84">
        <f ca="1">LN('Histogram Data'!K55+0.01)-LN(price)</f>
        <v>6.069814852504507E-2</v>
      </c>
      <c r="O55" s="84">
        <f ca="1">_xlfn.NORM.DIST(N55,0+0.03^3,AVERAGE('Valuation Model'!$K$22:$L$22),FALSE)/scaling</f>
        <v>0.30643049089385238</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11</vt:i4>
      </vt:variant>
      <vt:variant>
        <vt:lpstr>Charts</vt:lpstr>
      </vt:variant>
      <vt:variant>
        <vt:i4>13</vt:i4>
      </vt:variant>
      <vt:variant>
        <vt:lpstr>Named Ranges</vt:lpstr>
      </vt:variant>
      <vt:variant>
        <vt:i4>44</vt:i4>
      </vt:variant>
    </vt:vector>
  </HeadingPairs>
  <TitlesOfParts>
    <vt:vector size="68" baseType="lpstr">
      <vt:lpstr>Valuation Model</vt:lpstr>
      <vt:lpstr>Company Analysis</vt:lpstr>
      <vt:lpstr>Segments</vt:lpstr>
      <vt:lpstr>Revenue Model</vt:lpstr>
      <vt:lpstr>Update Comparisons</vt:lpstr>
      <vt:lpstr>Profit Study</vt:lpstr>
      <vt:lpstr>Profit Study (2)</vt:lpstr>
      <vt:lpstr>Graphing Data</vt:lpstr>
      <vt:lpstr>Histogram Data</vt:lpstr>
      <vt:lpstr>GDP Data</vt:lpstr>
      <vt:lpstr>Disclaimer</vt:lpstr>
      <vt:lpstr>Freight Revenue Comparisons</vt:lpstr>
      <vt:lpstr>LT OCP Chart</vt:lpstr>
      <vt:lpstr>LT OCP Chart Details</vt:lpstr>
      <vt:lpstr>LT CAGR Chart</vt:lpstr>
      <vt:lpstr>Revenue History</vt:lpstr>
      <vt:lpstr>Revenue Chart</vt:lpstr>
      <vt:lpstr>Profit History</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2017-12-09T16:06:27Z</dcterms:modified>
</cp:coreProperties>
</file>