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MIC - Macquarie Infrastructure Corporation/"/>
    </mc:Choice>
  </mc:AlternateContent>
  <xr:revisionPtr revIDLastSave="483" documentId="8_{5C1B0FA3-2895-48CD-9ABA-954D8FF8FCBB}" xr6:coauthVersionLast="21" xr6:coauthVersionMax="21" xr10:uidLastSave="{FAE275DE-AE1C-4700-9BF6-A884301CEE79}"/>
  <bookViews>
    <workbookView xWindow="480" yWindow="0" windowWidth="18690" windowHeight="15" tabRatio="825" xr2:uid="{00000000-000D-0000-FFFF-FFFF00000000}"/>
  </bookViews>
  <sheets>
    <sheet name="Valuation Model" sheetId="1" r:id="rId1"/>
    <sheet name="Company Analysis" sheetId="19" r:id="rId2"/>
    <sheet name="Funding Chart" sheetId="33" r:id="rId3"/>
    <sheet name="Funding" sheetId="30" r:id="rId4"/>
    <sheet name="Shares Out" sheetId="35" r:id="rId5"/>
    <sheet name="Graphing Data" sheetId="21" r:id="rId6"/>
    <sheet name="Revenue Chart" sheetId="22" r:id="rId7"/>
    <sheet name="Profit Chart" sheetId="23" r:id="rId8"/>
    <sheet name="ECF to OCP Chart" sheetId="25" r:id="rId9"/>
    <sheet name="ECF Breakdown Chart" sheetId="26" r:id="rId10"/>
    <sheet name="FCFO Chart" sheetId="27" r:id="rId11"/>
    <sheet name="Investment Efficacy Chart" sheetId="28" r:id="rId12"/>
    <sheet name="Valuation Histogram" sheetId="16" r:id="rId13"/>
    <sheet name="Histogram Data" sheetId="17" r:id="rId14"/>
    <sheet name="GDP Data" sheetId="20" r:id="rId15"/>
    <sheet name="Disclaimer" sheetId="18" r:id="rId16"/>
    <sheet name="PSW_Sheet" sheetId="11" state="veryHidden" r:id="rId17"/>
    <sheet name="_SSC" sheetId="12" state="veryHidden" r:id="rId18"/>
    <sheet name="_Options" sheetId="13" state="veryHidden" r:id="rId19"/>
  </sheets>
  <externalReferences>
    <externalReference r:id="rId20"/>
    <externalReference r:id="rId21"/>
    <externalReference r:id="rId22"/>
    <externalReference r:id="rId23"/>
    <externalReference r:id="rId24"/>
    <externalReference r:id="rId25"/>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3" hidden="1">'Histogram Data'!$B$4:$L$54</definedName>
    <definedName name="_xlnm._FilterDatabase" localSheetId="4" hidden="1">'Shares Out'!$A$1:$C$92</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O101" i="35" l="1"/>
  <c r="O102" i="35"/>
  <c r="O103" i="35"/>
  <c r="O104" i="35"/>
  <c r="O100" i="35"/>
  <c r="H35" i="30"/>
  <c r="I35" i="30"/>
  <c r="J35" i="30"/>
  <c r="K35" i="30"/>
  <c r="G35" i="30"/>
  <c r="M125" i="35"/>
  <c r="M126" i="35"/>
  <c r="M127" i="35"/>
  <c r="M128" i="35"/>
  <c r="M129" i="35"/>
  <c r="M130" i="35"/>
  <c r="M131" i="35"/>
  <c r="M132" i="35"/>
  <c r="M133" i="35"/>
  <c r="M124" i="35"/>
  <c r="L125" i="35"/>
  <c r="L126" i="35"/>
  <c r="L127" i="35"/>
  <c r="L128" i="35"/>
  <c r="L129" i="35"/>
  <c r="L130" i="35"/>
  <c r="L131" i="35"/>
  <c r="L132" i="35"/>
  <c r="L133" i="35"/>
  <c r="L124" i="35"/>
  <c r="J106" i="35"/>
  <c r="K106" i="35"/>
  <c r="B29" i="30"/>
  <c r="L29" i="30" s="1"/>
  <c r="M29" i="30" s="1"/>
  <c r="C31" i="30"/>
  <c r="D31" i="30"/>
  <c r="E31" i="30"/>
  <c r="L31" i="30" s="1"/>
  <c r="F31" i="30"/>
  <c r="G31" i="30"/>
  <c r="H31" i="30"/>
  <c r="I31" i="30"/>
  <c r="I32" i="30" s="1"/>
  <c r="J31" i="30"/>
  <c r="K31" i="30"/>
  <c r="B31" i="30"/>
  <c r="C34" i="30"/>
  <c r="D34" i="30"/>
  <c r="E34" i="30"/>
  <c r="F34" i="30"/>
  <c r="G34" i="30"/>
  <c r="H34" i="30"/>
  <c r="I34" i="30"/>
  <c r="J34" i="30"/>
  <c r="K34" i="30"/>
  <c r="B34" i="30"/>
  <c r="L30" i="30"/>
  <c r="L28" i="30"/>
  <c r="B118" i="35"/>
  <c r="B117" i="35"/>
  <c r="B116" i="35"/>
  <c r="B114" i="35"/>
  <c r="B113" i="35"/>
  <c r="N96" i="35"/>
  <c r="N97" i="35"/>
  <c r="N98" i="35"/>
  <c r="N99" i="35"/>
  <c r="N100" i="35"/>
  <c r="N101" i="35"/>
  <c r="N102" i="35"/>
  <c r="N103" i="35"/>
  <c r="N104" i="35"/>
  <c r="N95" i="35"/>
  <c r="K95" i="35"/>
  <c r="L95" i="35"/>
  <c r="K96" i="35"/>
  <c r="L96" i="35"/>
  <c r="K97" i="35"/>
  <c r="L97" i="35"/>
  <c r="K98" i="35"/>
  <c r="L98" i="35"/>
  <c r="K99" i="35"/>
  <c r="L99" i="35"/>
  <c r="K100" i="35"/>
  <c r="L100" i="35"/>
  <c r="K101" i="35"/>
  <c r="L101" i="35"/>
  <c r="K102" i="35"/>
  <c r="L102" i="35"/>
  <c r="K103" i="35"/>
  <c r="L103" i="35"/>
  <c r="K104" i="35"/>
  <c r="L104" i="35"/>
  <c r="J96" i="35"/>
  <c r="J97" i="35"/>
  <c r="J98" i="35"/>
  <c r="J99" i="35"/>
  <c r="J100" i="35"/>
  <c r="J101" i="35"/>
  <c r="J102" i="35"/>
  <c r="J103" i="35"/>
  <c r="J104" i="35"/>
  <c r="J95" i="35"/>
  <c r="F96" i="35"/>
  <c r="M96" i="35" s="1"/>
  <c r="F97" i="35"/>
  <c r="M97" i="35" s="1"/>
  <c r="F98" i="35"/>
  <c r="M98" i="35" s="1"/>
  <c r="F99" i="35"/>
  <c r="M99" i="35" s="1"/>
  <c r="F100" i="35"/>
  <c r="M100" i="35" s="1"/>
  <c r="F101" i="35"/>
  <c r="M101" i="35" s="1"/>
  <c r="F102" i="35"/>
  <c r="M102" i="35" s="1"/>
  <c r="F103" i="35"/>
  <c r="M103" i="35" s="1"/>
  <c r="F104" i="35"/>
  <c r="M104" i="35" s="1"/>
  <c r="F95" i="35"/>
  <c r="M95" i="35" s="1"/>
  <c r="C2" i="35"/>
  <c r="C3" i="35"/>
  <c r="C4" i="35"/>
  <c r="C5" i="35"/>
  <c r="C6" i="35"/>
  <c r="C7" i="35"/>
  <c r="C8" i="35"/>
  <c r="C9" i="35"/>
  <c r="C11" i="35"/>
  <c r="C12" i="35"/>
  <c r="C13" i="35"/>
  <c r="C14" i="35"/>
  <c r="C15" i="35"/>
  <c r="C16" i="35"/>
  <c r="C17" i="35"/>
  <c r="C18" i="35"/>
  <c r="C19" i="35"/>
  <c r="C20" i="35"/>
  <c r="C21" i="35"/>
  <c r="C22" i="35"/>
  <c r="C23" i="35"/>
  <c r="C24" i="35"/>
  <c r="C25" i="35"/>
  <c r="C26" i="35"/>
  <c r="C27" i="35"/>
  <c r="C28" i="35"/>
  <c r="C29" i="35"/>
  <c r="C30" i="35"/>
  <c r="C31" i="35"/>
  <c r="C32" i="35"/>
  <c r="C33" i="35"/>
  <c r="C34" i="35"/>
  <c r="C35" i="35"/>
  <c r="C36" i="35"/>
  <c r="C37" i="35"/>
  <c r="C38" i="35"/>
  <c r="C39" i="35"/>
  <c r="C40" i="35"/>
  <c r="C41" i="35"/>
  <c r="C42" i="35"/>
  <c r="C43" i="35"/>
  <c r="C44" i="35"/>
  <c r="C45" i="35"/>
  <c r="C46" i="35"/>
  <c r="C47" i="35"/>
  <c r="C48" i="35"/>
  <c r="C49" i="35"/>
  <c r="C50" i="35"/>
  <c r="C51" i="35"/>
  <c r="C52" i="35"/>
  <c r="C53" i="35"/>
  <c r="C54" i="35"/>
  <c r="C55" i="35"/>
  <c r="C56" i="35"/>
  <c r="C57" i="35"/>
  <c r="C58" i="35"/>
  <c r="C59" i="35"/>
  <c r="C60" i="35"/>
  <c r="C61" i="35"/>
  <c r="C62" i="35"/>
  <c r="C63" i="35"/>
  <c r="C64" i="35"/>
  <c r="C65" i="35"/>
  <c r="C66" i="35"/>
  <c r="C67" i="35"/>
  <c r="C68" i="35"/>
  <c r="C69" i="35"/>
  <c r="C70" i="35"/>
  <c r="C71" i="35"/>
  <c r="C72" i="35"/>
  <c r="C73" i="35"/>
  <c r="C74" i="35"/>
  <c r="C75" i="35"/>
  <c r="C76" i="35"/>
  <c r="C77" i="35"/>
  <c r="C78" i="35"/>
  <c r="C79" i="35"/>
  <c r="C80" i="35"/>
  <c r="C81" i="35"/>
  <c r="C82" i="35"/>
  <c r="C83" i="35"/>
  <c r="C84" i="35"/>
  <c r="C85" i="35"/>
  <c r="C86" i="35"/>
  <c r="C87" i="35"/>
  <c r="C88" i="35"/>
  <c r="C89" i="35"/>
  <c r="C90" i="35"/>
  <c r="C91" i="35"/>
  <c r="C92" i="35"/>
  <c r="C30" i="30"/>
  <c r="D30" i="30"/>
  <c r="E30" i="30"/>
  <c r="F30" i="30"/>
  <c r="G30" i="30"/>
  <c r="H30" i="30"/>
  <c r="I30" i="30"/>
  <c r="J30" i="30"/>
  <c r="K30" i="30"/>
  <c r="B30" i="30"/>
  <c r="C29" i="30"/>
  <c r="D29" i="30"/>
  <c r="E29" i="30"/>
  <c r="F29" i="30"/>
  <c r="G29" i="30"/>
  <c r="H29" i="30"/>
  <c r="I29" i="30"/>
  <c r="J29" i="30"/>
  <c r="K29" i="30"/>
  <c r="C25" i="30"/>
  <c r="D25" i="30"/>
  <c r="E25" i="30"/>
  <c r="F25" i="30"/>
  <c r="G25" i="30"/>
  <c r="H25" i="30"/>
  <c r="I25" i="30"/>
  <c r="J25" i="30"/>
  <c r="K25" i="30"/>
  <c r="B25" i="30"/>
  <c r="C32" i="30"/>
  <c r="D32" i="30"/>
  <c r="G32" i="30"/>
  <c r="H32" i="30"/>
  <c r="K32" i="30"/>
  <c r="C28" i="30"/>
  <c r="D28" i="30"/>
  <c r="E28" i="30"/>
  <c r="F28" i="30"/>
  <c r="G28" i="30"/>
  <c r="H28" i="30"/>
  <c r="I28" i="30"/>
  <c r="J28" i="30"/>
  <c r="K28" i="30"/>
  <c r="E32" i="30"/>
  <c r="B28" i="30"/>
  <c r="C24" i="30"/>
  <c r="D24" i="30"/>
  <c r="E24" i="30"/>
  <c r="F24" i="30"/>
  <c r="G24" i="30"/>
  <c r="H24" i="30"/>
  <c r="I24" i="30"/>
  <c r="J24" i="30"/>
  <c r="K24" i="30"/>
  <c r="B24" i="30"/>
  <c r="C23" i="30"/>
  <c r="D23" i="30"/>
  <c r="E23" i="30"/>
  <c r="F23" i="30"/>
  <c r="G23" i="30"/>
  <c r="H23" i="30"/>
  <c r="I23" i="30"/>
  <c r="J23" i="30"/>
  <c r="K23" i="30"/>
  <c r="B23" i="30"/>
  <c r="C18" i="30"/>
  <c r="D18" i="30"/>
  <c r="E18" i="30"/>
  <c r="F18" i="30"/>
  <c r="G18" i="30"/>
  <c r="H18" i="30"/>
  <c r="I18" i="30"/>
  <c r="J18" i="30"/>
  <c r="K18" i="30"/>
  <c r="C19" i="30"/>
  <c r="D19" i="30"/>
  <c r="E19" i="30"/>
  <c r="F19" i="30"/>
  <c r="G19" i="30"/>
  <c r="H19" i="30"/>
  <c r="I19" i="30"/>
  <c r="J19" i="30"/>
  <c r="K19" i="30"/>
  <c r="C20" i="30"/>
  <c r="D20" i="30"/>
  <c r="E20" i="30"/>
  <c r="F20" i="30"/>
  <c r="G20" i="30"/>
  <c r="H20" i="30"/>
  <c r="I20" i="30"/>
  <c r="J20" i="30"/>
  <c r="K20" i="30"/>
  <c r="C21" i="30"/>
  <c r="D21" i="30"/>
  <c r="E21" i="30"/>
  <c r="F21" i="30"/>
  <c r="G21" i="30"/>
  <c r="H21" i="30"/>
  <c r="I21" i="30"/>
  <c r="J21" i="30"/>
  <c r="K21" i="30"/>
  <c r="C22" i="30"/>
  <c r="D22" i="30"/>
  <c r="E22" i="30"/>
  <c r="F22" i="30"/>
  <c r="G22" i="30"/>
  <c r="H22" i="30"/>
  <c r="I22" i="30"/>
  <c r="J22" i="30"/>
  <c r="K22" i="30"/>
  <c r="B22" i="30"/>
  <c r="B21" i="30"/>
  <c r="B20" i="30"/>
  <c r="B19" i="30"/>
  <c r="B12" i="30"/>
  <c r="B18" i="30" s="1"/>
  <c r="M28" i="30" l="1"/>
  <c r="M30" i="30"/>
  <c r="J32" i="30"/>
  <c r="F32" i="30"/>
  <c r="B32" i="30"/>
  <c r="L32" i="30" s="1"/>
  <c r="K10" i="19" l="1"/>
  <c r="E26" i="19"/>
  <c r="F26" i="19"/>
  <c r="G26" i="19"/>
  <c r="H26" i="19"/>
  <c r="I26" i="19"/>
  <c r="K26" i="19"/>
  <c r="K25" i="19"/>
  <c r="K22" i="19"/>
  <c r="J26" i="19"/>
  <c r="J10" i="19"/>
  <c r="E10" i="19"/>
  <c r="F10" i="19"/>
  <c r="G10" i="19"/>
  <c r="H10" i="19"/>
  <c r="I10" i="19"/>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F28" i="19"/>
  <c r="J28" i="19"/>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19" i="21"/>
  <c r="B22" i="21"/>
  <c r="F19"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29" i="19" l="1"/>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9" i="17"/>
  <c r="E6" i="17"/>
  <c r="E7" i="17"/>
  <c r="E12" i="17"/>
  <c r="E11" i="17"/>
  <c r="E10" i="17"/>
  <c r="E8"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<sst xmlns="http://schemas.openxmlformats.org/spreadsheetml/2006/main" count="438" uniqueCount="229">
  <si>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</si>
  <si>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</si>
  <si>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</si>
  <si>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</si>
  <si>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</si>
  <si>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</si>
  <si>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</si>
  <si>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</si>
  <si>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</si>
  <si>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</si>
  <si>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</si>
  <si>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</si>
  <si>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</si>
  <si>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</si>
  <si>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</si>
  <si>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</si>
  <si>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</si>
  <si>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</si>
  <si>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</si>
  <si>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</si>
  <si>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</si>
  <si>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</si>
  <si>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</si>
  <si>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</si>
  <si>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</si>
  <si>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</si>
  <si>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</si>
  <si>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</si>
  <si>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</si>
  <si>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</si>
  <si>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</si>
  <si>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</si>
  <si>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</si>
  <si>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</si>
  <si>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</si>
  <si>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</si>
  <si>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</si>
  <si>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</si>
  <si>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</si>
  <si>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</si>
  <si>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</si>
  <si>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</si>
  <si>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</si>
  <si>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</si>
  <si>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</si>
  <si>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</si>
  <si>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</si>
  <si>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</si>
  <si>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</si>
  <si>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</si>
  <si>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</si>
  <si>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</si>
  <si>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</si>
  <si>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</si>
  <si>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</si>
  <si>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</si>
  <si>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</si>
  <si>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</si>
  <si>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</si>
  <si>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</si>
  <si>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</si>
  <si>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</si>
  <si>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</si>
  <si>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</si>
  <si>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</si>
  <si>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</si>
  <si>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</si>
  <si>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</si>
  <si>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</si>
  <si>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</si>
  <si>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</si>
  <si>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</si>
  <si>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</si>
  <si>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</si>
  <si>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</si>
  <si>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</si>
  <si>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</si>
  <si>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</si>
  <si>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</si>
  <si>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</si>
  <si>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</si>
  <si>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</si>
  <si>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</si>
  <si>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</si>
  <si>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</si>
  <si>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</si>
  <si>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</si>
  <si>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</si>
  <si>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</si>
  <si>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</si>
  <si>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</si>
  <si>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</si>
  <si>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</si>
  <si>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</si>
  <si>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</si>
  <si>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</si>
  <si>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</si>
  <si>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</si>
  <si>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</si>
  <si>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</si>
  <si>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</si>
  <si>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</si>
  <si>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</si>
  <si>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</si>
  <si>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</si>
  <si>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</si>
  <si>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</si>
  <si>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</si>
  <si>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</si>
  <si>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</si>
  <si>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</si>
  <si>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</si>
  <si>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</si>
  <si>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</si>
  <si>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</si>
  <si>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</si>
  <si>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</si>
  <si>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</si>
  <si>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</si>
  <si>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</si>
  <si>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</si>
  <si>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</si>
  <si>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</si>
  <si>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</si>
  <si>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</si>
  <si>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</si>
  <si>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</si>
  <si>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</si>
  <si>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</si>
  <si>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</si>
  <si>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</si>
  <si>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</si>
  <si>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</si>
  <si>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</si>
  <si>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</si>
  <si>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</si>
  <si>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</si>
  <si>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</si>
  <si>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</si>
  <si>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</si>
  <si>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</si>
  <si>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</si>
  <si>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</si>
  <si>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</si>
  <si>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</si>
  <si>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</si>
  <si>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</si>
  <si>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</si>
  <si>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</si>
  <si>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</si>
  <si>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</si>
  <si>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</si>
  <si>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</si>
  <si>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</si>
  <si>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</si>
  <si>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</si>
  <si>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</si>
  <si>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</si>
  <si>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</si>
  <si>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</si>
  <si>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</si>
  <si>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</si>
  <si>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</si>
  <si>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</si>
  <si>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</si>
  <si>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</si>
  <si>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</si>
  <si>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</si>
  <si>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</si>
  <si>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</si>
  <si>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</si>
  <si>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</si>
  <si>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</si>
  <si>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</si>
  <si>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</si>
  <si>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</si>
  <si>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</si>
  <si>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</si>
  <si>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</si>
  <si>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</si>
  <si>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</si>
  <si>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</si>
  <si>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</si>
  <si>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</si>
  <si>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</si>
  <si>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</si>
  <si>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</si>
  <si>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</si>
  <si>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</si>
  <si>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</si>
  <si>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</si>
  <si>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Macquarie Infrastructure Corporation</t>
  </si>
  <si>
    <t>MIC</t>
  </si>
  <si>
    <t>LT Debt Issued</t>
  </si>
  <si>
    <t>LT Debt Redeemed</t>
  </si>
  <si>
    <t>Issuance of Shares</t>
  </si>
  <si>
    <t>Dividends Paid</t>
  </si>
  <si>
    <t>Contributions from Non-Controlling</t>
  </si>
  <si>
    <t>Purchase of Non-Controlling</t>
  </si>
  <si>
    <t>Distributions to Non-Controlling</t>
  </si>
  <si>
    <t>Offering Costs</t>
  </si>
  <si>
    <t>Debt finance Costs</t>
  </si>
  <si>
    <t>Proceeds from Convertibles</t>
  </si>
  <si>
    <t>Change in Restricted Cash</t>
  </si>
  <si>
    <t>Capital Lease Obligations</t>
  </si>
  <si>
    <t>Net (payments) proceeds ST Debt</t>
  </si>
  <si>
    <t>Distributions to LLC Holders</t>
  </si>
  <si>
    <t>Debt Funding (Net)</t>
  </si>
  <si>
    <t>Equity Funding (incl. LLC)</t>
  </si>
  <si>
    <t>Dividends</t>
  </si>
  <si>
    <t>Non-Controlling (Net)</t>
  </si>
  <si>
    <t>Capital Leases</t>
  </si>
  <si>
    <t>OCP</t>
  </si>
  <si>
    <t>Debt Funding</t>
  </si>
  <si>
    <t>Net ECF (ex-ADSB)</t>
  </si>
  <si>
    <t>Net ECF</t>
  </si>
  <si>
    <t>Equity Funding</t>
  </si>
  <si>
    <t>Net Funding / Investment</t>
  </si>
  <si>
    <t>Macquarie Infrastructure Shares Outstanding</t>
  </si>
  <si>
    <t>ECF</t>
  </si>
  <si>
    <t>Shares Out</t>
  </si>
  <si>
    <t>Div/Share</t>
  </si>
  <si>
    <t>OCF</t>
  </si>
  <si>
    <t>MAINX</t>
  </si>
  <si>
    <t>Book Value</t>
  </si>
  <si>
    <t>Long Term Debt</t>
  </si>
  <si>
    <t>Interest Expense</t>
  </si>
  <si>
    <t>Int / Share</t>
  </si>
  <si>
    <t>OCP /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</si>
</sst>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6">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167" fontId="0" fillId="0" borderId="0" xfId="3" applyNumberFormat="1" applyFont="1"/>
    <xf numFmtId="14" fontId="0" fillId="0" borderId="6" xfId="0" applyNumberFormat="1" applyBorder="1"/>
    <xf numFmtId="165" fontId="0" fillId="0" borderId="6" xfId="1" applyNumberFormat="1" applyFont="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worksheet" Target="worksheets/sheet10.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2.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9.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8.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hartsheet" Target="chartsheets/sheet6.xml"/><Relationship Id="rId24" Type="http://schemas.openxmlformats.org/officeDocument/2006/relationships/externalLink" Target="externalLinks/externalLink5.xml"/><Relationship Id="rId5" Type="http://schemas.openxmlformats.org/officeDocument/2006/relationships/worksheet" Target="worksheets/sheet4.xml"/><Relationship Id="rId15" Type="http://schemas.openxmlformats.org/officeDocument/2006/relationships/worksheet" Target="worksheets/sheet7.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chartsheet" Target="chartsheets/sheet5.xml"/><Relationship Id="rId19" Type="http://schemas.openxmlformats.org/officeDocument/2006/relationships/worksheet" Target="worksheets/sheet11.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6.xml"/><Relationship Id="rId22" Type="http://schemas.openxmlformats.org/officeDocument/2006/relationships/externalLink" Target="externalLinks/externalLink3.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Macquarie Infrastructure Investments vs Funding Sources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Funding!$A$28</c:f>
              <c:strCache>
                <c:ptCount val="1"/>
                <c:pt idx="0">
                  <c:v>Debt Funding</c:v>
                </c:pt>
              </c:strCache>
            </c:strRef>
          </c:tx>
          <c:spPr>
            <a:solidFill>
              <a:srgbClr val="575A5D"/>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Funding!$B$28:$K$28</c:f>
              <c:numCache>
                <c:formatCode>_(* #,##0_);_(* \(#,##0\);_(* "-"??_);_(@_)</c:formatCode>
                <c:ptCount val="10"/>
                <c:pt idx="0">
                  <c:v>422756</c:v>
                </c:pt>
                <c:pt idx="1">
                  <c:v>99271</c:v>
                </c:pt>
                <c:pt idx="2">
                  <c:v>-117021</c:v>
                </c:pt>
                <c:pt idx="3">
                  <c:v>-74081</c:v>
                </c:pt>
                <c:pt idx="4">
                  <c:v>-18328</c:v>
                </c:pt>
                <c:pt idx="5">
                  <c:v>-47612</c:v>
                </c:pt>
                <c:pt idx="6">
                  <c:v>-237114</c:v>
                </c:pt>
                <c:pt idx="7">
                  <c:v>199311</c:v>
                </c:pt>
                <c:pt idx="8">
                  <c:v>-91799</c:v>
                </c:pt>
                <c:pt idx="9">
                  <c:v>219880</c:v>
                </c:pt>
              </c:numCache>
            </c:numRef>
          </c:val>
          <c:extLst>
            <c:ext xmlns:c16="http://schemas.microsoft.com/office/drawing/2014/chart" uri="{C3380CC4-5D6E-409C-BE32-E72D297353CC}">
              <c16:uniqueId val="{00000000-EE27-4DC3-9A6B-414850B330B7}"/>
            </c:ext>
          </c:extLst>
        </c:ser>
        <c:ser>
          <c:idx val="1"/>
          <c:order val="1"/>
          <c:tx>
            <c:strRef>
              <c:f>Funding!$A$29</c:f>
              <c:strCache>
                <c:ptCount val="1"/>
                <c:pt idx="0">
                  <c:v>Equity Funding</c:v>
                </c:pt>
              </c:strCache>
            </c:strRef>
          </c:tx>
          <c:spPr>
            <a:solidFill>
              <a:srgbClr val="00B050"/>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Funding!$B$29:$K$29</c:f>
              <c:numCache>
                <c:formatCode>_(* #,##0_);_(* \(#,##0\);_(* "-"??_);_(@_)</c:formatCode>
                <c:ptCount val="10"/>
                <c:pt idx="0">
                  <c:v>143434</c:v>
                </c:pt>
                <c:pt idx="1">
                  <c:v>-95574</c:v>
                </c:pt>
                <c:pt idx="2">
                  <c:v>0</c:v>
                </c:pt>
                <c:pt idx="3">
                  <c:v>0</c:v>
                </c:pt>
                <c:pt idx="4">
                  <c:v>-27618</c:v>
                </c:pt>
                <c:pt idx="5">
                  <c:v>-112487</c:v>
                </c:pt>
                <c:pt idx="6">
                  <c:v>339554</c:v>
                </c:pt>
                <c:pt idx="7">
                  <c:v>739452</c:v>
                </c:pt>
                <c:pt idx="8">
                  <c:v>475449</c:v>
                </c:pt>
                <c:pt idx="9">
                  <c:v>11022</c:v>
                </c:pt>
              </c:numCache>
            </c:numRef>
          </c:val>
          <c:extLst>
            <c:ext xmlns:c16="http://schemas.microsoft.com/office/drawing/2014/chart" uri="{C3380CC4-5D6E-409C-BE32-E72D297353CC}">
              <c16:uniqueId val="{00000001-EE27-4DC3-9A6B-414850B330B7}"/>
            </c:ext>
          </c:extLst>
        </c:ser>
        <c:ser>
          <c:idx val="2"/>
          <c:order val="2"/>
          <c:tx>
            <c:strRef>
              <c:f>Funding!$A$30</c:f>
              <c:strCache>
                <c:ptCount val="1"/>
                <c:pt idx="0">
                  <c:v>OCP</c:v>
                </c:pt>
              </c:strCache>
            </c:strRef>
          </c:tx>
          <c:spPr>
            <a:solidFill>
              <a:srgbClr val="0049AA"/>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Funding!$B$30:$K$30</c:f>
              <c:numCache>
                <c:formatCode>_(* #,##0_);_(* \(#,##0\);_(* "-"??_);_(@_)</c:formatCode>
                <c:ptCount val="10"/>
                <c:pt idx="0">
                  <c:v>44561.847905001589</c:v>
                </c:pt>
                <c:pt idx="1">
                  <c:v>35830.371610664733</c:v>
                </c:pt>
                <c:pt idx="2">
                  <c:v>33712.974539999996</c:v>
                </c:pt>
                <c:pt idx="3">
                  <c:v>27972.565810664706</c:v>
                </c:pt>
                <c:pt idx="4">
                  <c:v>-2153.4588114191993</c:v>
                </c:pt>
                <c:pt idx="5">
                  <c:v>116163.22508683069</c:v>
                </c:pt>
                <c:pt idx="6">
                  <c:v>19814.414494999994</c:v>
                </c:pt>
                <c:pt idx="7">
                  <c:v>142388.47682258132</c:v>
                </c:pt>
                <c:pt idx="8">
                  <c:v>241878.43363966691</c:v>
                </c:pt>
                <c:pt idx="9">
                  <c:v>433820.00000000006</c:v>
                </c:pt>
              </c:numCache>
            </c:numRef>
          </c:val>
          <c:extLst>
            <c:ext xmlns:c16="http://schemas.microsoft.com/office/drawing/2014/chart" uri="{C3380CC4-5D6E-409C-BE32-E72D297353CC}">
              <c16:uniqueId val="{00000002-EE27-4DC3-9A6B-414850B330B7}"/>
            </c:ext>
          </c:extLst>
        </c:ser>
        <c:ser>
          <c:idx val="3"/>
          <c:order val="3"/>
          <c:tx>
            <c:strRef>
              <c:f>Funding!$A$31</c:f>
              <c:strCache>
                <c:ptCount val="1"/>
                <c:pt idx="0">
                  <c:v>Net ECF (ex-ADSB)</c:v>
                </c:pt>
              </c:strCache>
            </c:strRef>
          </c:tx>
          <c:spPr>
            <a:solidFill>
              <a:srgbClr val="FF0000"/>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Funding!$B$31:$K$31</c:f>
              <c:numCache>
                <c:formatCode>_(* #,##0_);_(* \(#,##0\);_(* "-"??_);_(@_)</c:formatCode>
                <c:ptCount val="10"/>
                <c:pt idx="0">
                  <c:v>-587890.84790500172</c:v>
                </c:pt>
                <c:pt idx="1">
                  <c:v>2617.628389335252</c:v>
                </c:pt>
                <c:pt idx="2">
                  <c:v>48443.025460000004</c:v>
                </c:pt>
                <c:pt idx="3">
                  <c:v>39870.434189335305</c:v>
                </c:pt>
                <c:pt idx="4">
                  <c:v>45163.458811419201</c:v>
                </c:pt>
                <c:pt idx="5">
                  <c:v>155069.7749131693</c:v>
                </c:pt>
                <c:pt idx="6">
                  <c:v>64354.585504999988</c:v>
                </c:pt>
                <c:pt idx="7">
                  <c:v>-1024178.4768225814</c:v>
                </c:pt>
                <c:pt idx="8">
                  <c:v>-326125.43363966688</c:v>
                </c:pt>
                <c:pt idx="9">
                  <c:v>-247993</c:v>
                </c:pt>
              </c:numCache>
            </c:numRef>
          </c:val>
          <c:extLst>
            <c:ext xmlns:c16="http://schemas.microsoft.com/office/drawing/2014/chart" uri="{C3380CC4-5D6E-409C-BE32-E72D297353CC}">
              <c16:uniqueId val="{00000003-EE27-4DC3-9A6B-414850B330B7}"/>
            </c:ext>
          </c:extLst>
        </c:ser>
        <c:dLbls>
          <c:showLegendKey val="0"/>
          <c:showVal val="0"/>
          <c:showCatName val="0"/>
          <c:showSerName val="0"/>
          <c:showPercent val="0"/>
          <c:showBubbleSize val="0"/>
        </c:dLbls>
        <c:gapWidth val="150"/>
        <c:overlap val="100"/>
        <c:axId val="720868080"/>
        <c:axId val="720860536"/>
      </c:barChart>
      <c:lineChart>
        <c:grouping val="standard"/>
        <c:varyColors val="0"/>
        <c:ser>
          <c:idx val="4"/>
          <c:order val="4"/>
          <c:tx>
            <c:strRef>
              <c:f>Funding!$A$32</c:f>
              <c:strCache>
                <c:ptCount val="1"/>
                <c:pt idx="0">
                  <c:v>Net Funding / Investment</c:v>
                </c:pt>
              </c:strCache>
            </c:strRef>
          </c:tx>
          <c:spPr>
            <a:ln w="22225" cap="rnd">
              <a:solidFill>
                <a:sysClr val="windowText" lastClr="000000"/>
              </a:solidFill>
              <a:round/>
            </a:ln>
            <a:effectLst/>
          </c:spPr>
          <c:marker>
            <c:symbol val="none"/>
          </c:marker>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Funding!$B$32:$K$32</c:f>
              <c:numCache>
                <c:formatCode>_(* #,##0_);_(* \(#,##0\);_(* "-"??_);_(@_)</c:formatCode>
                <c:ptCount val="10"/>
                <c:pt idx="0">
                  <c:v>22860.999999999884</c:v>
                </c:pt>
                <c:pt idx="1">
                  <c:v>42144.999999999985</c:v>
                </c:pt>
                <c:pt idx="2">
                  <c:v>-34865</c:v>
                </c:pt>
                <c:pt idx="3">
                  <c:v>-6237.9999999999927</c:v>
                </c:pt>
                <c:pt idx="4">
                  <c:v>-2936</c:v>
                </c:pt>
                <c:pt idx="5">
                  <c:v>111133.99999999999</c:v>
                </c:pt>
                <c:pt idx="6">
                  <c:v>186608.99999999997</c:v>
                </c:pt>
                <c:pt idx="7">
                  <c:v>56973</c:v>
                </c:pt>
                <c:pt idx="8">
                  <c:v>299403</c:v>
                </c:pt>
                <c:pt idx="9">
                  <c:v>416729</c:v>
                </c:pt>
              </c:numCache>
            </c:numRef>
          </c:val>
          <c:smooth val="0"/>
          <c:extLst>
            <c:ext xmlns:c16="http://schemas.microsoft.com/office/drawing/2014/chart" uri="{C3380CC4-5D6E-409C-BE32-E72D297353CC}">
              <c16:uniqueId val="{00000004-EE27-4DC3-9A6B-414850B330B7}"/>
            </c:ext>
          </c:extLst>
        </c:ser>
        <c:dLbls>
          <c:showLegendKey val="0"/>
          <c:showVal val="0"/>
          <c:showCatName val="0"/>
          <c:showSerName val="0"/>
          <c:showPercent val="0"/>
          <c:showBubbleSize val="0"/>
        </c:dLbls>
        <c:marker val="1"/>
        <c:smooth val="0"/>
        <c:axId val="720868080"/>
        <c:axId val="720860536"/>
      </c:lineChart>
      <c:catAx>
        <c:axId val="7208680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720860536"/>
        <c:crosses val="autoZero"/>
        <c:auto val="1"/>
        <c:lblAlgn val="ctr"/>
        <c:lblOffset val="100"/>
        <c:noMultiLvlLbl val="0"/>
      </c:catAx>
      <c:valAx>
        <c:axId val="720860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720868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Macquarie Infrastructure Corporation (MIC)</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1.3</c:v>
                </c:pt>
                <c:pt idx="2">
                  <c:v>2.6</c:v>
                </c:pt>
                <c:pt idx="3">
                  <c:v>3.9</c:v>
                </c:pt>
                <c:pt idx="4">
                  <c:v>5.2</c:v>
                </c:pt>
                <c:pt idx="5">
                  <c:v>6.5</c:v>
                </c:pt>
                <c:pt idx="6">
                  <c:v>7.8000000000000007</c:v>
                </c:pt>
                <c:pt idx="7">
                  <c:v>9.1000000000000014</c:v>
                </c:pt>
                <c:pt idx="8">
                  <c:v>10.4</c:v>
                </c:pt>
                <c:pt idx="9">
                  <c:v>11.7</c:v>
                </c:pt>
                <c:pt idx="10">
                  <c:v>12.999999999999998</c:v>
                </c:pt>
                <c:pt idx="11">
                  <c:v>14.299999999999999</c:v>
                </c:pt>
                <c:pt idx="12">
                  <c:v>15.599999999999998</c:v>
                </c:pt>
                <c:pt idx="13">
                  <c:v>16.899999999999999</c:v>
                </c:pt>
                <c:pt idx="14">
                  <c:v>18.2</c:v>
                </c:pt>
                <c:pt idx="15">
                  <c:v>19.5</c:v>
                </c:pt>
                <c:pt idx="16">
                  <c:v>20.8</c:v>
                </c:pt>
                <c:pt idx="17">
                  <c:v>22.1</c:v>
                </c:pt>
                <c:pt idx="18">
                  <c:v>23.400000000000002</c:v>
                </c:pt>
                <c:pt idx="19">
                  <c:v>24.700000000000003</c:v>
                </c:pt>
                <c:pt idx="20">
                  <c:v>26.000000000000004</c:v>
                </c:pt>
                <c:pt idx="21">
                  <c:v>27.300000000000008</c:v>
                </c:pt>
                <c:pt idx="22">
                  <c:v>28.600000000000009</c:v>
                </c:pt>
                <c:pt idx="23">
                  <c:v>29.900000000000009</c:v>
                </c:pt>
                <c:pt idx="24">
                  <c:v>31.20000000000001</c:v>
                </c:pt>
                <c:pt idx="25">
                  <c:v>32.500000000000007</c:v>
                </c:pt>
                <c:pt idx="26">
                  <c:v>33.800000000000011</c:v>
                </c:pt>
                <c:pt idx="27">
                  <c:v>35.100000000000009</c:v>
                </c:pt>
                <c:pt idx="28">
                  <c:v>36.400000000000013</c:v>
                </c:pt>
                <c:pt idx="29">
                  <c:v>37.70000000000001</c:v>
                </c:pt>
                <c:pt idx="30">
                  <c:v>39.000000000000014</c:v>
                </c:pt>
                <c:pt idx="31">
                  <c:v>40.300000000000011</c:v>
                </c:pt>
                <c:pt idx="32">
                  <c:v>41.600000000000016</c:v>
                </c:pt>
                <c:pt idx="33">
                  <c:v>42.90000000000002</c:v>
                </c:pt>
                <c:pt idx="34">
                  <c:v>44.200000000000017</c:v>
                </c:pt>
                <c:pt idx="35">
                  <c:v>45.500000000000021</c:v>
                </c:pt>
                <c:pt idx="36">
                  <c:v>46.800000000000018</c:v>
                </c:pt>
                <c:pt idx="37">
                  <c:v>48.100000000000023</c:v>
                </c:pt>
                <c:pt idx="38">
                  <c:v>49.40000000000002</c:v>
                </c:pt>
                <c:pt idx="39">
                  <c:v>50.700000000000024</c:v>
                </c:pt>
                <c:pt idx="40">
                  <c:v>52.000000000000021</c:v>
                </c:pt>
                <c:pt idx="41">
                  <c:v>53.300000000000026</c:v>
                </c:pt>
                <c:pt idx="42">
                  <c:v>54.60000000000003</c:v>
                </c:pt>
                <c:pt idx="43">
                  <c:v>55.900000000000027</c:v>
                </c:pt>
                <c:pt idx="44">
                  <c:v>57.200000000000031</c:v>
                </c:pt>
                <c:pt idx="45">
                  <c:v>58.500000000000028</c:v>
                </c:pt>
                <c:pt idx="46">
                  <c:v>59.800000000000033</c:v>
                </c:pt>
                <c:pt idx="47">
                  <c:v>61.10000000000003</c:v>
                </c:pt>
                <c:pt idx="48">
                  <c:v>62.400000000000034</c:v>
                </c:pt>
                <c:pt idx="49">
                  <c:v>63.700000000000038</c:v>
                </c:pt>
                <c:pt idx="50">
                  <c:v>65.000000000000028</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6.25E-2</c:v>
                </c:pt>
                <c:pt idx="26">
                  <c:v>0</c:v>
                </c:pt>
                <c:pt idx="27">
                  <c:v>0</c:v>
                </c:pt>
                <c:pt idx="28">
                  <c:v>6.25E-2</c:v>
                </c:pt>
                <c:pt idx="29">
                  <c:v>0</c:v>
                </c:pt>
                <c:pt idx="30">
                  <c:v>6.25E-2</c:v>
                </c:pt>
                <c:pt idx="31">
                  <c:v>6.25E-2</c:v>
                </c:pt>
                <c:pt idx="32">
                  <c:v>0</c:v>
                </c:pt>
                <c:pt idx="33">
                  <c:v>6.25E-2</c:v>
                </c:pt>
                <c:pt idx="34">
                  <c:v>0</c:v>
                </c:pt>
                <c:pt idx="35">
                  <c:v>6.25E-2</c:v>
                </c:pt>
                <c:pt idx="36">
                  <c:v>0</c:v>
                </c:pt>
                <c:pt idx="37">
                  <c:v>0</c:v>
                </c:pt>
                <c:pt idx="38">
                  <c:v>6.25E-2</c:v>
                </c:pt>
                <c:pt idx="39">
                  <c:v>6.25E-2</c:v>
                </c:pt>
                <c:pt idx="40">
                  <c:v>0</c:v>
                </c:pt>
                <c:pt idx="41">
                  <c:v>0</c:v>
                </c:pt>
                <c:pt idx="42">
                  <c:v>6.25E-2</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1.3</c:v>
                </c:pt>
                <c:pt idx="2">
                  <c:v>2.6</c:v>
                </c:pt>
                <c:pt idx="3">
                  <c:v>3.9</c:v>
                </c:pt>
                <c:pt idx="4">
                  <c:v>5.2</c:v>
                </c:pt>
                <c:pt idx="5">
                  <c:v>6.5</c:v>
                </c:pt>
                <c:pt idx="6">
                  <c:v>7.8000000000000007</c:v>
                </c:pt>
                <c:pt idx="7">
                  <c:v>9.1000000000000014</c:v>
                </c:pt>
                <c:pt idx="8">
                  <c:v>10.4</c:v>
                </c:pt>
                <c:pt idx="9">
                  <c:v>11.7</c:v>
                </c:pt>
                <c:pt idx="10">
                  <c:v>12.999999999999998</c:v>
                </c:pt>
                <c:pt idx="11">
                  <c:v>14.299999999999999</c:v>
                </c:pt>
                <c:pt idx="12">
                  <c:v>15.599999999999998</c:v>
                </c:pt>
                <c:pt idx="13">
                  <c:v>16.899999999999999</c:v>
                </c:pt>
                <c:pt idx="14">
                  <c:v>18.2</c:v>
                </c:pt>
                <c:pt idx="15">
                  <c:v>19.5</c:v>
                </c:pt>
                <c:pt idx="16">
                  <c:v>20.8</c:v>
                </c:pt>
                <c:pt idx="17">
                  <c:v>22.1</c:v>
                </c:pt>
                <c:pt idx="18">
                  <c:v>23.400000000000002</c:v>
                </c:pt>
                <c:pt idx="19">
                  <c:v>24.700000000000003</c:v>
                </c:pt>
                <c:pt idx="20">
                  <c:v>26.000000000000004</c:v>
                </c:pt>
                <c:pt idx="21">
                  <c:v>27.300000000000008</c:v>
                </c:pt>
                <c:pt idx="22">
                  <c:v>28.600000000000009</c:v>
                </c:pt>
                <c:pt idx="23">
                  <c:v>29.900000000000009</c:v>
                </c:pt>
                <c:pt idx="24">
                  <c:v>31.20000000000001</c:v>
                </c:pt>
                <c:pt idx="25">
                  <c:v>32.500000000000007</c:v>
                </c:pt>
                <c:pt idx="26">
                  <c:v>33.800000000000011</c:v>
                </c:pt>
                <c:pt idx="27">
                  <c:v>35.100000000000009</c:v>
                </c:pt>
                <c:pt idx="28">
                  <c:v>36.400000000000013</c:v>
                </c:pt>
                <c:pt idx="29">
                  <c:v>37.70000000000001</c:v>
                </c:pt>
                <c:pt idx="30">
                  <c:v>39.000000000000014</c:v>
                </c:pt>
                <c:pt idx="31">
                  <c:v>40.300000000000011</c:v>
                </c:pt>
                <c:pt idx="32">
                  <c:v>41.600000000000016</c:v>
                </c:pt>
                <c:pt idx="33">
                  <c:v>42.90000000000002</c:v>
                </c:pt>
                <c:pt idx="34">
                  <c:v>44.200000000000017</c:v>
                </c:pt>
                <c:pt idx="35">
                  <c:v>45.500000000000021</c:v>
                </c:pt>
                <c:pt idx="36">
                  <c:v>46.800000000000018</c:v>
                </c:pt>
                <c:pt idx="37">
                  <c:v>48.100000000000023</c:v>
                </c:pt>
                <c:pt idx="38">
                  <c:v>49.40000000000002</c:v>
                </c:pt>
                <c:pt idx="39">
                  <c:v>50.700000000000024</c:v>
                </c:pt>
                <c:pt idx="40">
                  <c:v>52.000000000000021</c:v>
                </c:pt>
                <c:pt idx="41">
                  <c:v>53.300000000000026</c:v>
                </c:pt>
                <c:pt idx="42">
                  <c:v>54.60000000000003</c:v>
                </c:pt>
                <c:pt idx="43">
                  <c:v>55.900000000000027</c:v>
                </c:pt>
                <c:pt idx="44">
                  <c:v>57.200000000000031</c:v>
                </c:pt>
                <c:pt idx="45">
                  <c:v>58.500000000000028</c:v>
                </c:pt>
                <c:pt idx="46">
                  <c:v>59.800000000000033</c:v>
                </c:pt>
                <c:pt idx="47">
                  <c:v>61.10000000000003</c:v>
                </c:pt>
                <c:pt idx="48">
                  <c:v>62.400000000000034</c:v>
                </c:pt>
                <c:pt idx="49">
                  <c:v>63.700000000000038</c:v>
                </c:pt>
                <c:pt idx="50">
                  <c:v>65.000000000000028</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5.8420361168993229E-152</c:v>
                </c:pt>
                <c:pt idx="1">
                  <c:v>4.1960340289870345E-12</c:v>
                </c:pt>
                <c:pt idx="2">
                  <c:v>2.4269912377539965E-5</c:v>
                </c:pt>
                <c:pt idx="3">
                  <c:v>7.0912460748302816E-3</c:v>
                </c:pt>
                <c:pt idx="4">
                  <c:v>8.4851264937529286E-2</c:v>
                </c:pt>
                <c:pt idx="5">
                  <c:v>0.23984670086888632</c:v>
                </c:pt>
                <c:pt idx="6">
                  <c:v>0.31530442642984952</c:v>
                </c:pt>
                <c:pt idx="7">
                  <c:v>0.2652609691476297</c:v>
                </c:pt>
                <c:pt idx="8">
                  <c:v>0.16927982428448793</c:v>
                </c:pt>
                <c:pt idx="9">
                  <c:v>9.0425714935430376E-2</c:v>
                </c:pt>
                <c:pt idx="10">
                  <c:v>4.2958702948161398E-2</c:v>
                </c:pt>
                <c:pt idx="11">
                  <c:v>1.8872766037545428E-2</c:v>
                </c:pt>
                <c:pt idx="12">
                  <c:v>7.8697013467988724E-3</c:v>
                </c:pt>
                <c:pt idx="13">
                  <c:v>3.1708913573392727E-3</c:v>
                </c:pt>
                <c:pt idx="14">
                  <c:v>1.2501116501100668E-3</c:v>
                </c:pt>
                <c:pt idx="15">
                  <c:v>4.8656992123906079E-4</c:v>
                </c:pt>
                <c:pt idx="16">
                  <c:v>1.8818291394417426E-4</c:v>
                </c:pt>
                <c:pt idx="17">
                  <c:v>7.2661742889823606E-5</c:v>
                </c:pt>
                <c:pt idx="18">
                  <c:v>2.8108094523183537E-5</c:v>
                </c:pt>
                <c:pt idx="19">
                  <c:v>1.0921215692950008E-5</c:v>
                </c:pt>
                <c:pt idx="20">
                  <c:v>4.2701881195585843E-6</c:v>
                </c:pt>
                <c:pt idx="21">
                  <c:v>1.68253642917788E-6</c:v>
                </c:pt>
                <c:pt idx="22">
                  <c:v>6.6875132099238409E-7</c:v>
                </c:pt>
                <c:pt idx="23">
                  <c:v>2.6832710005723141E-7</c:v>
                </c:pt>
                <c:pt idx="24">
                  <c:v>1.087392174031536E-7</c:v>
                </c:pt>
                <c:pt idx="25">
                  <c:v>4.4522428131346233E-8</c:v>
                </c:pt>
                <c:pt idx="26">
                  <c:v>1.8421944484104386E-8</c:v>
                </c:pt>
                <c:pt idx="27">
                  <c:v>7.703812477440163E-9</c:v>
                </c:pt>
                <c:pt idx="28">
                  <c:v>3.2561589472978145E-9</c:v>
                </c:pt>
                <c:pt idx="29">
                  <c:v>1.3909940294800658E-9</c:v>
                </c:pt>
                <c:pt idx="30">
                  <c:v>6.0053017082516656E-10</c:v>
                </c:pt>
                <c:pt idx="31">
                  <c:v>2.6199262959371832E-10</c:v>
                </c:pt>
                <c:pt idx="32">
                  <c:v>1.1548646734556615E-10</c:v>
                </c:pt>
                <c:pt idx="33">
                  <c:v>5.1427476787967942E-11</c:v>
                </c:pt>
                <c:pt idx="34">
                  <c:v>2.3131790609364655E-11</c:v>
                </c:pt>
                <c:pt idx="35">
                  <c:v>1.0507425952933177E-11</c:v>
                </c:pt>
                <c:pt idx="36">
                  <c:v>4.8192157176572256E-12</c:v>
                </c:pt>
                <c:pt idx="37">
                  <c:v>2.2313471007150582E-12</c:v>
                </c:pt>
                <c:pt idx="38">
                  <c:v>1.0427621145033316E-12</c:v>
                </c:pt>
                <c:pt idx="39">
                  <c:v>4.9175279811969003E-13</c:v>
                </c:pt>
                <c:pt idx="40">
                  <c:v>2.3397430300399921E-13</c:v>
                </c:pt>
                <c:pt idx="41">
                  <c:v>1.1229644409512375E-13</c:v>
                </c:pt>
                <c:pt idx="42">
                  <c:v>5.4357323077699105E-14</c:v>
                </c:pt>
                <c:pt idx="43">
                  <c:v>2.6531585281060419E-14</c:v>
                </c:pt>
                <c:pt idx="44">
                  <c:v>1.3055745384751075E-14</c:v>
                </c:pt>
                <c:pt idx="45">
                  <c:v>6.4758273890012017E-15</c:v>
                </c:pt>
                <c:pt idx="46">
                  <c:v>3.2371842543352091E-15</c:v>
                </c:pt>
                <c:pt idx="47">
                  <c:v>1.6305845148004668E-15</c:v>
                </c:pt>
                <c:pt idx="48">
                  <c:v>8.274655331071483E-16</c:v>
                </c:pt>
                <c:pt idx="49">
                  <c:v>4.2297627099237351E-16</c:v>
                </c:pt>
                <c:pt idx="50">
                  <c:v>2.177570427844661E-16</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'Shares Out'!$G$109</c:f>
              <c:strCache>
                <c:ptCount val="1"/>
                <c:pt idx="0">
                  <c:v>Book Value</c:v>
                </c:pt>
              </c:strCache>
            </c:strRef>
          </c:tx>
          <c:spPr>
            <a:ln w="28575" cap="rnd">
              <a:solidFill>
                <a:schemeClr val="accent1"/>
              </a:solidFill>
              <a:round/>
            </a:ln>
            <a:effectLst/>
          </c:spPr>
          <c:marker>
            <c:symbol val="none"/>
          </c:marker>
          <c:cat>
            <c:numRef>
              <c:f>'Shares Out'!$F$110:$F$119</c:f>
              <c:numCache>
                <c:formatCode>m/d/yyyy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'Shares Out'!$G$110:$G$119</c:f>
              <c:numCache>
                <c:formatCode>General</c:formatCode>
                <c:ptCount val="10"/>
                <c:pt idx="0">
                  <c:v>973.72400000000005</c:v>
                </c:pt>
                <c:pt idx="1">
                  <c:v>628.83799999999997</c:v>
                </c:pt>
                <c:pt idx="2">
                  <c:v>578.52599999999995</c:v>
                </c:pt>
                <c:pt idx="3">
                  <c:v>691.149</c:v>
                </c:pt>
                <c:pt idx="4">
                  <c:v>703.68200000000002</c:v>
                </c:pt>
                <c:pt idx="5">
                  <c:v>655.02800000000002</c:v>
                </c:pt>
                <c:pt idx="6">
                  <c:v>1042.2280000000001</c:v>
                </c:pt>
                <c:pt idx="7">
                  <c:v>2787.163</c:v>
                </c:pt>
                <c:pt idx="8">
                  <c:v>3030.19</c:v>
                </c:pt>
                <c:pt idx="9">
                  <c:v>2952.8939999999998</c:v>
                </c:pt>
              </c:numCache>
            </c:numRef>
          </c:val>
          <c:smooth val="0"/>
          <c:extLst>
            <c:ext xmlns:c16="http://schemas.microsoft.com/office/drawing/2014/chart" uri="{C3380CC4-5D6E-409C-BE32-E72D297353CC}">
              <c16:uniqueId val="{00000000-6D9A-4CBF-81C6-4508965ECD81}"/>
            </c:ext>
          </c:extLst>
        </c:ser>
        <c:ser>
          <c:idx val="1"/>
          <c:order val="1"/>
          <c:tx>
            <c:strRef>
              <c:f>'Shares Out'!$H$109</c:f>
              <c:strCache>
                <c:ptCount val="1"/>
                <c:pt idx="0">
                  <c:v>Long Term Debt</c:v>
                </c:pt>
              </c:strCache>
            </c:strRef>
          </c:tx>
          <c:spPr>
            <a:ln w="28575" cap="rnd">
              <a:solidFill>
                <a:schemeClr val="accent2"/>
              </a:solidFill>
              <a:round/>
            </a:ln>
            <a:effectLst/>
          </c:spPr>
          <c:marker>
            <c:symbol val="none"/>
          </c:marker>
          <c:cat>
            <c:numRef>
              <c:f>'Shares Out'!$F$110:$F$119</c:f>
              <c:numCache>
                <c:formatCode>m/d/yyyy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'Shares Out'!$H$110:$H$119</c:f>
              <c:numCache>
                <c:formatCode>General</c:formatCode>
                <c:ptCount val="10"/>
                <c:pt idx="0">
                  <c:v>1434.7139999999999</c:v>
                </c:pt>
                <c:pt idx="1">
                  <c:v>1331.336</c:v>
                </c:pt>
                <c:pt idx="2">
                  <c:v>1214.0119999999999</c:v>
                </c:pt>
                <c:pt idx="3">
                  <c:v>1140.3789999999999</c:v>
                </c:pt>
                <c:pt idx="4">
                  <c:v>1124.566</c:v>
                </c:pt>
                <c:pt idx="5">
                  <c:v>1163.134</c:v>
                </c:pt>
                <c:pt idx="6">
                  <c:v>994.11</c:v>
                </c:pt>
                <c:pt idx="7">
                  <c:v>2392.5210000000002</c:v>
                </c:pt>
                <c:pt idx="8">
                  <c:v>2786.6239999999998</c:v>
                </c:pt>
                <c:pt idx="9">
                  <c:v>3079.982</c:v>
                </c:pt>
              </c:numCache>
            </c:numRef>
          </c:val>
          <c:smooth val="0"/>
          <c:extLst>
            <c:ext xmlns:c16="http://schemas.microsoft.com/office/drawing/2014/chart" uri="{C3380CC4-5D6E-409C-BE32-E72D297353CC}">
              <c16:uniqueId val="{00000001-6D9A-4CBF-81C6-4508965ECD81}"/>
            </c:ext>
          </c:extLst>
        </c:ser>
        <c:ser>
          <c:idx val="2"/>
          <c:order val="2"/>
          <c:tx>
            <c:strRef>
              <c:f>'Shares Out'!$I$109</c:f>
              <c:strCache>
                <c:ptCount val="1"/>
                <c:pt idx="0">
                  <c:v>OCP</c:v>
                </c:pt>
              </c:strCache>
            </c:strRef>
          </c:tx>
          <c:spPr>
            <a:ln w="28575" cap="rnd">
              <a:solidFill>
                <a:schemeClr val="accent3"/>
              </a:solidFill>
              <a:round/>
            </a:ln>
            <a:effectLst/>
          </c:spPr>
          <c:marker>
            <c:symbol val="none"/>
          </c:marker>
          <c:cat>
            <c:numRef>
              <c:f>'Shares Out'!$F$110:$F$119</c:f>
              <c:numCache>
                <c:formatCode>m/d/yyyy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'Shares Out'!$I$110:$I$119</c:f>
              <c:numCache>
                <c:formatCode>General</c:formatCode>
                <c:ptCount val="10"/>
                <c:pt idx="0">
                  <c:v>44.561847905001585</c:v>
                </c:pt>
                <c:pt idx="1">
                  <c:v>35.830371610664734</c:v>
                </c:pt>
                <c:pt idx="2">
                  <c:v>33.712974539999998</c:v>
                </c:pt>
                <c:pt idx="3">
                  <c:v>27.972565810664705</c:v>
                </c:pt>
                <c:pt idx="4">
                  <c:v>-2.153458811419199</c:v>
                </c:pt>
                <c:pt idx="5">
                  <c:v>116.16322508683069</c:v>
                </c:pt>
                <c:pt idx="6">
                  <c:v>19.814414494999994</c:v>
                </c:pt>
                <c:pt idx="7">
                  <c:v>142.38847682258131</c:v>
                </c:pt>
                <c:pt idx="8">
                  <c:v>241.87843363966692</c:v>
                </c:pt>
                <c:pt idx="9">
                  <c:v>433.82000000000005</c:v>
                </c:pt>
              </c:numCache>
            </c:numRef>
          </c:val>
          <c:smooth val="0"/>
          <c:extLst>
            <c:ext xmlns:c16="http://schemas.microsoft.com/office/drawing/2014/chart" uri="{C3380CC4-5D6E-409C-BE32-E72D297353CC}">
              <c16:uniqueId val="{00000002-6D9A-4CBF-81C6-4508965ECD81}"/>
            </c:ext>
          </c:extLst>
        </c:ser>
        <c:dLbls>
          <c:showLegendKey val="0"/>
          <c:showVal val="0"/>
          <c:showCatName val="0"/>
          <c:showSerName val="0"/>
          <c:showPercent val="0"/>
          <c:showBubbleSize val="0"/>
        </c:dLbls>
        <c:smooth val="0"/>
        <c:axId val="650037200"/>
        <c:axId val="650039496"/>
      </c:lineChart>
      <c:dateAx>
        <c:axId val="65003720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39496"/>
        <c:crosses val="autoZero"/>
        <c:auto val="1"/>
        <c:lblOffset val="100"/>
        <c:baseTimeUnit val="years"/>
      </c:dateAx>
      <c:valAx>
        <c:axId val="650039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3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Macquarie Infrastructure Interest Payments vs OCP</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'Shares Out'!$L$109</c:f>
              <c:strCache>
                <c:ptCount val="1"/>
                <c:pt idx="0">
                  <c:v>Interest Expense</c:v>
                </c:pt>
              </c:strCache>
            </c:strRef>
          </c:tx>
          <c:spPr>
            <a:ln w="28575" cap="rnd">
              <a:solidFill>
                <a:srgbClr val="575A5D"/>
              </a:solidFill>
              <a:round/>
            </a:ln>
            <a:effectLst/>
          </c:spPr>
          <c:marker>
            <c:symbol val="none"/>
          </c:marker>
          <c:cat>
            <c:numRef>
              <c:f>'Shares Out'!$K$110:$K$119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'Shares Out'!$L$110:$L$119</c:f>
              <c:numCache>
                <c:formatCode>General</c:formatCode>
                <c:ptCount val="10"/>
                <c:pt idx="0">
                  <c:v>59.651000000000003</c:v>
                </c:pt>
                <c:pt idx="1">
                  <c:v>87.561999999999998</c:v>
                </c:pt>
                <c:pt idx="2">
                  <c:v>95.337000000000003</c:v>
                </c:pt>
                <c:pt idx="3">
                  <c:v>106.80500000000001</c:v>
                </c:pt>
                <c:pt idx="4">
                  <c:v>59.249000000000002</c:v>
                </c:pt>
                <c:pt idx="5">
                  <c:v>46.401000000000003</c:v>
                </c:pt>
                <c:pt idx="6">
                  <c:v>36.840000000000003</c:v>
                </c:pt>
                <c:pt idx="7">
                  <c:v>73.084000000000003</c:v>
                </c:pt>
                <c:pt idx="8">
                  <c:v>123.024</c:v>
                </c:pt>
                <c:pt idx="9">
                  <c:v>116.801</c:v>
                </c:pt>
              </c:numCache>
            </c:numRef>
          </c:val>
          <c:smooth val="0"/>
          <c:extLst>
            <c:ext xmlns:c16="http://schemas.microsoft.com/office/drawing/2014/chart" uri="{C3380CC4-5D6E-409C-BE32-E72D297353CC}">
              <c16:uniqueId val="{00000000-6CF5-4F63-AF09-AB2817D7A26D}"/>
            </c:ext>
          </c:extLst>
        </c:ser>
        <c:ser>
          <c:idx val="1"/>
          <c:order val="1"/>
          <c:tx>
            <c:strRef>
              <c:f>'Shares Out'!$M$109</c:f>
              <c:strCache>
                <c:ptCount val="1"/>
                <c:pt idx="0">
                  <c:v>Owners' Cash Profits</c:v>
                </c:pt>
              </c:strCache>
            </c:strRef>
          </c:tx>
          <c:spPr>
            <a:ln w="28575" cap="rnd">
              <a:solidFill>
                <a:srgbClr val="0049AA"/>
              </a:solidFill>
              <a:round/>
            </a:ln>
            <a:effectLst/>
          </c:spPr>
          <c:marker>
            <c:symbol val="none"/>
          </c:marker>
          <c:cat>
            <c:numRef>
              <c:f>'Shares Out'!$K$110:$K$119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'Shares Out'!$M$110:$M$119</c:f>
              <c:numCache>
                <c:formatCode>General</c:formatCode>
                <c:ptCount val="10"/>
                <c:pt idx="0">
                  <c:v>44.561847905001585</c:v>
                </c:pt>
                <c:pt idx="1">
                  <c:v>35.830371610664734</c:v>
                </c:pt>
                <c:pt idx="2">
                  <c:v>33.712974539999998</c:v>
                </c:pt>
                <c:pt idx="3">
                  <c:v>27.972565810664705</c:v>
                </c:pt>
                <c:pt idx="4">
                  <c:v>-2.153458811419199</c:v>
                </c:pt>
                <c:pt idx="5">
                  <c:v>116.16322508683069</c:v>
                </c:pt>
                <c:pt idx="6">
                  <c:v>19.814414494999994</c:v>
                </c:pt>
                <c:pt idx="7">
                  <c:v>142.38847682258131</c:v>
                </c:pt>
                <c:pt idx="8">
                  <c:v>241.87843363966692</c:v>
                </c:pt>
                <c:pt idx="9">
                  <c:v>433.82000000000005</c:v>
                </c:pt>
              </c:numCache>
            </c:numRef>
          </c:val>
          <c:smooth val="0"/>
          <c:extLst>
            <c:ext xmlns:c16="http://schemas.microsoft.com/office/drawing/2014/chart" uri="{C3380CC4-5D6E-409C-BE32-E72D297353CC}">
              <c16:uniqueId val="{00000001-6CF5-4F63-AF09-AB2817D7A26D}"/>
            </c:ext>
          </c:extLst>
        </c:ser>
        <c:dLbls>
          <c:showLegendKey val="0"/>
          <c:showVal val="0"/>
          <c:showCatName val="0"/>
          <c:showSerName val="0"/>
          <c:showPercent val="0"/>
          <c:showBubbleSize val="0"/>
        </c:dLbls>
        <c:smooth val="0"/>
        <c:axId val="720882512"/>
        <c:axId val="720882840"/>
      </c:lineChart>
      <c:catAx>
        <c:axId val="7208825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20882840"/>
        <c:crosses val="autoZero"/>
        <c:auto val="1"/>
        <c:lblAlgn val="ctr"/>
        <c:lblOffset val="100"/>
        <c:noMultiLvlLbl val="0"/>
      </c:catAx>
      <c:valAx>
        <c:axId val="720882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20882512"/>
        <c:crosses val="autoZero"/>
        <c:crossBetween val="between"/>
        <c:majorUnit val="100"/>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754.21400000000006</c:v>
                </c:pt>
                <c:pt idx="1">
                  <c:v>977.36099999999999</c:v>
                </c:pt>
                <c:pt idx="2">
                  <c:v>710.07600000000002</c:v>
                </c:pt>
                <c:pt idx="3">
                  <c:v>840.79100000000005</c:v>
                </c:pt>
                <c:pt idx="4">
                  <c:v>988.79100000000005</c:v>
                </c:pt>
                <c:pt idx="5">
                  <c:v>1034.046</c:v>
                </c:pt>
                <c:pt idx="6">
                  <c:v>1041.019</c:v>
                </c:pt>
                <c:pt idx="7">
                  <c:v>1350.9179999999999</c:v>
                </c:pt>
                <c:pt idx="8">
                  <c:v>1639.25</c:v>
                </c:pt>
                <c:pt idx="9">
                  <c:v>1651.731</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1618.6963799999999</c:v>
                </c:pt>
                <c:pt idx="11" formatCode="_(* #,##0_);_(* \(#,##0\);_(* &quot;-&quot;??_);_(@_)">
                  <c:v>1748.1920903999999</c:v>
                </c:pt>
                <c:pt idx="12" formatCode="_(* #,##0_);_(* \(#,##0\);_(* &quot;-&quot;??_);_(@_)">
                  <c:v>1888.047457632</c:v>
                </c:pt>
                <c:pt idx="13" formatCode="_(* #,##0_);_(* \(#,##0\);_(* &quot;-&quot;??_);_(@_)">
                  <c:v>2039.0912542425601</c:v>
                </c:pt>
                <c:pt idx="14" formatCode="_(* #,##0_);_(* \(#,##0\);_(* &quot;-&quot;??_);_(@_)">
                  <c:v>2202.2185545819652</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1618.6963799999999</c:v>
                </c:pt>
                <c:pt idx="11" formatCode="_(* #,##0_);_(* \(#,##0\);_(* &quot;-&quot;??_);_(@_)">
                  <c:v>1699.6311989999999</c:v>
                </c:pt>
                <c:pt idx="12" formatCode="_(* #,##0_);_(* \(#,##0\);_(* &quot;-&quot;??_);_(@_)">
                  <c:v>1784.6127589499999</c:v>
                </c:pt>
                <c:pt idx="13" formatCode="_(* #,##0_);_(* \(#,##0\);_(* &quot;-&quot;??_);_(@_)">
                  <c:v>1873.8433968975</c:v>
                </c:pt>
                <c:pt idx="14" formatCode="_(* #,##0_);_(* \(#,##0\);_(* &quot;-&quot;??_);_(@_)">
                  <c:v>1967.5355667423751</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0.29586695553251463</c:v>
                </c:pt>
                <c:pt idx="2">
                  <c:v>-0.27347622833323615</c:v>
                </c:pt>
                <c:pt idx="3">
                  <c:v>0.18408592883015351</c:v>
                </c:pt>
                <c:pt idx="4">
                  <c:v>0.1760247195795388</c:v>
                </c:pt>
                <c:pt idx="5">
                  <c:v>4.5768013665173024E-2</c:v>
                </c:pt>
                <c:pt idx="6">
                  <c:v>6.7434137359458912E-3</c:v>
                </c:pt>
                <c:pt idx="7">
                  <c:v>0.29768813057206445</c:v>
                </c:pt>
                <c:pt idx="8">
                  <c:v>0.21343412405490203</c:v>
                </c:pt>
                <c:pt idx="9">
                  <c:v>7.6138477962481854E-3</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7.6138477962481854E-3</c:v>
                </c:pt>
                <c:pt idx="10" formatCode="0%">
                  <c:v>-0.02</c:v>
                </c:pt>
                <c:pt idx="11" formatCode="0%">
                  <c:v>0.08</c:v>
                </c:pt>
                <c:pt idx="12" formatCode="0%">
                  <c:v>0.08</c:v>
                </c:pt>
                <c:pt idx="13" formatCode="0%">
                  <c:v>0.08</c:v>
                </c:pt>
                <c:pt idx="14" formatCode="0%">
                  <c:v>0.08</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7.6138477962481854E-3</c:v>
                </c:pt>
                <c:pt idx="10" formatCode="0%">
                  <c:v>-0.02</c:v>
                </c:pt>
                <c:pt idx="11" formatCode="0%">
                  <c:v>0.05</c:v>
                </c:pt>
                <c:pt idx="12" formatCode="0%">
                  <c:v>0.05</c:v>
                </c:pt>
                <c:pt idx="13" formatCode="0%">
                  <c:v>0.05</c:v>
                </c:pt>
                <c:pt idx="14" formatCode="0%">
                  <c:v>0.05</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44.561847905001585</c:v>
                </c:pt>
                <c:pt idx="1">
                  <c:v>35.830371610664734</c:v>
                </c:pt>
                <c:pt idx="2">
                  <c:v>33.712974539999998</c:v>
                </c:pt>
                <c:pt idx="3">
                  <c:v>27.972565810664705</c:v>
                </c:pt>
                <c:pt idx="4">
                  <c:v>-2.153458811419199</c:v>
                </c:pt>
                <c:pt idx="5">
                  <c:v>116.16322508683069</c:v>
                </c:pt>
                <c:pt idx="6">
                  <c:v>19.814414494999994</c:v>
                </c:pt>
                <c:pt idx="7">
                  <c:v>142.38847682258131</c:v>
                </c:pt>
                <c:pt idx="8">
                  <c:v>241.87843363966692</c:v>
                </c:pt>
                <c:pt idx="9">
                  <c:v>433.82000000000005</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493.70239589999994</c:v>
                </c:pt>
                <c:pt idx="11" formatCode="_(* #,##0_);_(* \(#,##0\);_(* &quot;-&quot;??_);_(@_)">
                  <c:v>559.42146892799997</c:v>
                </c:pt>
                <c:pt idx="12" formatCode="_(* #,##0_);_(* \(#,##0\);_(* &quot;-&quot;??_);_(@_)">
                  <c:v>604.17518644224003</c:v>
                </c:pt>
                <c:pt idx="13" formatCode="_(* #,##0_);_(* \(#,##0\);_(* &quot;-&quot;??_);_(@_)">
                  <c:v>652.5092013576193</c:v>
                </c:pt>
                <c:pt idx="14" formatCode="_(* #,##0_);_(* \(#,##0\);_(* &quot;-&quot;??_);_(@_)">
                  <c:v>704.70993746622889</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485.60891399999991</c:v>
                </c:pt>
                <c:pt idx="11" formatCode="_(* #,##0_);_(* \(#,##0\);_(* &quot;-&quot;??_);_(@_)">
                  <c:v>424.90779974999998</c:v>
                </c:pt>
                <c:pt idx="12" formatCode="_(* #,##0_);_(* \(#,##0\);_(* &quot;-&quot;??_);_(@_)">
                  <c:v>446.15318973749999</c:v>
                </c:pt>
                <c:pt idx="13" formatCode="_(* #,##0_);_(* \(#,##0\);_(* &quot;-&quot;??_);_(@_)">
                  <c:v>468.46084922437501</c:v>
                </c:pt>
                <c:pt idx="14" formatCode="_(* #,##0_);_(* \(#,##0\);_(* &quot;-&quot;??_);_(@_)">
                  <c:v>491.88389168559377</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5.908382488922452E-2</c:v>
                </c:pt>
                <c:pt idx="1">
                  <c:v>3.6660324701583889E-2</c:v>
                </c:pt>
                <c:pt idx="2">
                  <c:v>4.7477980582360191E-2</c:v>
                </c:pt>
                <c:pt idx="3">
                  <c:v>3.3269344950962489E-2</c:v>
                </c:pt>
                <c:pt idx="4">
                  <c:v>-2.1778705625548765E-3</c:v>
                </c:pt>
                <c:pt idx="5">
                  <c:v>0.1123385469184453</c:v>
                </c:pt>
                <c:pt idx="6">
                  <c:v>1.9033672291283821E-2</c:v>
                </c:pt>
                <c:pt idx="7">
                  <c:v>0.10540127292891302</c:v>
                </c:pt>
                <c:pt idx="8">
                  <c:v>0.14755432889410824</c:v>
                </c:pt>
                <c:pt idx="9">
                  <c:v>0.26264567293342561</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0.26264567293342561</c:v>
                </c:pt>
                <c:pt idx="10" formatCode="0%">
                  <c:v>0.30499999999999999</c:v>
                </c:pt>
                <c:pt idx="11" formatCode="0%">
                  <c:v>0.32</c:v>
                </c:pt>
                <c:pt idx="12" formatCode="0%">
                  <c:v>0.32</c:v>
                </c:pt>
                <c:pt idx="13" formatCode="0%">
                  <c:v>0.32</c:v>
                </c:pt>
                <c:pt idx="14" formatCode="0%">
                  <c:v>0.32</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0.26264567293342561</c:v>
                </c:pt>
                <c:pt idx="10" formatCode="0%">
                  <c:v>0.3</c:v>
                </c:pt>
                <c:pt idx="11" formatCode="0%">
                  <c:v>0.25</c:v>
                </c:pt>
                <c:pt idx="12" formatCode="0%">
                  <c:v>0.25</c:v>
                </c:pt>
                <c:pt idx="13" formatCode="0%">
                  <c:v>0.25</c:v>
                </c:pt>
                <c:pt idx="14" formatCode="0%">
                  <c:v>0.25</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44.561847905001585</c:v>
                </c:pt>
                <c:pt idx="1">
                  <c:v>35.830371610664734</c:v>
                </c:pt>
                <c:pt idx="2">
                  <c:v>33.712974539999998</c:v>
                </c:pt>
                <c:pt idx="3">
                  <c:v>27.972565810664705</c:v>
                </c:pt>
                <c:pt idx="4">
                  <c:v>-2.153458811419199</c:v>
                </c:pt>
                <c:pt idx="5">
                  <c:v>116.16322508683069</c:v>
                </c:pt>
                <c:pt idx="6">
                  <c:v>19.814414494999994</c:v>
                </c:pt>
                <c:pt idx="7">
                  <c:v>142.38847682258131</c:v>
                </c:pt>
                <c:pt idx="8">
                  <c:v>241.87843363966692</c:v>
                </c:pt>
                <c:pt idx="9">
                  <c:v>433.82000000000005</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625.29478994960357</c:v>
                </c:pt>
                <c:pt idx="1">
                  <c:v>-2.386110887438508</c:v>
                </c:pt>
                <c:pt idx="2">
                  <c:v>-43.983659201666732</c:v>
                </c:pt>
                <c:pt idx="3">
                  <c:v>-42.609785810703592</c:v>
                </c:pt>
                <c:pt idx="4">
                  <c:v>-44.402312634157809</c:v>
                </c:pt>
                <c:pt idx="5">
                  <c:v>-86.899256527649314</c:v>
                </c:pt>
                <c:pt idx="6">
                  <c:v>-27.045626153241244</c:v>
                </c:pt>
                <c:pt idx="7">
                  <c:v>1149.6046144847703</c:v>
                </c:pt>
                <c:pt idx="8">
                  <c:v>578.34764694251328</c:v>
                </c:pt>
                <c:pt idx="9">
                  <c:v>319.2813165</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-3.2161520949984137</c:v>
                </c:pt>
                <c:pt idx="1">
                  <c:v>-10.188628389335257</c:v>
                </c:pt>
                <c:pt idx="2">
                  <c:v>-18.943025460000001</c:v>
                </c:pt>
                <c:pt idx="3">
                  <c:v>-47.892434189335304</c:v>
                </c:pt>
                <c:pt idx="4">
                  <c:v>-59.407458811419204</c:v>
                </c:pt>
                <c:pt idx="5">
                  <c:v>-62.459774913169312</c:v>
                </c:pt>
                <c:pt idx="6">
                  <c:v>-24.094585504999998</c:v>
                </c:pt>
                <c:pt idx="7">
                  <c:v>14.719476822581299</c:v>
                </c:pt>
                <c:pt idx="8">
                  <c:v>54.870433639666913</c:v>
                </c:pt>
                <c:pt idx="9">
                  <c:v>188.18400000000003</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704.17100000000005</c:v>
                </c:pt>
                <c:pt idx="1">
                  <c:v>41.804000000000002</c:v>
                </c:pt>
                <c:pt idx="2">
                  <c:v>0</c:v>
                </c:pt>
                <c:pt idx="3">
                  <c:v>0</c:v>
                </c:pt>
                <c:pt idx="4">
                  <c:v>23.149000000000001</c:v>
                </c:pt>
                <c:pt idx="5">
                  <c:v>64.816999999999993</c:v>
                </c:pt>
                <c:pt idx="6">
                  <c:v>28.952999999999999</c:v>
                </c:pt>
                <c:pt idx="7">
                  <c:v>1222.2660000000001</c:v>
                </c:pt>
                <c:pt idx="8">
                  <c:v>266.89499999999998</c:v>
                </c:pt>
                <c:pt idx="9">
                  <c:v>69.168000000000006</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37.403942044601848</c:v>
                </c:pt>
                <c:pt idx="1">
                  <c:v>0.231517501896744</c:v>
                </c:pt>
                <c:pt idx="2">
                  <c:v>4.4593662583332705</c:v>
                </c:pt>
                <c:pt idx="3">
                  <c:v>-2.7393516213682849</c:v>
                </c:pt>
                <c:pt idx="4">
                  <c:v>0.76114617726139655</c:v>
                </c:pt>
                <c:pt idx="5">
                  <c:v>68.170518385519998</c:v>
                </c:pt>
                <c:pt idx="6">
                  <c:v>37.308959351758745</c:v>
                </c:pt>
                <c:pt idx="7">
                  <c:v>125.42613766218892</c:v>
                </c:pt>
                <c:pt idx="8">
                  <c:v>252.2222133028464</c:v>
                </c:pt>
                <c:pt idx="9">
                  <c:v>71.288316500000008</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5.0460000000000003</c:v>
                </c:pt>
                <c:pt idx="4">
                  <c:v>8.077</c:v>
                </c:pt>
                <c:pt idx="5">
                  <c:v>-50.692</c:v>
                </c:pt>
                <c:pt idx="6">
                  <c:v>-71.245999999999995</c:v>
                </c:pt>
                <c:pt idx="7">
                  <c:v>50.218999999999994</c:v>
                </c:pt>
                <c:pt idx="8">
                  <c:v>2.0139999999999998</c:v>
                </c:pt>
                <c:pt idx="9">
                  <c:v>-0.89199999999999857</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-113.06399999999999</c:v>
                </c:pt>
                <c:pt idx="1">
                  <c:v>-34.232999999999997</c:v>
                </c:pt>
                <c:pt idx="2">
                  <c:v>-29.5</c:v>
                </c:pt>
                <c:pt idx="3">
                  <c:v>0</c:v>
                </c:pt>
                <c:pt idx="4">
                  <c:v>-17.006</c:v>
                </c:pt>
                <c:pt idx="5">
                  <c:v>-106.735</c:v>
                </c:pt>
                <c:pt idx="6">
                  <c:v>0</c:v>
                </c:pt>
                <c:pt idx="7">
                  <c:v>-265.29500000000002</c:v>
                </c:pt>
                <c:pt idx="8">
                  <c:v>0</c:v>
                </c:pt>
                <c:pt idx="9">
                  <c:v>-11.068</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-2.976</c:v>
                </c:pt>
                <c:pt idx="4">
                  <c:v>-2.4E-2</c:v>
                </c:pt>
                <c:pt idx="5">
                  <c:v>0</c:v>
                </c:pt>
                <c:pt idx="6">
                  <c:v>-2.0329999999999999</c:v>
                </c:pt>
                <c:pt idx="7">
                  <c:v>-2.2690000000000001</c:v>
                </c:pt>
                <c:pt idx="8">
                  <c:v>-2.3460000000000001</c:v>
                </c:pt>
                <c:pt idx="9">
                  <c:v>-2.601</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-580.73294204460194</c:v>
                </c:pt>
                <c:pt idx="1">
                  <c:v>38.21648249810324</c:v>
                </c:pt>
                <c:pt idx="2">
                  <c:v>77.69663374166673</c:v>
                </c:pt>
                <c:pt idx="3">
                  <c:v>70.582351621368304</c:v>
                </c:pt>
                <c:pt idx="4">
                  <c:v>42.24885382273861</c:v>
                </c:pt>
                <c:pt idx="5">
                  <c:v>203.06248161448002</c:v>
                </c:pt>
                <c:pt idx="6">
                  <c:v>46.860040648241238</c:v>
                </c:pt>
                <c:pt idx="7">
                  <c:v>-1007.216137662189</c:v>
                </c:pt>
                <c:pt idx="8">
                  <c:v>-336.46921330284636</c:v>
                </c:pt>
                <c:pt idx="9">
                  <c:v>114.53868350000005</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121.40222849999998</c:v>
                </c:pt>
                <c:pt idx="11" formatCode="_(* #,##0_);_(* \(#,##0\);_(* &quot;-&quot;??_);_(@_)">
                  <c:v>127.47233992500001</c:v>
                </c:pt>
                <c:pt idx="12" formatCode="_(* #,##0_);_(* \(#,##0\);_(* &quot;-&quot;??_);_(@_)">
                  <c:v>156.15361640812498</c:v>
                </c:pt>
                <c:pt idx="13" formatCode="_(* #,##0_);_(* \(#,##0\);_(* &quot;-&quot;??_);_(@_)">
                  <c:v>173.33051421301874</c:v>
                </c:pt>
                <c:pt idx="14" formatCode="_(* #,##0_);_(* \(#,##0\);_(* &quot;-&quot;??_);_(@_)">
                  <c:v>181.99703992366969</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123.42559897499999</c:v>
                </c:pt>
                <c:pt idx="11" formatCode="_(* #,##0_);_(* \(#,##0\);_(* &quot;-&quot;??_);_(@_)">
                  <c:v>167.82644067840002</c:v>
                </c:pt>
                <c:pt idx="12" formatCode="_(* #,##0_);_(* \(#,##0\);_(* &quot;-&quot;??_);_(@_)">
                  <c:v>211.46131525478401</c:v>
                </c:pt>
                <c:pt idx="13" formatCode="_(* #,##0_);_(* \(#,##0\);_(* &quot;-&quot;??_);_(@_)">
                  <c:v>241.42840450231913</c:v>
                </c:pt>
                <c:pt idx="14" formatCode="_(* #,##0_);_(* \(#,##0\);_(* &quot;-&quot;??_);_(@_)">
                  <c:v>260.74267686250471</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-0.76998430424866404</c:v>
                </c:pt>
                <c:pt idx="1">
                  <c:v>3.9101706020706006E-2</c:v>
                </c:pt>
                <c:pt idx="2">
                  <c:v>0.10942016592824814</c:v>
                </c:pt>
                <c:pt idx="3">
                  <c:v>8.3947558455511898E-2</c:v>
                </c:pt>
                <c:pt idx="4">
                  <c:v>4.2727789616550521E-2</c:v>
                </c:pt>
                <c:pt idx="5">
                  <c:v>0.19637664244577127</c:v>
                </c:pt>
                <c:pt idx="6">
                  <c:v>4.5013626694845377E-2</c:v>
                </c:pt>
                <c:pt idx="7">
                  <c:v>-0.74557903415469262</c:v>
                </c:pt>
                <c:pt idx="8">
                  <c:v>-0.2052580224510272</c:v>
                </c:pt>
                <c:pt idx="9">
                  <c:v>6.9344635113102585E-2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6.9344635113102585E-2</c:v>
                </c:pt>
                <c:pt idx="10" formatCode="0.0%">
                  <c:v>7.4999999999999997E-2</c:v>
                </c:pt>
                <c:pt idx="11" formatCode="0.0%">
                  <c:v>7.5000000000000011E-2</c:v>
                </c:pt>
                <c:pt idx="12" formatCode="0.0%">
                  <c:v>8.7499999999999994E-2</c:v>
                </c:pt>
                <c:pt idx="13" formatCode="0.0%">
                  <c:v>9.2499999999999999E-2</c:v>
                </c:pt>
                <c:pt idx="14" formatCode="0.0%">
                  <c:v>9.2499999999999999E-2</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6.9344635113102585E-2</c:v>
                </c:pt>
                <c:pt idx="10" formatCode="0.0%">
                  <c:v>7.6249999999999998E-2</c:v>
                </c:pt>
                <c:pt idx="11" formatCode="0.0%">
                  <c:v>9.6000000000000016E-2</c:v>
                </c:pt>
                <c:pt idx="12" formatCode="0.0%">
                  <c:v>0.11199999999999999</c:v>
                </c:pt>
                <c:pt idx="13" formatCode="0.0%">
                  <c:v>0.11840000000000001</c:v>
                </c:pt>
                <c:pt idx="14" formatCode="0.0%">
                  <c:v>0.11840000000000001</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MIC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44.561847905001585</c:v>
                </c:pt>
                <c:pt idx="1">
                  <c:v>35.830371610664734</c:v>
                </c:pt>
                <c:pt idx="2">
                  <c:v>33.712974539999998</c:v>
                </c:pt>
                <c:pt idx="3">
                  <c:v>27.972565810664705</c:v>
                </c:pt>
                <c:pt idx="4">
                  <c:v>-2.153458811419199</c:v>
                </c:pt>
                <c:pt idx="5">
                  <c:v>116.16322508683069</c:v>
                </c:pt>
                <c:pt idx="6">
                  <c:v>19.814414494999994</c:v>
                </c:pt>
                <c:pt idx="7">
                  <c:v>142.38847682258131</c:v>
                </c:pt>
                <c:pt idx="8">
                  <c:v>241.87843363966692</c:v>
                </c:pt>
                <c:pt idx="9">
                  <c:v>433.82000000000005</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MIC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44.561847905001585</c:v>
                </c:pt>
                <c:pt idx="1">
                  <c:v>44.136857102313314</c:v>
                </c:pt>
                <c:pt idx="2">
                  <c:v>44.187212900490508</c:v>
                </c:pt>
                <c:pt idx="3">
                  <c:v>46.200534783033028</c:v>
                </c:pt>
                <c:pt idx="4">
                  <c:v>47.884420540151226</c:v>
                </c:pt>
                <c:pt idx="5">
                  <c:v>49.544341790908</c:v>
                </c:pt>
                <c:pt idx="6">
                  <c:v>51.806712530700388</c:v>
                </c:pt>
                <c:pt idx="7">
                  <c:v>53.703852059617205</c:v>
                </c:pt>
                <c:pt idx="8">
                  <c:v>53.586456313264335</c:v>
                </c:pt>
                <c:pt idx="9">
                  <c:v>53.586456313264335</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MIC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-0.18640352413922823</c:v>
                </c:pt>
                <c:pt idx="2">
                  <c:v>-6.0235936487013642E-2</c:v>
                </c:pt>
                <c:pt idx="3">
                  <c:v>-0.21583643304476985</c:v>
                </c:pt>
                <c:pt idx="4">
                  <c:v>-1.1134319940362378</c:v>
                </c:pt>
                <c:pt idx="5">
                  <c:v>-54.977292006471366</c:v>
                </c:pt>
                <c:pt idx="6">
                  <c:v>-0.87508965292553176</c:v>
                </c:pt>
                <c:pt idx="7">
                  <c:v>6.1494861239742695</c:v>
                </c:pt>
                <c:pt idx="8">
                  <c:v>0.70090795222017965</c:v>
                </c:pt>
                <c:pt idx="9">
                  <c:v>0.79354559839044536</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MIC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-0.15771739432349674</c:v>
                </c:pt>
                <c:pt idx="4">
                  <c:v>-0.41737200836979438</c:v>
                </c:pt>
                <c:pt idx="5">
                  <c:v>1.3462283762504572</c:v>
                </c:pt>
                <c:pt idx="6">
                  <c:v>-9.649119066862677E-2</c:v>
                </c:pt>
                <c:pt idx="7">
                  <c:v>1.0410933668657558</c:v>
                </c:pt>
                <c:pt idx="8">
                  <c:v>0.4255492911143397</c:v>
                </c:pt>
                <c:pt idx="9">
                  <c:v>1.0133735262662229</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A7CCF49-A383-4B00-9151-EC8EB4A03FCF}">
  <sheetPr/>
  <sheetViews>
    <sheetView zoomScale="134" workbookViewId="0" zoomToFit="1"/>
  </sheetViews>
  <pageMargins left="0.7" right="0.7" top="0.75" bottom="0.75" header="0.3" footer="0.3"/>
  <pageSetup paperSize="5" orientation="landscape" horizontalDpi="0" verticalDpi="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7"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7"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34"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2666BC3C-72E8-46C6-8B5D-A1A3C8032B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526255</xdr:colOff>
      <xdr:row>85</xdr:row>
      <xdr:rowOff>178593</xdr:rowOff>
    </xdr:from>
    <xdr:to>
      <xdr:col>24</xdr:col>
      <xdr:colOff>564355</xdr:colOff>
      <xdr:row>107</xdr:row>
      <xdr:rowOff>28575</xdr:rowOff>
    </xdr:to>
    <xdr:graphicFrame macro="">
      <xdr:nvGraphicFramePr>
        <xdr:cNvPr id="2" name="Chart 1">
          <a:extLst>
            <a:ext uri="{FF2B5EF4-FFF2-40B4-BE49-F238E27FC236}">
              <a16:creationId xmlns:a16="http://schemas.microsoft.com/office/drawing/2014/main" id="{865CC9B8-F187-415C-BA27-4E25DBD15A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335755</xdr:colOff>
      <xdr:row>108</xdr:row>
      <xdr:rowOff>16668</xdr:rowOff>
    </xdr:from>
    <xdr:to>
      <xdr:col>27</xdr:col>
      <xdr:colOff>183355</xdr:colOff>
      <xdr:row>122</xdr:row>
      <xdr:rowOff>92868</xdr:rowOff>
    </xdr:to>
    <xdr:graphicFrame macro="">
      <xdr:nvGraphicFramePr>
        <xdr:cNvPr id="3" name="Chart 2">
          <a:extLst>
            <a:ext uri="{FF2B5EF4-FFF2-40B4-BE49-F238E27FC236}">
              <a16:creationId xmlns:a16="http://schemas.microsoft.com/office/drawing/2014/main" id="{B06601BD-B3F7-480D-8912-96F25D5FD9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G13" sqref="G13"/>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52" t="s">
        <v>61</v>
      </c>
      <c r="B1" s="152"/>
      <c r="C1" s="152"/>
      <c r="D1" s="152"/>
      <c r="E1" s="152"/>
      <c r="F1" s="152"/>
      <c r="G1" s="152"/>
      <c r="I1" s="161" t="s">
        <v>51</v>
      </c>
      <c r="J1" s="162"/>
      <c r="K1" s="91" t="s">
        <v>58</v>
      </c>
      <c r="L1" s="63" t="s">
        <v>108</v>
      </c>
    </row>
    <row r="2" spans="1:13">
      <c r="A2" s="51" t="s">
        <v>191</v>
      </c>
      <c r="B2" s="44" t="s">
        <v>192</v>
      </c>
      <c r="C2" s="98" t="str">
        <f>A2&amp;" ("&amp;ticker&amp;")"</f>
        <v>Macquarie Infrastructure Corporation (MIC)</v>
      </c>
      <c r="E2" s="3" t="s">
        <v>57</v>
      </c>
      <c r="F2" s="3"/>
      <c r="G2" s="50">
        <v>7.85</v>
      </c>
      <c r="I2" s="157" t="str">
        <f>(ROUND(AVERAGE(C9:G9)*100,0)&amp;"% | "&amp;ROUND(AVERAGE(C11:G11)*100,0)&amp;"% | "&amp;ROUND(C18*100,0)&amp;"%")</f>
        <v>4% | 26% | 5%</v>
      </c>
      <c r="J2" s="158"/>
      <c r="K2" s="92">
        <f ca="1">TRUNC(Scenario1)+B13/G4</f>
        <v>36</v>
      </c>
      <c r="L2" s="94" t="s">
        <v>53</v>
      </c>
      <c r="M2" s="45"/>
    </row>
    <row r="3" spans="1:13">
      <c r="A3" t="s">
        <v>0</v>
      </c>
      <c r="B3" s="13">
        <v>42735</v>
      </c>
      <c r="E3" t="s">
        <v>60</v>
      </c>
      <c r="G3" s="31">
        <f>'Company Analysis'!K3</f>
        <v>1651.731</v>
      </c>
      <c r="I3" s="157" t="str">
        <f>(ROUND(AVERAGE(C9:G9)*100,0)&amp;"% | "&amp;ROUND(AVERAGE(C11:G11)*100,0)&amp;"% | "&amp;ROUND(C17*100,0)&amp;"%")</f>
        <v>4% | 26% | 7%</v>
      </c>
      <c r="J3" s="158"/>
      <c r="K3" s="92">
        <f ca="1">TRUNC(Scenario2)+B13/G4</f>
        <v>39</v>
      </c>
      <c r="L3" s="94" t="s">
        <v>53</v>
      </c>
      <c r="M3" s="46"/>
    </row>
    <row r="4" spans="1:13" ht="15.75" thickBot="1">
      <c r="A4" s="68" t="s">
        <v>1</v>
      </c>
      <c r="B4" s="52">
        <v>0.1</v>
      </c>
      <c r="C4" s="12"/>
      <c r="D4" s="12"/>
      <c r="E4" s="12" t="s">
        <v>6</v>
      </c>
      <c r="F4" s="12"/>
      <c r="G4" s="53">
        <v>82.667914999999994</v>
      </c>
      <c r="I4" s="157" t="str">
        <f>(ROUND(AVERAGE(C9:G9)*100,0)&amp;"% | "&amp;ROUND(AVERAGE(C10:G10)*100,0)&amp;"% | "&amp;ROUND(C18*100,0)&amp;"%")</f>
        <v>4% | 32% | 5%</v>
      </c>
      <c r="J4" s="158"/>
      <c r="K4" s="92">
        <f ca="1">TRUNC(Scenario3)+B13/G4</f>
        <v>46</v>
      </c>
      <c r="L4" s="95" t="s">
        <v>53</v>
      </c>
      <c r="M4" s="47"/>
    </row>
    <row r="5" spans="1:13">
      <c r="B5" s="2"/>
      <c r="I5" s="157" t="str">
        <f>(ROUND(AVERAGE(C9:G9)*100,0)&amp;"% | "&amp;ROUND(AVERAGE(C10:G10)*100,0)&amp;"% | "&amp;ROUND(C17*100,0)&amp;"%")</f>
        <v>4% | 32% | 7%</v>
      </c>
      <c r="J5" s="158"/>
      <c r="K5" s="92">
        <f ca="1">TRUNC(Scenario4)+B13/G4</f>
        <v>50</v>
      </c>
      <c r="L5" s="95" t="s">
        <v>53</v>
      </c>
      <c r="M5" s="47"/>
    </row>
    <row r="6" spans="1:13" s="9" customFormat="1" ht="15.75" thickBot="1">
      <c r="A6" s="152" t="s">
        <v>96</v>
      </c>
      <c r="B6" s="152"/>
      <c r="C6" s="152"/>
      <c r="D6" s="152"/>
      <c r="E6" s="152"/>
      <c r="F6" s="152"/>
      <c r="G6" s="152"/>
      <c r="H6" s="8"/>
      <c r="I6" s="157" t="str">
        <f>(ROUND(AVERAGE(C8:G8)*100,0)&amp;"% | "&amp;ROUND(AVERAGE(C11:G11)*100,0)&amp;"% | "&amp;ROUND(C18*100,0)&amp;"%")</f>
        <v>6% | 26% | 5%</v>
      </c>
      <c r="J6" s="158"/>
      <c r="K6" s="92">
        <f ca="1">TRUNC(Scenario5)+B13/G4</f>
        <v>40</v>
      </c>
      <c r="L6" s="94" t="s">
        <v>53</v>
      </c>
      <c r="M6" s="48"/>
    </row>
    <row r="7" spans="1:13">
      <c r="A7" s="7"/>
      <c r="B7" s="7" t="s">
        <v>2</v>
      </c>
      <c r="C7" s="40">
        <v>1</v>
      </c>
      <c r="D7" s="40">
        <v>2</v>
      </c>
      <c r="E7" s="40">
        <v>3</v>
      </c>
      <c r="F7" s="40">
        <v>4</v>
      </c>
      <c r="G7" s="40">
        <v>5</v>
      </c>
      <c r="I7" s="157" t="str">
        <f>(ROUND(AVERAGE(C8:G8)*100,0)&amp;"% | "&amp;ROUND(AVERAGE(C11:G11)*100,0)&amp;"% | "&amp;ROUND(C17*100,0)&amp;"%")</f>
        <v>6% | 26% | 7%</v>
      </c>
      <c r="J7" s="158"/>
      <c r="K7" s="92">
        <f ca="1">TRUNC(Scenario6)+B13/G4</f>
        <v>43</v>
      </c>
      <c r="L7" s="96" t="s">
        <v>53</v>
      </c>
    </row>
    <row r="8" spans="1:13">
      <c r="A8" s="155" t="s">
        <v>5</v>
      </c>
      <c r="B8" s="22" t="s">
        <v>3</v>
      </c>
      <c r="C8" s="23">
        <v>-0.02</v>
      </c>
      <c r="D8" s="23">
        <v>0.08</v>
      </c>
      <c r="E8" s="23">
        <v>0.08</v>
      </c>
      <c r="F8" s="23">
        <v>0.08</v>
      </c>
      <c r="G8" s="23">
        <v>0.08</v>
      </c>
      <c r="I8" s="157" t="str">
        <f>(ROUND(AVERAGE(C8:G8)*100,0)&amp;"% | "&amp;ROUND(AVERAGE(C10:G10)*100,0)&amp;"% | "&amp;ROUND(C18*100,0)&amp;"%")</f>
        <v>6% | 32% | 5%</v>
      </c>
      <c r="J8" s="158"/>
      <c r="K8" s="92">
        <f ca="1">TRUNC(Scenario7)+B13/G4</f>
        <v>51</v>
      </c>
      <c r="L8" s="96" t="s">
        <v>53</v>
      </c>
    </row>
    <row r="9" spans="1:13">
      <c r="A9" s="156"/>
      <c r="B9" s="14" t="s">
        <v>4</v>
      </c>
      <c r="C9" s="24">
        <v>-0.02</v>
      </c>
      <c r="D9" s="24">
        <v>0.05</v>
      </c>
      <c r="E9" s="24">
        <v>0.05</v>
      </c>
      <c r="F9" s="24">
        <v>0.05</v>
      </c>
      <c r="G9" s="24">
        <v>0.05</v>
      </c>
      <c r="I9" s="159" t="str">
        <f>(ROUND(AVERAGE(C8:G8)*100,0)&amp;"% | "&amp;ROUND(AVERAGE(C10:G10)*100,0)&amp;"% | "&amp;ROUND(C17*100,0)&amp;"%")</f>
        <v>6% | 32% | 7%</v>
      </c>
      <c r="J9" s="160"/>
      <c r="K9" s="93">
        <f ca="1">TRUNC(Scenario8)+B13/G4</f>
        <v>55</v>
      </c>
      <c r="L9" s="97" t="s">
        <v>53</v>
      </c>
    </row>
    <row r="10" spans="1:13">
      <c r="A10" s="153" t="s">
        <v>124</v>
      </c>
      <c r="B10" s="22" t="s">
        <v>3</v>
      </c>
      <c r="C10" s="138">
        <v>0.30499999999999999</v>
      </c>
      <c r="D10" s="138">
        <v>0.32</v>
      </c>
      <c r="E10" s="138">
        <v>0.32</v>
      </c>
      <c r="F10" s="138">
        <v>0.32</v>
      </c>
      <c r="G10" s="138">
        <v>0.32</v>
      </c>
    </row>
    <row r="11" spans="1:13">
      <c r="A11" s="154"/>
      <c r="B11" s="14" t="s">
        <v>4</v>
      </c>
      <c r="C11" s="139">
        <v>0.3</v>
      </c>
      <c r="D11" s="139">
        <v>0.25</v>
      </c>
      <c r="E11" s="139">
        <v>0.25</v>
      </c>
      <c r="F11" s="139">
        <v>0.25</v>
      </c>
      <c r="G11" s="139">
        <v>0.25</v>
      </c>
      <c r="I11" s="163" t="str">
        <f>A2&amp;" ("&amp;B2&amp;")"</f>
        <v>Macquarie Infrastructure Corporation (MIC)</v>
      </c>
      <c r="J11" s="164"/>
      <c r="K11" s="164"/>
      <c r="L11" s="165"/>
    </row>
    <row r="12" spans="1:13">
      <c r="A12" s="1" t="s">
        <v>62</v>
      </c>
      <c r="B12" s="14"/>
      <c r="C12" s="25">
        <v>0.75</v>
      </c>
      <c r="D12" s="25">
        <v>0.7</v>
      </c>
      <c r="E12" s="25">
        <v>0.65</v>
      </c>
      <c r="F12" s="25">
        <v>0.63</v>
      </c>
      <c r="G12" s="25">
        <v>0.63</v>
      </c>
      <c r="I12" s="143" t="str">
        <f ca="1">"$"&amp;ROUND(F21/G4,0)&amp;" Scenario"</f>
        <v>$47 Scenario</v>
      </c>
      <c r="J12" s="144"/>
      <c r="K12" s="144"/>
      <c r="L12" s="145"/>
    </row>
    <row r="13" spans="1:13">
      <c r="A13" s="67" t="s">
        <v>10</v>
      </c>
      <c r="B13" s="26">
        <v>0</v>
      </c>
      <c r="I13" s="73" t="s">
        <v>16</v>
      </c>
      <c r="K13" s="74"/>
      <c r="L13" s="65" t="s">
        <v>4</v>
      </c>
    </row>
    <row r="14" spans="1:13">
      <c r="B14" s="2"/>
      <c r="I14" s="71" t="s">
        <v>17</v>
      </c>
      <c r="K14" s="72"/>
      <c r="L14" s="65" t="s">
        <v>3</v>
      </c>
    </row>
    <row r="15" spans="1:13" ht="15.75" thickBot="1">
      <c r="A15" s="152" t="s">
        <v>97</v>
      </c>
      <c r="B15" s="152"/>
      <c r="C15" s="152"/>
      <c r="D15" s="3"/>
      <c r="E15" s="152" t="s">
        <v>98</v>
      </c>
      <c r="F15" s="152"/>
      <c r="G15" s="152"/>
      <c r="I15" s="75" t="s">
        <v>118</v>
      </c>
      <c r="J15" s="76"/>
      <c r="K15" s="76"/>
      <c r="L15" s="66" t="s">
        <v>4</v>
      </c>
    </row>
    <row r="16" spans="1:13">
      <c r="A16" s="67" t="s">
        <v>11</v>
      </c>
      <c r="B16" s="27">
        <v>5</v>
      </c>
      <c r="C16" t="s">
        <v>12</v>
      </c>
      <c r="E16" s="28" t="s">
        <v>14</v>
      </c>
      <c r="G16" s="32">
        <v>2.5000000000000001E-2</v>
      </c>
      <c r="I16" s="49" t="s">
        <v>117</v>
      </c>
      <c r="K16" s="3"/>
      <c r="L16" s="57">
        <f>(F26/G3)^0.2-1</f>
        <v>3.5610999141980848E-2</v>
      </c>
    </row>
    <row r="17" spans="1:12">
      <c r="A17" s="150" t="s">
        <v>59</v>
      </c>
      <c r="B17" s="21" t="s">
        <v>3</v>
      </c>
      <c r="C17" s="23">
        <v>7.0000000000000007E-2</v>
      </c>
      <c r="D17" s="37">
        <f>IF(C17=B$4,C17-0.0001,C17)</f>
        <v>7.0000000000000007E-2</v>
      </c>
      <c r="E17" s="28" t="s">
        <v>15</v>
      </c>
      <c r="G17" s="32">
        <v>2.5000000000000001E-2</v>
      </c>
      <c r="I17" s="71" t="s">
        <v>116</v>
      </c>
      <c r="K17" s="72"/>
      <c r="L17" s="54">
        <f>SUM(B29:F29)/SUM(B26:F26)</f>
        <v>0.10523842683132356</v>
      </c>
    </row>
    <row r="18" spans="1:12">
      <c r="A18" s="151"/>
      <c r="B18" s="15" t="s">
        <v>4</v>
      </c>
      <c r="C18" s="24">
        <v>0.05</v>
      </c>
      <c r="D18" s="37">
        <f>IF(C18=B$4,C18-0.0001,C18)</f>
        <v>0.05</v>
      </c>
      <c r="G18" s="11"/>
      <c r="I18" s="75" t="s">
        <v>119</v>
      </c>
      <c r="K18" s="28"/>
      <c r="L18" s="56">
        <f ca="1">(F21/G4)/G2-1</f>
        <v>4.9527774671285005</v>
      </c>
    </row>
    <row r="19" spans="1:12">
      <c r="C19" s="3"/>
      <c r="D19" s="3"/>
      <c r="E19" s="3"/>
      <c r="F19" s="3"/>
      <c r="J19" s="55"/>
      <c r="K19" s="55"/>
      <c r="L19" s="55"/>
    </row>
    <row r="20" spans="1:12" ht="15.75" thickBot="1">
      <c r="A20" s="59" t="s">
        <v>7</v>
      </c>
      <c r="B20" s="64" t="s">
        <v>92</v>
      </c>
      <c r="C20" s="64" t="s">
        <v>93</v>
      </c>
      <c r="D20" s="64" t="s">
        <v>94</v>
      </c>
      <c r="E20" s="64" t="s">
        <v>95</v>
      </c>
      <c r="F20" s="64" t="s">
        <v>8</v>
      </c>
      <c r="I20" s="146" t="s">
        <v>123</v>
      </c>
      <c r="J20" s="147"/>
      <c r="K20" s="147"/>
      <c r="L20" s="148"/>
    </row>
    <row r="21" spans="1:12">
      <c r="A21" s="16" t="s">
        <v>13</v>
      </c>
      <c r="B21" s="17">
        <f ca="1">SUM(B43:F43)</f>
        <v>731.23534506650833</v>
      </c>
      <c r="C21" s="17">
        <f ca="1">B54*F43</f>
        <v>658.90859674815465</v>
      </c>
      <c r="D21" s="17">
        <f ca="1">B51*B50</f>
        <v>2472.870116267316</v>
      </c>
      <c r="E21" s="17">
        <f>B13</f>
        <v>0</v>
      </c>
      <c r="F21" s="17">
        <f ca="1">B21+C21+D21+E21</f>
        <v>3863.0140580819789</v>
      </c>
      <c r="I21" s="101"/>
      <c r="J21" s="102"/>
      <c r="K21" s="69" t="s">
        <v>120</v>
      </c>
      <c r="L21" s="70" t="s">
        <v>121</v>
      </c>
    </row>
    <row r="22" spans="1:12">
      <c r="A22" s="16" t="s">
        <v>9</v>
      </c>
      <c r="B22" s="60">
        <f ca="1">IFERROR(B21/$F21,"")</f>
        <v>0.18929140149947402</v>
      </c>
      <c r="C22" s="60">
        <f ca="1">IFERROR(C21/$F21,"")</f>
        <v>0.17056852158475153</v>
      </c>
      <c r="D22" s="60">
        <f ca="1">IFERROR(D21/$F21,"")</f>
        <v>0.64014007691577446</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1618.6963799999999</v>
      </c>
      <c r="C26" s="30">
        <f>(CHOOSE($B36,D8,D9)+1)*B26</f>
        <v>1699.6311989999999</v>
      </c>
      <c r="D26" s="30">
        <f>(CHOOSE($B36,E8,E9)+1)*C26</f>
        <v>1784.6127589499999</v>
      </c>
      <c r="E26" s="30">
        <f>(CHOOSE($B36,F8,F9)+1)*D26</f>
        <v>1873.8433968975</v>
      </c>
      <c r="F26" s="30">
        <f>(CHOOSE($B36,G8,G9)+1)*E26</f>
        <v>1967.5355667423751</v>
      </c>
    </row>
    <row r="27" spans="1:12" hidden="1">
      <c r="A27" t="s">
        <v>71</v>
      </c>
      <c r="B27" s="58">
        <f>CHOOSE($B37,C10,C11)*B26</f>
        <v>493.70239589999994</v>
      </c>
      <c r="C27" s="5">
        <f>CHOOSE($B37,D10,D11)*C26</f>
        <v>543.88198367999996</v>
      </c>
      <c r="D27" s="5">
        <f>CHOOSE($B37,E10,E11)*D26</f>
        <v>571.076082864</v>
      </c>
      <c r="E27" s="5">
        <f>CHOOSE($B37,F10,F11)*E26</f>
        <v>599.62988700720007</v>
      </c>
      <c r="F27" s="5">
        <f>CHOOSE($B37,G10,G11)*F26</f>
        <v>629.61138135756005</v>
      </c>
    </row>
    <row r="28" spans="1:12" hidden="1">
      <c r="A28" t="s">
        <v>72</v>
      </c>
      <c r="B28" s="58">
        <f>-C12*B27</f>
        <v>-370.27679692499999</v>
      </c>
      <c r="C28" s="58">
        <f t="shared" ref="C28:E28" si="1">-D12*C27</f>
        <v>-380.71738857599996</v>
      </c>
      <c r="D28" s="58">
        <f t="shared" si="1"/>
        <v>-371.19945386160003</v>
      </c>
      <c r="E28" s="58">
        <f t="shared" si="1"/>
        <v>-377.76682881453604</v>
      </c>
      <c r="F28" s="58">
        <f>-G12*F27</f>
        <v>-396.65517025526282</v>
      </c>
    </row>
    <row r="29" spans="1:12" ht="15.75" hidden="1" thickBot="1">
      <c r="A29" t="s">
        <v>73</v>
      </c>
      <c r="B29" s="4">
        <f>B27+B28</f>
        <v>123.42559897499996</v>
      </c>
      <c r="C29" s="4">
        <f>C27+C28</f>
        <v>163.164595104</v>
      </c>
      <c r="D29" s="4">
        <f>D27+D28</f>
        <v>199.87662900239997</v>
      </c>
      <c r="E29" s="4">
        <f>E27+E28</f>
        <v>221.86305819266403</v>
      </c>
      <c r="F29" s="4">
        <f>F27+F28</f>
        <v>232.95621110229723</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9" t="s">
        <v>35</v>
      </c>
      <c r="B41" s="149"/>
      <c r="C41" s="149"/>
      <c r="D41" s="149"/>
      <c r="E41" s="149"/>
      <c r="F41" s="149"/>
    </row>
    <row r="42" spans="1:16" hidden="1">
      <c r="A42" t="s">
        <v>21</v>
      </c>
      <c r="B42" s="19">
        <f ca="1">B25-TODAY()</f>
        <v>118</v>
      </c>
      <c r="C42" s="19">
        <f ca="1">C25-TODAY()</f>
        <v>483</v>
      </c>
      <c r="D42" s="19">
        <f ca="1">D25-TODAY()</f>
        <v>848</v>
      </c>
      <c r="E42" s="19">
        <f ca="1">E25-TODAY()</f>
        <v>1214</v>
      </c>
      <c r="F42" s="19">
        <f ca="1">F25-TODAY()</f>
        <v>1579</v>
      </c>
      <c r="P42" s="38"/>
    </row>
    <row r="43" spans="1:16" hidden="1">
      <c r="A43" t="s">
        <v>22</v>
      </c>
      <c r="B43" s="17">
        <f ca="1">B29*EXP(-$B$4*B42/365.25)</f>
        <v>119.50185542166096</v>
      </c>
      <c r="C43" s="17">
        <f ca="1">C29*EXP(-$B$4*C42/365.25)</f>
        <v>142.95376898979518</v>
      </c>
      <c r="D43" s="17">
        <f ca="1">D29*EXP(-$B$4*D42/365.25)</f>
        <v>158.46449699077263</v>
      </c>
      <c r="E43" s="17">
        <f ca="1">E29*EXP(-$B$4*E42/365.25)</f>
        <v>159.12423526547573</v>
      </c>
      <c r="F43" s="17">
        <f ca="1">F29*EXP(-$B$4*F42/365.25)</f>
        <v>151.19098839880385</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3405</v>
      </c>
      <c r="C48" s="34"/>
    </row>
    <row r="49" spans="1:7" hidden="1">
      <c r="A49" s="6" t="s">
        <v>24</v>
      </c>
      <c r="B49" s="17">
        <f>F29*EXP(CHOOSE(B38,C17,C18)*B16)</f>
        <v>299.12169603062466</v>
      </c>
    </row>
    <row r="50" spans="1:7" hidden="1">
      <c r="A50" s="6" t="s">
        <v>29</v>
      </c>
      <c r="B50" s="17">
        <f ca="1">B49*EXP(-B4*B48/365.25)</f>
        <v>117.75571982225314</v>
      </c>
    </row>
    <row r="51" spans="1:7" hidden="1">
      <c r="A51" s="6" t="s">
        <v>31</v>
      </c>
      <c r="B51" s="17">
        <f>(1+SUM(G16,G17))/(B4-SUM(G16,G17))</f>
        <v>21</v>
      </c>
    </row>
    <row r="52" spans="1:7" hidden="1">
      <c r="A52" s="6" t="s">
        <v>32</v>
      </c>
      <c r="B52" s="18">
        <f>(1+CHOOSE(B38,D17,D18))/(B4-(CHOOSE(B38,D17,D18)))</f>
        <v>21</v>
      </c>
      <c r="F52" s="38"/>
    </row>
    <row r="53" spans="1:7" hidden="1">
      <c r="A53" s="6" t="s">
        <v>33</v>
      </c>
      <c r="B53" s="38">
        <f>1-(((1+CHOOSE(B38,D17,D18))/(1+B4))^B16)</f>
        <v>0.20752956361649433</v>
      </c>
      <c r="F53" s="39"/>
    </row>
    <row r="54" spans="1:7" hidden="1">
      <c r="A54" s="6" t="s">
        <v>30</v>
      </c>
      <c r="B54" s="36">
        <f>B52*B53</f>
        <v>4.358120835946381</v>
      </c>
    </row>
    <row r="55" spans="1:7" hidden="1"/>
    <row r="56" spans="1:7" hidden="1"/>
    <row r="57" spans="1:7" hidden="1">
      <c r="A57" s="41" t="s">
        <v>36</v>
      </c>
    </row>
    <row r="58" spans="1:7" hidden="1">
      <c r="A58" t="s">
        <v>37</v>
      </c>
      <c r="B58" s="18">
        <f>$G$3*(1+C$9)</f>
        <v>1618.6963799999999</v>
      </c>
      <c r="C58" s="18">
        <f>B58*(1+D$9)</f>
        <v>1699.6311989999999</v>
      </c>
      <c r="D58" s="18">
        <f>C58*(1+E$9)</f>
        <v>1784.6127589499999</v>
      </c>
      <c r="E58" s="18">
        <f>D58*(1+F$9)</f>
        <v>1873.8433968975</v>
      </c>
      <c r="F58" s="18">
        <f>E58*(1+G$9)</f>
        <v>1967.5355667423751</v>
      </c>
    </row>
    <row r="59" spans="1:7" hidden="1">
      <c r="A59" t="s">
        <v>38</v>
      </c>
      <c r="B59" s="18">
        <f>B58*C$11</f>
        <v>485.60891399999991</v>
      </c>
      <c r="C59" s="18">
        <f>C58*D$11</f>
        <v>424.90779974999998</v>
      </c>
      <c r="D59" s="18">
        <f>D58*E$11</f>
        <v>446.15318973749999</v>
      </c>
      <c r="E59" s="18">
        <f>E58*F$11</f>
        <v>468.46084922437501</v>
      </c>
      <c r="F59" s="18">
        <f>F58*G$11</f>
        <v>491.88389168559377</v>
      </c>
    </row>
    <row r="60" spans="1:7" hidden="1">
      <c r="B60" s="20">
        <f>B59/B58</f>
        <v>0.3</v>
      </c>
      <c r="C60" s="20">
        <f>C59/C58</f>
        <v>0.25</v>
      </c>
      <c r="D60" s="20">
        <f>D59/D58</f>
        <v>0.25</v>
      </c>
      <c r="E60" s="20">
        <f>E59/E58</f>
        <v>0.25</v>
      </c>
      <c r="F60" s="20">
        <f>F59/F58</f>
        <v>0.25</v>
      </c>
    </row>
    <row r="61" spans="1:7" hidden="1">
      <c r="A61" t="s">
        <v>39</v>
      </c>
      <c r="B61" s="38">
        <f t="shared" ref="B61:E61" si="2">B59-(C$12*B59)</f>
        <v>121.40222849999998</v>
      </c>
      <c r="C61" s="38">
        <f t="shared" si="2"/>
        <v>127.47233992500003</v>
      </c>
      <c r="D61" s="38">
        <f t="shared" si="2"/>
        <v>156.153616408125</v>
      </c>
      <c r="E61" s="38">
        <f t="shared" si="2"/>
        <v>173.33051421301877</v>
      </c>
      <c r="F61" s="38">
        <f>F59-(G$12*F59)</f>
        <v>181.99703992366972</v>
      </c>
    </row>
    <row r="62" spans="1:7" hidden="1">
      <c r="A62" t="s">
        <v>42</v>
      </c>
      <c r="B62" s="18">
        <f ca="1">B61*EXP(-$B$4*B$42/365.25)</f>
        <v>117.54280861146982</v>
      </c>
      <c r="C62" s="18">
        <f ca="1">C61*EXP(-$B$4*C$42/365.25)</f>
        <v>111.68263202327751</v>
      </c>
      <c r="D62" s="18">
        <f ca="1">D61*EXP(-$B$4*D$42/365.25)</f>
        <v>123.80038827404114</v>
      </c>
      <c r="E62" s="18">
        <f ca="1">E61*EXP(-$B$4*E$42/365.25)</f>
        <v>124.31580880115293</v>
      </c>
      <c r="F62" s="18">
        <f ca="1">F61*EXP(-$B$4*F$42/365.25)</f>
        <v>118.11795968656553</v>
      </c>
      <c r="G62" s="18">
        <f ca="1">SUM(B62:F62)</f>
        <v>595.45959739650687</v>
      </c>
    </row>
    <row r="63" spans="1:7" hidden="1">
      <c r="A63" t="s">
        <v>41</v>
      </c>
      <c r="F63" s="38">
        <f>((1+$D$18)/($B$4-$D$18)*(1-(((1+$D$18)/(1+$B$4))^$B$16)))</f>
        <v>4.358120835946381</v>
      </c>
      <c r="G63" s="18">
        <f ca="1">F63*F62</f>
        <v>514.77234120949583</v>
      </c>
    </row>
    <row r="64" spans="1:7" hidden="1">
      <c r="A64" t="s">
        <v>40</v>
      </c>
      <c r="B64" s="38"/>
      <c r="F64" s="18">
        <f>F61*EXP($C$18*$B$16)</f>
        <v>233.68882502392552</v>
      </c>
    </row>
    <row r="65" spans="1:7" hidden="1">
      <c r="A65" t="s">
        <v>43</v>
      </c>
      <c r="F65" s="18">
        <f ca="1">F64*EXP(-$B$4*B$48/365.25)</f>
        <v>91.996656111135266</v>
      </c>
      <c r="G65" s="42">
        <f ca="1">F65*B$51</f>
        <v>1931.9297783338407</v>
      </c>
    </row>
    <row r="66" spans="1:7" hidden="1">
      <c r="A66" t="s">
        <v>44</v>
      </c>
      <c r="G66" s="18">
        <f ca="1">SUM(G62:G63,G65)</f>
        <v>3042.1617169398432</v>
      </c>
    </row>
    <row r="67" spans="1:7" hidden="1">
      <c r="A67" t="s">
        <v>25</v>
      </c>
      <c r="G67" s="43">
        <f ca="1">G66/$G$4</f>
        <v>36.799787643608084</v>
      </c>
    </row>
    <row r="68" spans="1:7" hidden="1">
      <c r="G68" s="38"/>
    </row>
    <row r="69" spans="1:7" hidden="1">
      <c r="A69" s="41" t="s">
        <v>45</v>
      </c>
    </row>
    <row r="70" spans="1:7" hidden="1">
      <c r="A70" t="s">
        <v>37</v>
      </c>
      <c r="B70" s="18">
        <f>$G$3*(1+C$9)</f>
        <v>1618.6963799999999</v>
      </c>
      <c r="C70" s="18">
        <f>B70*(1+D$9)</f>
        <v>1699.6311989999999</v>
      </c>
      <c r="D70" s="18">
        <f>C70*(1+E$9)</f>
        <v>1784.6127589499999</v>
      </c>
      <c r="E70" s="18">
        <f>D70*(1+F$9)</f>
        <v>1873.8433968975</v>
      </c>
      <c r="F70" s="18">
        <f>E70*(1+G$9)</f>
        <v>1967.5355667423751</v>
      </c>
    </row>
    <row r="71" spans="1:7" hidden="1">
      <c r="A71" t="s">
        <v>38</v>
      </c>
      <c r="B71" s="18">
        <f>B70*C$11</f>
        <v>485.60891399999991</v>
      </c>
      <c r="C71" s="18">
        <f>C70*D$11</f>
        <v>424.90779974999998</v>
      </c>
      <c r="D71" s="18">
        <f>D70*E$11</f>
        <v>446.15318973749999</v>
      </c>
      <c r="E71" s="18">
        <f>E70*F$11</f>
        <v>468.46084922437501</v>
      </c>
      <c r="F71" s="18">
        <f>F70*G$11</f>
        <v>491.88389168559377</v>
      </c>
    </row>
    <row r="72" spans="1:7" hidden="1">
      <c r="A72" t="s">
        <v>39</v>
      </c>
      <c r="B72" s="38">
        <f t="shared" ref="B72:E72" si="3">B71-(C$12*B71)</f>
        <v>121.40222849999998</v>
      </c>
      <c r="C72" s="38">
        <f t="shared" si="3"/>
        <v>127.47233992500003</v>
      </c>
      <c r="D72" s="38">
        <f t="shared" si="3"/>
        <v>156.153616408125</v>
      </c>
      <c r="E72" s="38">
        <f t="shared" si="3"/>
        <v>173.33051421301877</v>
      </c>
      <c r="F72" s="38">
        <f>F71-(G$12*F71)</f>
        <v>181.99703992366972</v>
      </c>
    </row>
    <row r="73" spans="1:7" hidden="1">
      <c r="A73" t="s">
        <v>42</v>
      </c>
      <c r="B73" s="18">
        <f ca="1">B72*EXP(-$B$4*B$42/365.25)</f>
        <v>117.54280861146982</v>
      </c>
      <c r="C73" s="18">
        <f ca="1">C72*EXP(-$B$4*C$42/365.25)</f>
        <v>111.68263202327751</v>
      </c>
      <c r="D73" s="18">
        <f ca="1">D72*EXP(-$B$4*D$42/365.25)</f>
        <v>123.80038827404114</v>
      </c>
      <c r="E73" s="18">
        <f ca="1">E72*EXP(-$B$4*E$42/365.25)</f>
        <v>124.31580880115293</v>
      </c>
      <c r="F73" s="18">
        <f ca="1">F72*EXP(-$B$4*F$42/365.25)</f>
        <v>118.11795968656553</v>
      </c>
      <c r="G73" s="18">
        <f ca="1">SUM(B73:F73)</f>
        <v>595.45959739650687</v>
      </c>
    </row>
    <row r="74" spans="1:7" hidden="1">
      <c r="A74" t="s">
        <v>41</v>
      </c>
      <c r="F74" s="38">
        <f>((1+$D$17)/($B$4-$D$17)*(1-(((1+$D$17)/(1+$B$4))^$B$16)))</f>
        <v>4.6054841458295943</v>
      </c>
      <c r="G74" s="18">
        <f ca="1">F74*F73</f>
        <v>543.99039067421666</v>
      </c>
    </row>
    <row r="75" spans="1:7" hidden="1">
      <c r="A75" t="s">
        <v>40</v>
      </c>
      <c r="B75" s="38"/>
      <c r="F75" s="18">
        <f>F72*EXP($C$17*$B$16)</f>
        <v>258.26609329571119</v>
      </c>
    </row>
    <row r="76" spans="1:7" hidden="1">
      <c r="A76" t="s">
        <v>43</v>
      </c>
      <c r="F76" s="18">
        <f ca="1">F75*EXP(-$B$4*B$48/365.25)</f>
        <v>101.67202889423302</v>
      </c>
      <c r="G76" s="42">
        <f ca="1">F76*B$51</f>
        <v>2135.1126067788937</v>
      </c>
    </row>
    <row r="77" spans="1:7" hidden="1">
      <c r="A77" t="s">
        <v>44</v>
      </c>
      <c r="G77" s="18">
        <f ca="1">SUM(G73:G74,G76)</f>
        <v>3274.5625948496172</v>
      </c>
    </row>
    <row r="78" spans="1:7" hidden="1">
      <c r="A78" t="s">
        <v>25</v>
      </c>
      <c r="G78" s="43">
        <f ca="1">G77/$G$4</f>
        <v>39.61104613379468</v>
      </c>
    </row>
    <row r="79" spans="1:7" hidden="1"/>
    <row r="80" spans="1:7" hidden="1">
      <c r="A80" s="41" t="s">
        <v>46</v>
      </c>
    </row>
    <row r="81" spans="1:7" hidden="1">
      <c r="A81" t="s">
        <v>37</v>
      </c>
      <c r="B81" s="18">
        <f>$G$3*(1+C$9)</f>
        <v>1618.6963799999999</v>
      </c>
      <c r="C81" s="18">
        <f>B81*(1+D$9)</f>
        <v>1699.6311989999999</v>
      </c>
      <c r="D81" s="18">
        <f>C81*(1+E$9)</f>
        <v>1784.6127589499999</v>
      </c>
      <c r="E81" s="18">
        <f>D81*(1+F$9)</f>
        <v>1873.8433968975</v>
      </c>
      <c r="F81" s="18">
        <f>E81*(1+G$9)</f>
        <v>1967.5355667423751</v>
      </c>
    </row>
    <row r="82" spans="1:7" hidden="1">
      <c r="A82" t="s">
        <v>38</v>
      </c>
      <c r="B82" s="18">
        <f>B81*C$10</f>
        <v>493.70239589999994</v>
      </c>
      <c r="C82" s="18">
        <f>C81*D$10</f>
        <v>543.88198367999996</v>
      </c>
      <c r="D82" s="18">
        <f>D81*E$10</f>
        <v>571.076082864</v>
      </c>
      <c r="E82" s="18">
        <f>E81*F$10</f>
        <v>599.62988700720007</v>
      </c>
      <c r="F82" s="18">
        <f>F81*G$10</f>
        <v>629.61138135756005</v>
      </c>
    </row>
    <row r="83" spans="1:7" hidden="1">
      <c r="A83" t="s">
        <v>39</v>
      </c>
      <c r="B83" s="38">
        <f>B82-(C$12*B82)</f>
        <v>123.42559897499996</v>
      </c>
      <c r="C83" s="38">
        <f t="shared" ref="C83:F83" si="4">C82-(D$12*C82)</f>
        <v>163.164595104</v>
      </c>
      <c r="D83" s="38">
        <f t="shared" si="4"/>
        <v>199.87662900239997</v>
      </c>
      <c r="E83" s="38">
        <f t="shared" si="4"/>
        <v>221.86305819266403</v>
      </c>
      <c r="F83" s="38">
        <f t="shared" si="4"/>
        <v>232.95621110229723</v>
      </c>
    </row>
    <row r="84" spans="1:7" hidden="1">
      <c r="A84" t="s">
        <v>42</v>
      </c>
      <c r="B84" s="18">
        <f ca="1">B83*EXP(-$B$4*B$42/365.25)</f>
        <v>119.50185542166096</v>
      </c>
      <c r="C84" s="18">
        <f ca="1">C83*EXP(-$B$4*C$42/365.25)</f>
        <v>142.95376898979518</v>
      </c>
      <c r="D84" s="18">
        <f ca="1">D83*EXP(-$B$4*D$42/365.25)</f>
        <v>158.46449699077263</v>
      </c>
      <c r="E84" s="18">
        <f ca="1">E83*EXP(-$B$4*E$42/365.25)</f>
        <v>159.12423526547573</v>
      </c>
      <c r="F84" s="18">
        <f ca="1">F83*EXP(-$B$4*F$42/365.25)</f>
        <v>151.19098839880385</v>
      </c>
      <c r="G84" s="18">
        <f ca="1">SUM(B84:F84)</f>
        <v>731.23534506650833</v>
      </c>
    </row>
    <row r="85" spans="1:7" hidden="1">
      <c r="A85" t="s">
        <v>41</v>
      </c>
      <c r="F85" s="38">
        <f>((1+$D$18)/($B$4-$D$18)*(1-(((1+$D$18)/(1+$B$4))^$B$16)))</f>
        <v>4.358120835946381</v>
      </c>
      <c r="G85" s="18">
        <f ca="1">F85*F84</f>
        <v>658.90859674815465</v>
      </c>
    </row>
    <row r="86" spans="1:7" hidden="1">
      <c r="A86" t="s">
        <v>40</v>
      </c>
      <c r="B86" s="38"/>
      <c r="F86" s="18">
        <f>F83*EXP($C$18*$B$16)</f>
        <v>299.12169603062466</v>
      </c>
    </row>
    <row r="87" spans="1:7" hidden="1">
      <c r="A87" t="s">
        <v>43</v>
      </c>
      <c r="F87" s="18">
        <f ca="1">F86*EXP(-$B$4*B$48/365.25)</f>
        <v>117.75571982225314</v>
      </c>
      <c r="G87" s="42">
        <f ca="1">F87*B$51</f>
        <v>2472.870116267316</v>
      </c>
    </row>
    <row r="88" spans="1:7" hidden="1">
      <c r="A88" t="s">
        <v>44</v>
      </c>
      <c r="G88" s="18">
        <f ca="1">SUM(G84:G85,G87)</f>
        <v>3863.0140580819789</v>
      </c>
    </row>
    <row r="89" spans="1:7" hidden="1">
      <c r="A89" t="s">
        <v>25</v>
      </c>
      <c r="G89" s="43">
        <f ca="1">G88/$G$4</f>
        <v>46.729303116958725</v>
      </c>
    </row>
    <row r="90" spans="1:7" hidden="1"/>
    <row r="91" spans="1:7" hidden="1">
      <c r="A91" s="41" t="s">
        <v>47</v>
      </c>
    </row>
    <row r="92" spans="1:7" hidden="1">
      <c r="A92" t="s">
        <v>37</v>
      </c>
      <c r="B92" s="18">
        <f>$G$3*(1+C$9)</f>
        <v>1618.6963799999999</v>
      </c>
      <c r="C92" s="18">
        <f>B92*(1+D$9)</f>
        <v>1699.6311989999999</v>
      </c>
      <c r="D92" s="18">
        <f>C92*(1+E$9)</f>
        <v>1784.6127589499999</v>
      </c>
      <c r="E92" s="18">
        <f>D92*(1+F$9)</f>
        <v>1873.8433968975</v>
      </c>
      <c r="F92" s="18">
        <f>E92*(1+G$9)</f>
        <v>1967.5355667423751</v>
      </c>
    </row>
    <row r="93" spans="1:7" hidden="1">
      <c r="A93" t="s">
        <v>38</v>
      </c>
      <c r="B93" s="18">
        <f>B92*C$10</f>
        <v>493.70239589999994</v>
      </c>
      <c r="C93" s="18">
        <f>C92*D$10</f>
        <v>543.88198367999996</v>
      </c>
      <c r="D93" s="18">
        <f>D92*E$10</f>
        <v>571.076082864</v>
      </c>
      <c r="E93" s="18">
        <f>E92*F$10</f>
        <v>599.62988700720007</v>
      </c>
      <c r="F93" s="18">
        <f>F92*G$10</f>
        <v>629.61138135756005</v>
      </c>
    </row>
    <row r="94" spans="1:7" hidden="1">
      <c r="A94" t="s">
        <v>39</v>
      </c>
      <c r="B94" s="38">
        <f>B93-(C$12*B93)</f>
        <v>123.42559897499996</v>
      </c>
      <c r="C94" s="38">
        <f t="shared" ref="C94" si="5">C93-(D$12*C93)</f>
        <v>163.164595104</v>
      </c>
      <c r="D94" s="38">
        <f t="shared" ref="D94" si="6">D93-(E$12*D93)</f>
        <v>199.87662900239997</v>
      </c>
      <c r="E94" s="38">
        <f t="shared" ref="E94" si="7">E93-(F$12*E93)</f>
        <v>221.86305819266403</v>
      </c>
      <c r="F94" s="38">
        <f t="shared" ref="F94" si="8">F93-(G$12*F93)</f>
        <v>232.95621110229723</v>
      </c>
    </row>
    <row r="95" spans="1:7" hidden="1">
      <c r="A95" t="s">
        <v>42</v>
      </c>
      <c r="B95" s="18">
        <f ca="1">B94*EXP(-$B$4*B$42/365.25)</f>
        <v>119.50185542166096</v>
      </c>
      <c r="C95" s="18">
        <f ca="1">C94*EXP(-$B$4*C$42/365.25)</f>
        <v>142.95376898979518</v>
      </c>
      <c r="D95" s="18">
        <f ca="1">D94*EXP(-$B$4*D$42/365.25)</f>
        <v>158.46449699077263</v>
      </c>
      <c r="E95" s="18">
        <f ca="1">E94*EXP(-$B$4*E$42/365.25)</f>
        <v>159.12423526547573</v>
      </c>
      <c r="F95" s="18">
        <f ca="1">F94*EXP(-$B$4*F$42/365.25)</f>
        <v>151.19098839880385</v>
      </c>
      <c r="G95" s="18">
        <f ca="1">SUM(B95:F95)</f>
        <v>731.23534506650833</v>
      </c>
    </row>
    <row r="96" spans="1:7" hidden="1">
      <c r="A96" t="s">
        <v>41</v>
      </c>
      <c r="F96" s="38">
        <f>((1+$D$17)/($B$4-$D$17)*(1-(((1+$D$17)/(1+$B$4))^$B$16)))</f>
        <v>4.6054841458295943</v>
      </c>
      <c r="G96" s="18">
        <f ca="1">F96*F95</f>
        <v>696.30770006299724</v>
      </c>
    </row>
    <row r="97" spans="1:7" hidden="1">
      <c r="A97" t="s">
        <v>40</v>
      </c>
      <c r="B97" s="38"/>
      <c r="F97" s="18">
        <f>F94*EXP($C$17*$B$16)</f>
        <v>330.5805994185103</v>
      </c>
    </row>
    <row r="98" spans="1:7" hidden="1">
      <c r="A98" t="s">
        <v>43</v>
      </c>
      <c r="F98" s="18">
        <f ca="1">F97*EXP(-$B$4*B$48/365.25)</f>
        <v>130.14019698461826</v>
      </c>
      <c r="G98" s="42">
        <f ca="1">F98*B$51</f>
        <v>2732.9441366769834</v>
      </c>
    </row>
    <row r="99" spans="1:7" hidden="1">
      <c r="A99" t="s">
        <v>44</v>
      </c>
      <c r="G99" s="18">
        <f ca="1">SUM(G95:G96,G98)</f>
        <v>4160.4871818064894</v>
      </c>
    </row>
    <row r="100" spans="1:7" hidden="1">
      <c r="A100" t="s">
        <v>25</v>
      </c>
      <c r="G100" s="43">
        <f ca="1">G99/$G$4</f>
        <v>50.327713984397569</v>
      </c>
    </row>
    <row r="101" spans="1:7" hidden="1"/>
    <row r="102" spans="1:7" hidden="1">
      <c r="A102" s="41" t="s">
        <v>48</v>
      </c>
    </row>
    <row r="103" spans="1:7" hidden="1">
      <c r="A103" t="s">
        <v>37</v>
      </c>
      <c r="B103" s="18">
        <f>$G$3*(1+C$8)</f>
        <v>1618.6963799999999</v>
      </c>
      <c r="C103" s="18">
        <f>B103*(1+D$8)</f>
        <v>1748.1920903999999</v>
      </c>
      <c r="D103" s="18">
        <f>C103*(1+E$8)</f>
        <v>1888.047457632</v>
      </c>
      <c r="E103" s="18">
        <f>D103*(1+F$8)</f>
        <v>2039.0912542425601</v>
      </c>
      <c r="F103" s="18">
        <f>E103*(1+G$8)</f>
        <v>2202.2185545819652</v>
      </c>
    </row>
    <row r="104" spans="1:7" hidden="1">
      <c r="A104" t="s">
        <v>38</v>
      </c>
      <c r="B104" s="18">
        <f>B103*C$11</f>
        <v>485.60891399999991</v>
      </c>
      <c r="C104" s="18">
        <f>C103*D$11</f>
        <v>437.04802259999997</v>
      </c>
      <c r="D104" s="18">
        <f>D103*E$11</f>
        <v>472.01186440800001</v>
      </c>
      <c r="E104" s="18">
        <f>E103*F$11</f>
        <v>509.77281356064003</v>
      </c>
      <c r="F104" s="18">
        <f>F103*G$11</f>
        <v>550.55463864549131</v>
      </c>
    </row>
    <row r="105" spans="1:7" hidden="1">
      <c r="A105" t="s">
        <v>39</v>
      </c>
      <c r="B105" s="38">
        <f>B104-(C$12*B104)</f>
        <v>121.40222849999998</v>
      </c>
      <c r="C105" s="38">
        <f t="shared" ref="C105" si="9">C104-(D$12*C104)</f>
        <v>131.11440678000002</v>
      </c>
      <c r="D105" s="38">
        <f t="shared" ref="D105" si="10">D104-(E$12*D104)</f>
        <v>165.20415254279999</v>
      </c>
      <c r="E105" s="38">
        <f t="shared" ref="E105" si="11">E104-(F$12*E104)</f>
        <v>188.6159410174368</v>
      </c>
      <c r="F105" s="38">
        <f t="shared" ref="F105" si="12">F104-(G$12*F104)</f>
        <v>203.70521629883177</v>
      </c>
    </row>
    <row r="106" spans="1:7" hidden="1">
      <c r="A106" t="s">
        <v>42</v>
      </c>
      <c r="B106" s="18">
        <f ca="1">B105*EXP(-$B$4*B$42/365.25)</f>
        <v>117.54280861146982</v>
      </c>
      <c r="C106" s="18">
        <f ca="1">C105*EXP(-$B$4*C$42/365.25)</f>
        <v>114.87356436679971</v>
      </c>
      <c r="D106" s="18">
        <f ca="1">D105*EXP(-$B$4*D$42/365.25)</f>
        <v>130.97575771686311</v>
      </c>
      <c r="E106" s="18">
        <f ca="1">E105*EXP(-$B$4*E$42/365.25)</f>
        <v>135.27879592831698</v>
      </c>
      <c r="F106" s="18">
        <f ca="1">F105*EXP(-$B$4*F$42/365.25)</f>
        <v>132.20679048857005</v>
      </c>
      <c r="G106" s="18">
        <f ca="1">SUM(B106:F106)</f>
        <v>630.8777171120197</v>
      </c>
    </row>
    <row r="107" spans="1:7" hidden="1">
      <c r="A107" t="s">
        <v>41</v>
      </c>
      <c r="F107" s="38">
        <f>((1+$D$18)/($B$4-$D$18)*(1-(((1+$D$18)/(1+$B$4))^$B$16)))</f>
        <v>4.358120835946381</v>
      </c>
      <c r="G107" s="18">
        <f ca="1">F107*F106</f>
        <v>576.17316828183493</v>
      </c>
    </row>
    <row r="108" spans="1:7" hidden="1">
      <c r="A108" t="s">
        <v>40</v>
      </c>
      <c r="B108" s="38"/>
      <c r="F108" s="18">
        <f>F105*EXP($C$18*$B$16)</f>
        <v>261.56267523957393</v>
      </c>
    </row>
    <row r="109" spans="1:7" hidden="1">
      <c r="A109" t="s">
        <v>43</v>
      </c>
      <c r="F109" s="18">
        <f ca="1">F108*EXP(-$B$4*B$48/365.25)</f>
        <v>102.96979961733314</v>
      </c>
      <c r="G109" s="42">
        <f ca="1">F109*B$51</f>
        <v>2162.3657919639959</v>
      </c>
    </row>
    <row r="110" spans="1:7" hidden="1">
      <c r="A110" t="s">
        <v>44</v>
      </c>
      <c r="G110" s="18">
        <f ca="1">SUM(G106:G107,G109)</f>
        <v>3369.4166773578504</v>
      </c>
    </row>
    <row r="111" spans="1:7" hidden="1">
      <c r="A111" t="s">
        <v>25</v>
      </c>
      <c r="G111" s="43">
        <f ca="1">G110/$G$4</f>
        <v>40.758457224400189</v>
      </c>
    </row>
    <row r="112" spans="1:7" hidden="1"/>
    <row r="113" spans="1:7" hidden="1">
      <c r="A113" s="41" t="s">
        <v>49</v>
      </c>
    </row>
    <row r="114" spans="1:7" hidden="1">
      <c r="A114" t="s">
        <v>37</v>
      </c>
      <c r="B114" s="18">
        <f>$G$3*(1+C$8)</f>
        <v>1618.6963799999999</v>
      </c>
      <c r="C114" s="18">
        <f>B114*(1+D$8)</f>
        <v>1748.1920903999999</v>
      </c>
      <c r="D114" s="18">
        <f>C114*(1+E$8)</f>
        <v>1888.047457632</v>
      </c>
      <c r="E114" s="18">
        <f>D114*(1+F$8)</f>
        <v>2039.0912542425601</v>
      </c>
      <c r="F114" s="18">
        <f>E114*(1+G$8)</f>
        <v>2202.2185545819652</v>
      </c>
    </row>
    <row r="115" spans="1:7" hidden="1">
      <c r="A115" t="s">
        <v>38</v>
      </c>
      <c r="B115" s="18">
        <f>B114*C$11</f>
        <v>485.60891399999991</v>
      </c>
      <c r="C115" s="18">
        <f>C114*D$11</f>
        <v>437.04802259999997</v>
      </c>
      <c r="D115" s="18">
        <f>D114*E$11</f>
        <v>472.01186440800001</v>
      </c>
      <c r="E115" s="18">
        <f>E114*F$11</f>
        <v>509.77281356064003</v>
      </c>
      <c r="F115" s="18">
        <f>F114*G$11</f>
        <v>550.55463864549131</v>
      </c>
    </row>
    <row r="116" spans="1:7" hidden="1">
      <c r="A116" t="s">
        <v>39</v>
      </c>
      <c r="B116" s="38">
        <f>B115-(C$12*B115)</f>
        <v>121.40222849999998</v>
      </c>
      <c r="C116" s="38">
        <f t="shared" ref="C116" si="13">C115-(D$12*C115)</f>
        <v>131.11440678000002</v>
      </c>
      <c r="D116" s="38">
        <f t="shared" ref="D116" si="14">D115-(E$12*D115)</f>
        <v>165.20415254279999</v>
      </c>
      <c r="E116" s="38">
        <f t="shared" ref="E116" si="15">E115-(F$12*E115)</f>
        <v>188.6159410174368</v>
      </c>
      <c r="F116" s="38">
        <f t="shared" ref="F116" si="16">F115-(G$12*F115)</f>
        <v>203.70521629883177</v>
      </c>
    </row>
    <row r="117" spans="1:7" hidden="1">
      <c r="A117" t="s">
        <v>42</v>
      </c>
      <c r="B117" s="18">
        <f ca="1">B116*EXP(-$B$4*B$42/365.25)</f>
        <v>117.54280861146982</v>
      </c>
      <c r="C117" s="18">
        <f ca="1">C116*EXP(-$B$4*C$42/365.25)</f>
        <v>114.87356436679971</v>
      </c>
      <c r="D117" s="18">
        <f ca="1">D116*EXP(-$B$4*D$42/365.25)</f>
        <v>130.97575771686311</v>
      </c>
      <c r="E117" s="18">
        <f ca="1">E116*EXP(-$B$4*E$42/365.25)</f>
        <v>135.27879592831698</v>
      </c>
      <c r="F117" s="18">
        <f ca="1">F116*EXP(-$B$4*F$42/365.25)</f>
        <v>132.20679048857005</v>
      </c>
      <c r="G117" s="18">
        <f ca="1">SUM(B117:F117)</f>
        <v>630.8777171120197</v>
      </c>
    </row>
    <row r="118" spans="1:7" hidden="1">
      <c r="A118" t="s">
        <v>41</v>
      </c>
      <c r="F118" s="38">
        <f>((1+$D$17)/($B$4-$D$17)*(1-(((1+$D$17)/(1+$B$4))^$B$16)))</f>
        <v>4.6054841458295943</v>
      </c>
      <c r="G118" s="18">
        <f ca="1">F118*F117</f>
        <v>608.87627756612414</v>
      </c>
    </row>
    <row r="119" spans="1:7" hidden="1">
      <c r="A119" t="s">
        <v>40</v>
      </c>
      <c r="B119" s="38"/>
      <c r="F119" s="18">
        <f>F116*EXP($C$17*$B$16)</f>
        <v>289.07146192884244</v>
      </c>
    </row>
    <row r="120" spans="1:7" hidden="1">
      <c r="A120" t="s">
        <v>43</v>
      </c>
      <c r="F120" s="18">
        <f ca="1">F119*EXP(-$B$4*B$48/365.25)</f>
        <v>113.79922797715356</v>
      </c>
      <c r="G120" s="42">
        <f ca="1">F120*B$51</f>
        <v>2389.7837875202249</v>
      </c>
    </row>
    <row r="121" spans="1:7" hidden="1">
      <c r="A121" t="s">
        <v>44</v>
      </c>
      <c r="G121" s="18">
        <f ca="1">SUM(G117:G118,G120)</f>
        <v>3629.5377821983689</v>
      </c>
    </row>
    <row r="122" spans="1:7" hidden="1">
      <c r="A122" t="s">
        <v>25</v>
      </c>
      <c r="G122" s="43">
        <f ca="1">G121/$G$4</f>
        <v>43.905035976755542</v>
      </c>
    </row>
    <row r="123" spans="1:7" hidden="1"/>
    <row r="124" spans="1:7" hidden="1">
      <c r="A124" s="41" t="s">
        <v>50</v>
      </c>
    </row>
    <row r="125" spans="1:7" hidden="1">
      <c r="A125" t="s">
        <v>37</v>
      </c>
      <c r="B125" s="18">
        <f>$G$3*(1+C$8)</f>
        <v>1618.6963799999999</v>
      </c>
      <c r="C125" s="18">
        <f>B125*(1+D$8)</f>
        <v>1748.1920903999999</v>
      </c>
      <c r="D125" s="18">
        <f>C125*(1+E$8)</f>
        <v>1888.047457632</v>
      </c>
      <c r="E125" s="18">
        <f>D125*(1+F$8)</f>
        <v>2039.0912542425601</v>
      </c>
      <c r="F125" s="18">
        <f>E125*(1+G$8)</f>
        <v>2202.2185545819652</v>
      </c>
    </row>
    <row r="126" spans="1:7" hidden="1">
      <c r="A126" t="s">
        <v>38</v>
      </c>
      <c r="B126" s="18">
        <f>B125*C$10</f>
        <v>493.70239589999994</v>
      </c>
      <c r="C126" s="18">
        <f>C125*D$10</f>
        <v>559.42146892799997</v>
      </c>
      <c r="D126" s="18">
        <f>D125*E$10</f>
        <v>604.17518644224003</v>
      </c>
      <c r="E126" s="18">
        <f>E125*F$10</f>
        <v>652.5092013576193</v>
      </c>
      <c r="F126" s="18">
        <f>F125*G$10</f>
        <v>704.70993746622889</v>
      </c>
    </row>
    <row r="127" spans="1:7" hidden="1">
      <c r="A127" t="s">
        <v>39</v>
      </c>
      <c r="B127" s="38">
        <f>B126-(C$12*B126)</f>
        <v>123.42559897499996</v>
      </c>
      <c r="C127" s="38">
        <f t="shared" ref="C127" si="17">C126-(D$12*C126)</f>
        <v>167.82644067839999</v>
      </c>
      <c r="D127" s="38">
        <f t="shared" ref="D127" si="18">D126-(E$12*D126)</f>
        <v>211.46131525478398</v>
      </c>
      <c r="E127" s="38">
        <f t="shared" ref="E127" si="19">E126-(F$12*E126)</f>
        <v>241.42840450231915</v>
      </c>
      <c r="F127" s="38">
        <f t="shared" ref="F127" si="20">F126-(G$12*F126)</f>
        <v>260.74267686250471</v>
      </c>
    </row>
    <row r="128" spans="1:7" hidden="1">
      <c r="A128" t="s">
        <v>42</v>
      </c>
      <c r="B128" s="18">
        <f ca="1">B127*EXP(-$B$4*B$42/365.25)</f>
        <v>119.50185542166096</v>
      </c>
      <c r="C128" s="18">
        <f ca="1">C127*EXP(-$B$4*C$42/365.25)</f>
        <v>147.03816238950361</v>
      </c>
      <c r="D128" s="18">
        <f ca="1">D127*EXP(-$B$4*D$42/365.25)</f>
        <v>167.64896987758476</v>
      </c>
      <c r="E128" s="18">
        <f ca="1">E127*EXP(-$B$4*E$42/365.25)</f>
        <v>173.15685878824576</v>
      </c>
      <c r="F128" s="18">
        <f ca="1">F127*EXP(-$B$4*F$42/365.25)</f>
        <v>169.22469182536969</v>
      </c>
      <c r="G128" s="18">
        <f ca="1">SUM(B128:F128)</f>
        <v>776.57053830236487</v>
      </c>
    </row>
    <row r="129" spans="1:11" hidden="1">
      <c r="A129" t="s">
        <v>41</v>
      </c>
      <c r="F129" s="38">
        <f>((1+$D$18)/($B$4-$D$18)*(1-(((1+$D$18)/(1+$B$4))^$B$16)))</f>
        <v>4.358120835946381</v>
      </c>
      <c r="G129" s="18">
        <f ca="1">F129*F128</f>
        <v>737.50165540074886</v>
      </c>
    </row>
    <row r="130" spans="1:11" hidden="1">
      <c r="A130" t="s">
        <v>40</v>
      </c>
      <c r="B130" s="38"/>
      <c r="F130" s="18">
        <f>F127*EXP($C$18*$B$16)</f>
        <v>334.80022430665474</v>
      </c>
    </row>
    <row r="131" spans="1:11" hidden="1">
      <c r="A131" t="s">
        <v>43</v>
      </c>
      <c r="F131" s="18">
        <f ca="1">F130*EXP(-$B$4*B$48/365.25)</f>
        <v>131.80134351018646</v>
      </c>
      <c r="G131" s="42">
        <f ca="1">F131*B$51</f>
        <v>2767.8282137139154</v>
      </c>
    </row>
    <row r="132" spans="1:11" hidden="1">
      <c r="A132" t="s">
        <v>44</v>
      </c>
      <c r="G132" s="18">
        <f ca="1">SUM(G128:G129,G131)</f>
        <v>4281.9004074170289</v>
      </c>
    </row>
    <row r="133" spans="1:11" hidden="1">
      <c r="A133" t="s">
        <v>25</v>
      </c>
      <c r="G133" s="43">
        <f ca="1">G132/$G$4</f>
        <v>51.796400180372629</v>
      </c>
    </row>
    <row r="134" spans="1:11" hidden="1"/>
    <row r="135" spans="1:11" hidden="1">
      <c r="A135" s="41" t="s">
        <v>49</v>
      </c>
    </row>
    <row r="136" spans="1:11" hidden="1">
      <c r="A136" t="s">
        <v>37</v>
      </c>
      <c r="B136" s="18">
        <f>$G$3*(1+C$8)</f>
        <v>1618.6963799999999</v>
      </c>
      <c r="C136" s="18">
        <f>B136*(1+D$8)</f>
        <v>1748.1920903999999</v>
      </c>
      <c r="D136" s="18">
        <f>C136*(1+E$8)</f>
        <v>1888.047457632</v>
      </c>
      <c r="E136" s="18">
        <f>D136*(1+F$8)</f>
        <v>2039.0912542425601</v>
      </c>
      <c r="F136" s="18">
        <f>E136*(1+G$8)</f>
        <v>2202.2185545819652</v>
      </c>
    </row>
    <row r="137" spans="1:11" hidden="1">
      <c r="A137" t="s">
        <v>38</v>
      </c>
      <c r="B137" s="18">
        <f>B136*C$10</f>
        <v>493.70239589999994</v>
      </c>
      <c r="C137" s="18">
        <f>C136*D$10</f>
        <v>559.42146892799997</v>
      </c>
      <c r="D137" s="18">
        <f>D136*E$10</f>
        <v>604.17518644224003</v>
      </c>
      <c r="E137" s="18">
        <f>E136*F$10</f>
        <v>652.5092013576193</v>
      </c>
      <c r="F137" s="18">
        <f>F136*G$10</f>
        <v>704.70993746622889</v>
      </c>
    </row>
    <row r="138" spans="1:11" hidden="1">
      <c r="A138" t="s">
        <v>39</v>
      </c>
      <c r="B138" s="38">
        <f>B137-(C$12*B137)</f>
        <v>123.42559897499996</v>
      </c>
      <c r="C138" s="38">
        <f t="shared" ref="C138" si="21">C137-(D$12*C137)</f>
        <v>167.82644067839999</v>
      </c>
      <c r="D138" s="38">
        <f t="shared" ref="D138" si="22">D137-(E$12*D137)</f>
        <v>211.46131525478398</v>
      </c>
      <c r="E138" s="38">
        <f t="shared" ref="E138" si="23">E137-(F$12*E137)</f>
        <v>241.42840450231915</v>
      </c>
      <c r="F138" s="38">
        <f t="shared" ref="F138" si="24">F137-(G$12*F137)</f>
        <v>260.74267686250471</v>
      </c>
    </row>
    <row r="139" spans="1:11" hidden="1">
      <c r="A139" t="s">
        <v>42</v>
      </c>
      <c r="B139" s="18">
        <f ca="1">B138*EXP(-$B$4*B$42/365.25)</f>
        <v>119.50185542166096</v>
      </c>
      <c r="C139" s="18">
        <f ca="1">C138*EXP(-$B$4*C$42/365.25)</f>
        <v>147.03816238950361</v>
      </c>
      <c r="D139" s="18">
        <f ca="1">D138*EXP(-$B$4*D$42/365.25)</f>
        <v>167.64896987758476</v>
      </c>
      <c r="E139" s="18">
        <f ca="1">E138*EXP(-$B$4*E$42/365.25)</f>
        <v>173.15685878824576</v>
      </c>
      <c r="F139" s="18">
        <f ca="1">F138*EXP(-$B$4*F$42/365.25)</f>
        <v>169.22469182536969</v>
      </c>
      <c r="G139" s="18">
        <f ca="1">SUM(B139:F139)</f>
        <v>776.57053830236487</v>
      </c>
      <c r="H139" s="18"/>
      <c r="I139" s="18"/>
      <c r="J139" s="18"/>
      <c r="K139" s="18"/>
    </row>
    <row r="140" spans="1:11" hidden="1">
      <c r="A140" t="s">
        <v>41</v>
      </c>
      <c r="F140" s="38">
        <f>((1+$D$17)/($B$4-$D$17)*(1-(((1+$D$17)/(1+$B$4))^$B$16)))</f>
        <v>4.6054841458295943</v>
      </c>
      <c r="G140" s="18">
        <f ca="1">F140*F139</f>
        <v>779.36163528463908</v>
      </c>
    </row>
    <row r="141" spans="1:11" hidden="1">
      <c r="A141" t="s">
        <v>40</v>
      </c>
      <c r="B141" s="38"/>
      <c r="F141" s="18">
        <f>F138*EXP($C$17*$B$16)</f>
        <v>370.0114712689184</v>
      </c>
    </row>
    <row r="142" spans="1:11" hidden="1">
      <c r="A142" t="s">
        <v>43</v>
      </c>
      <c r="F142" s="18">
        <f ca="1">F141*EXP(-$B$4*B$48/365.25)</f>
        <v>145.66301181075659</v>
      </c>
      <c r="G142" s="42">
        <f ca="1">F142*B$51</f>
        <v>3058.9232480258884</v>
      </c>
    </row>
    <row r="143" spans="1:11" hidden="1">
      <c r="A143" t="s">
        <v>44</v>
      </c>
      <c r="G143" s="18">
        <f ca="1">SUM(G139:G140,G142)</f>
        <v>4614.8554216128923</v>
      </c>
    </row>
    <row r="144" spans="1:11" hidden="1">
      <c r="A144" t="s">
        <v>25</v>
      </c>
      <c r="G144" s="43">
        <f ca="1">G143/$G$4</f>
        <v>55.824020983387484</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Normal="100" workbookViewId="0">
      <selection activeCell="H28" sqref="H28"/>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v>754.21400000000006</v>
      </c>
      <c r="C3" s="107">
        <v>977.36099999999999</v>
      </c>
      <c r="D3" s="107">
        <v>710.07600000000002</v>
      </c>
      <c r="E3" s="107">
        <v>840.79100000000005</v>
      </c>
      <c r="F3" s="107">
        <v>988.79100000000005</v>
      </c>
      <c r="G3" s="107">
        <v>1034.046</v>
      </c>
      <c r="H3" s="107">
        <v>1041.019</v>
      </c>
      <c r="I3" s="107">
        <v>1350.9179999999999</v>
      </c>
      <c r="J3" s="107">
        <v>1639.25</v>
      </c>
      <c r="K3" s="107">
        <v>1651.731</v>
      </c>
    </row>
    <row r="4" spans="1:11">
      <c r="A4" s="108" t="s">
        <v>131</v>
      </c>
      <c r="B4" s="108"/>
      <c r="C4" s="109">
        <f t="shared" ref="C4:F4" si="0">IFERROR(C3/B3-1,"")</f>
        <v>0.29586695553251463</v>
      </c>
      <c r="D4" s="109">
        <f t="shared" si="0"/>
        <v>-0.27347622833323615</v>
      </c>
      <c r="E4" s="109">
        <f t="shared" si="0"/>
        <v>0.18408592883015351</v>
      </c>
      <c r="F4" s="109">
        <f t="shared" si="0"/>
        <v>0.1760247195795388</v>
      </c>
      <c r="G4" s="109">
        <f>IFERROR(G3/F3-1,"")</f>
        <v>4.5768013665173024E-2</v>
      </c>
      <c r="H4" s="109">
        <f t="shared" ref="H4:K4" si="1">IFERROR(H3/G3-1,"")</f>
        <v>6.7434137359458912E-3</v>
      </c>
      <c r="I4" s="109">
        <f t="shared" si="1"/>
        <v>0.29768813057206445</v>
      </c>
      <c r="J4" s="109">
        <f t="shared" si="1"/>
        <v>0.21343412405490203</v>
      </c>
      <c r="K4" s="109">
        <f t="shared" si="1"/>
        <v>7.6138477962481854E-3</v>
      </c>
    </row>
    <row r="5" spans="1:11">
      <c r="A5" s="108" t="s">
        <v>132</v>
      </c>
      <c r="B5" s="108"/>
      <c r="C5" s="108"/>
      <c r="D5" s="108"/>
      <c r="E5" s="109">
        <f>IFERROR(SUM(C3:E3)/SUM(B3:D3)-1,"")</f>
        <v>3.5458384511136254E-2</v>
      </c>
      <c r="F5" s="109">
        <f t="shared" ref="F5:K5" si="2">IFERROR(SUM(D3:F3)/SUM(C3:E3)-1,"")</f>
        <v>4.5209530153136335E-3</v>
      </c>
      <c r="G5" s="109">
        <f t="shared" si="2"/>
        <v>0.12756442009120894</v>
      </c>
      <c r="H5" s="109">
        <f t="shared" si="2"/>
        <v>6.9921093102874865E-2</v>
      </c>
      <c r="I5" s="109">
        <f t="shared" si="2"/>
        <v>0.11819321795802429</v>
      </c>
      <c r="J5" s="109">
        <f t="shared" si="2"/>
        <v>0.17665119762707504</v>
      </c>
      <c r="K5" s="109">
        <f t="shared" si="2"/>
        <v>0.15149681719056929</v>
      </c>
    </row>
    <row r="6" spans="1:11">
      <c r="A6" s="108" t="s">
        <v>133</v>
      </c>
      <c r="B6" s="108"/>
      <c r="C6" s="108"/>
      <c r="D6" s="108"/>
      <c r="E6" s="108"/>
      <c r="F6" s="110"/>
      <c r="G6" s="109">
        <f>IFERROR(SUM(C3:G3)/SUM(B3:F3)-1,"")</f>
        <v>6.5515508051187998E-2</v>
      </c>
      <c r="H6" s="109">
        <f t="shared" ref="H6:K6" si="3">IFERROR(SUM(D3:H3)/SUM(C3:G3)-1,"")</f>
        <v>1.3987495234631941E-2</v>
      </c>
      <c r="I6" s="109">
        <f t="shared" si="3"/>
        <v>0.13886900687213477</v>
      </c>
      <c r="J6" s="109">
        <f t="shared" si="3"/>
        <v>0.15192638660163071</v>
      </c>
      <c r="K6" s="109">
        <f t="shared" si="3"/>
        <v>0.10950402575212803</v>
      </c>
    </row>
    <row r="8" spans="1:11" s="9" customFormat="1" ht="15.7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v>93.498999999999995</v>
      </c>
      <c r="C9" s="113">
        <v>95.578999999999994</v>
      </c>
      <c r="D9" s="113">
        <v>82.975999999999999</v>
      </c>
      <c r="E9" s="113">
        <v>98.555000000000007</v>
      </c>
      <c r="F9" s="113">
        <v>91.042000000000002</v>
      </c>
      <c r="G9" s="113">
        <v>217.911</v>
      </c>
      <c r="H9" s="113">
        <v>155.11699999999999</v>
      </c>
      <c r="I9" s="113">
        <v>251.61500000000001</v>
      </c>
      <c r="J9" s="113">
        <v>381.15600000000001</v>
      </c>
      <c r="K9" s="113">
        <v>560.32000000000005</v>
      </c>
    </row>
    <row r="10" spans="1:11">
      <c r="A10" s="114" t="s">
        <v>136</v>
      </c>
      <c r="B10" s="113">
        <v>-48.93715209499841</v>
      </c>
      <c r="C10" s="113">
        <v>-59.748628389335259</v>
      </c>
      <c r="D10" s="113">
        <v>-49.263025460000001</v>
      </c>
      <c r="E10" s="113">
        <f>-60.4824341893353-10.1</f>
        <v>-70.582434189335302</v>
      </c>
      <c r="F10" s="113">
        <f>-77.6954588114192-15.5</f>
        <v>-93.195458811419201</v>
      </c>
      <c r="G10" s="113">
        <f>-79.8477749131693-21.9</f>
        <v>-101.74777491316931</v>
      </c>
      <c r="H10" s="113">
        <f>-103.302585505-32</f>
        <v>-135.302585505</v>
      </c>
      <c r="I10" s="113">
        <f>-62.6265231774187-46.6</f>
        <v>-109.2265231774187</v>
      </c>
      <c r="J10" s="113">
        <f>-68.6775663603331-70.6</f>
        <v>-139.27756636033308</v>
      </c>
      <c r="K10" s="113">
        <f>-58-68.5</f>
        <v>-126.5</v>
      </c>
    </row>
    <row r="11" spans="1:11">
      <c r="A11" s="115" t="s">
        <v>137</v>
      </c>
      <c r="B11" s="5">
        <f t="shared" ref="B11:K11" si="5">B9+B10</f>
        <v>44.561847905001585</v>
      </c>
      <c r="C11" s="5">
        <f t="shared" si="5"/>
        <v>35.830371610664734</v>
      </c>
      <c r="D11" s="5">
        <f t="shared" si="5"/>
        <v>33.712974539999998</v>
      </c>
      <c r="E11" s="5">
        <f t="shared" si="5"/>
        <v>27.972565810664705</v>
      </c>
      <c r="F11" s="5">
        <f t="shared" si="5"/>
        <v>-2.153458811419199</v>
      </c>
      <c r="G11" s="5">
        <f t="shared" si="5"/>
        <v>116.16322508683069</v>
      </c>
      <c r="H11" s="5">
        <f t="shared" si="5"/>
        <v>19.814414494999994</v>
      </c>
      <c r="I11" s="5">
        <f t="shared" si="5"/>
        <v>142.38847682258131</v>
      </c>
      <c r="J11" s="5">
        <f t="shared" si="5"/>
        <v>241.87843363966692</v>
      </c>
      <c r="K11" s="5">
        <f t="shared" si="5"/>
        <v>433.82000000000005</v>
      </c>
    </row>
    <row r="12" spans="1:11">
      <c r="A12" s="108" t="s">
        <v>127</v>
      </c>
      <c r="B12" s="109">
        <f t="shared" ref="B12:K12" si="6">IFERROR(B11/B$3,"")</f>
        <v>5.908382488922452E-2</v>
      </c>
      <c r="C12" s="109">
        <f t="shared" si="6"/>
        <v>3.6660324701583889E-2</v>
      </c>
      <c r="D12" s="109">
        <f t="shared" si="6"/>
        <v>4.7477980582360191E-2</v>
      </c>
      <c r="E12" s="109">
        <f t="shared" si="6"/>
        <v>3.3269344950962489E-2</v>
      </c>
      <c r="F12" s="109">
        <f t="shared" si="6"/>
        <v>-2.1778705625548765E-3</v>
      </c>
      <c r="G12" s="109">
        <f t="shared" si="6"/>
        <v>0.1123385469184453</v>
      </c>
      <c r="H12" s="109">
        <f t="shared" si="6"/>
        <v>1.9033672291283821E-2</v>
      </c>
      <c r="I12" s="109">
        <f t="shared" si="6"/>
        <v>0.10540127292891302</v>
      </c>
      <c r="J12" s="109">
        <f t="shared" si="6"/>
        <v>0.14755432889410824</v>
      </c>
      <c r="K12" s="109">
        <f t="shared" si="6"/>
        <v>0.26264567293342561</v>
      </c>
    </row>
    <row r="13" spans="1:11">
      <c r="A13" s="108" t="s">
        <v>138</v>
      </c>
      <c r="B13" s="108"/>
      <c r="C13" s="109">
        <f t="shared" ref="C13:F13" si="7">IFERROR(C11/B11-1,"")</f>
        <v>-0.19594062420730174</v>
      </c>
      <c r="D13" s="109">
        <f t="shared" si="7"/>
        <v>-5.9095035174977162E-2</v>
      </c>
      <c r="E13" s="109">
        <f t="shared" si="7"/>
        <v>-0.17027298266204227</v>
      </c>
      <c r="F13" s="109">
        <f t="shared" si="7"/>
        <v>-1.0769846722676466</v>
      </c>
      <c r="G13" s="109">
        <f>IFERROR(G11/F11-1,"")</f>
        <v>-54.942626843313235</v>
      </c>
      <c r="H13" s="109">
        <f t="shared" ref="H13:K13" si="8">IFERROR(H11/G11-1,"")</f>
        <v>-0.82942609866255912</v>
      </c>
      <c r="I13" s="109">
        <f t="shared" si="8"/>
        <v>6.1861056938377805</v>
      </c>
      <c r="J13" s="109">
        <f t="shared" si="8"/>
        <v>0.69872196849926249</v>
      </c>
      <c r="K13" s="109">
        <f t="shared" si="8"/>
        <v>0.79354559839044536</v>
      </c>
    </row>
    <row r="14" spans="1:11">
      <c r="A14" s="108" t="s">
        <v>139</v>
      </c>
      <c r="B14" s="108"/>
      <c r="C14" s="108"/>
      <c r="D14" s="108"/>
      <c r="E14" s="109">
        <f>IFERROR(SUM(C11:E11)/SUM(B11:D11)-1,"")</f>
        <v>-0.14538586285777477</v>
      </c>
      <c r="F14" s="109">
        <f t="shared" ref="F14:K14" si="9">IFERROR(SUM(D11:F11)/SUM(C11:E11)-1,"")</f>
        <v>-0.38951417935922772</v>
      </c>
      <c r="G14" s="109">
        <f t="shared" si="9"/>
        <v>1.3849717398588992</v>
      </c>
      <c r="H14" s="109">
        <f t="shared" si="9"/>
        <v>-5.7458918978164686E-2</v>
      </c>
      <c r="I14" s="109">
        <f t="shared" si="9"/>
        <v>1.0800883278484354</v>
      </c>
      <c r="J14" s="109">
        <f t="shared" si="9"/>
        <v>0.45161821480526898</v>
      </c>
      <c r="K14" s="109">
        <f t="shared" si="9"/>
        <v>1.0245600574310179</v>
      </c>
    </row>
    <row r="15" spans="1:11">
      <c r="A15" s="108" t="s">
        <v>133</v>
      </c>
      <c r="B15" s="108"/>
      <c r="C15" s="108"/>
      <c r="D15" s="108"/>
      <c r="E15" s="108"/>
      <c r="F15" s="109"/>
      <c r="G15" s="109">
        <f>IFERROR(SUM(C11:G11)/SUM(B11:F11)-1,"")</f>
        <v>0.51171509624857747</v>
      </c>
      <c r="H15" s="109">
        <f t="shared" ref="H15:K15" si="10">IFERROR(SUM(D11:H11)/SUM(C11:G11)-1,"")</f>
        <v>-7.5716372826090561E-2</v>
      </c>
      <c r="I15" s="109">
        <f t="shared" si="10"/>
        <v>0.55585728248919275</v>
      </c>
      <c r="J15" s="109">
        <f t="shared" si="10"/>
        <v>0.7032092664972962</v>
      </c>
      <c r="K15" s="109">
        <f t="shared" si="10"/>
        <v>0.84149962465893147</v>
      </c>
    </row>
    <row r="16" spans="1:11" s="9" customFormat="1">
      <c r="A16"/>
      <c r="B16"/>
      <c r="C16"/>
      <c r="D16"/>
      <c r="E16"/>
      <c r="F16"/>
      <c r="G16"/>
      <c r="H16"/>
      <c r="I16"/>
      <c r="J16"/>
      <c r="K16"/>
    </row>
    <row r="17" spans="1:16" s="9" customFormat="1" ht="15.7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6">
      <c r="A18" s="112" t="s">
        <v>141</v>
      </c>
      <c r="B18" s="113">
        <v>-45.720999999999997</v>
      </c>
      <c r="C18" s="113">
        <v>-49.56</v>
      </c>
      <c r="D18" s="113">
        <v>-30.32</v>
      </c>
      <c r="E18" s="113">
        <v>-22.69</v>
      </c>
      <c r="F18" s="113">
        <v>-33.787999999999997</v>
      </c>
      <c r="G18" s="113">
        <v>-39.287999999999997</v>
      </c>
      <c r="H18" s="113">
        <v>-111.208</v>
      </c>
      <c r="I18" s="113">
        <v>-123.946</v>
      </c>
      <c r="J18" s="113">
        <v>-194.148</v>
      </c>
      <c r="K18" s="113">
        <v>-314.68400000000003</v>
      </c>
    </row>
    <row r="19" spans="1:16" s="117" customFormat="1">
      <c r="A19" s="114" t="s">
        <v>178</v>
      </c>
      <c r="B19" s="116">
        <f t="shared" ref="B19:K19" si="12">B18-B10</f>
        <v>3.2161520949984137</v>
      </c>
      <c r="C19" s="116">
        <f t="shared" si="12"/>
        <v>10.188628389335257</v>
      </c>
      <c r="D19" s="116">
        <f t="shared" si="12"/>
        <v>18.943025460000001</v>
      </c>
      <c r="E19" s="116">
        <f t="shared" si="12"/>
        <v>47.892434189335304</v>
      </c>
      <c r="F19" s="116">
        <f t="shared" si="12"/>
        <v>59.407458811419204</v>
      </c>
      <c r="G19" s="116">
        <f t="shared" si="12"/>
        <v>62.459774913169312</v>
      </c>
      <c r="H19" s="116">
        <f t="shared" si="12"/>
        <v>24.094585504999998</v>
      </c>
      <c r="I19" s="116">
        <f t="shared" si="12"/>
        <v>-14.719476822581299</v>
      </c>
      <c r="J19" s="116">
        <f t="shared" si="12"/>
        <v>-54.870433639666913</v>
      </c>
      <c r="K19" s="116">
        <f t="shared" si="12"/>
        <v>-188.18400000000003</v>
      </c>
    </row>
    <row r="20" spans="1:16" s="117" customFormat="1">
      <c r="A20" s="114" t="s">
        <v>142</v>
      </c>
      <c r="B20" s="113">
        <v>113.06399999999999</v>
      </c>
      <c r="C20" s="113">
        <v>34.232999999999997</v>
      </c>
      <c r="D20" s="113">
        <v>29.5</v>
      </c>
      <c r="E20" s="113">
        <v>0</v>
      </c>
      <c r="F20" s="113">
        <v>17.006</v>
      </c>
      <c r="G20" s="113">
        <v>106.735</v>
      </c>
      <c r="H20" s="113">
        <v>0</v>
      </c>
      <c r="I20" s="113">
        <v>265.29500000000002</v>
      </c>
      <c r="J20" s="113">
        <v>0</v>
      </c>
      <c r="K20" s="113">
        <v>11.068</v>
      </c>
    </row>
    <row r="21" spans="1:16" s="117" customFormat="1">
      <c r="A21" s="114" t="s">
        <v>143</v>
      </c>
      <c r="B21" s="113">
        <v>-704.17100000000005</v>
      </c>
      <c r="C21" s="113">
        <v>-41.804000000000002</v>
      </c>
      <c r="D21" s="113">
        <v>0</v>
      </c>
      <c r="E21" s="113">
        <v>0</v>
      </c>
      <c r="F21" s="113">
        <v>-23.149000000000001</v>
      </c>
      <c r="G21" s="113">
        <v>-64.816999999999993</v>
      </c>
      <c r="H21" s="113">
        <v>-28.952999999999999</v>
      </c>
      <c r="I21" s="113">
        <v>-1222.2660000000001</v>
      </c>
      <c r="J21" s="113">
        <v>-266.89499999999998</v>
      </c>
      <c r="K21" s="113">
        <v>-69.168000000000006</v>
      </c>
    </row>
    <row r="22" spans="1:16">
      <c r="A22" s="112" t="s">
        <v>144</v>
      </c>
      <c r="B22" s="113">
        <v>0</v>
      </c>
      <c r="C22" s="113">
        <v>0</v>
      </c>
      <c r="D22" s="113">
        <v>0</v>
      </c>
      <c r="E22" s="113">
        <v>-5.0460000000000003</v>
      </c>
      <c r="F22" s="113">
        <v>-8.077</v>
      </c>
      <c r="G22" s="113">
        <v>50.692</v>
      </c>
      <c r="H22" s="113">
        <v>71.245999999999995</v>
      </c>
      <c r="I22" s="113">
        <v>-50.218999999999994</v>
      </c>
      <c r="J22" s="113">
        <v>-2.0139999999999998</v>
      </c>
      <c r="K22" s="113">
        <f>15.431-9.909-4.63</f>
        <v>0.89199999999999857</v>
      </c>
    </row>
    <row r="23" spans="1:16">
      <c r="A23" s="112" t="s">
        <v>189</v>
      </c>
      <c r="B23" s="113">
        <v>0</v>
      </c>
      <c r="C23" s="113">
        <v>0</v>
      </c>
      <c r="D23" s="113">
        <v>0</v>
      </c>
      <c r="E23" s="113">
        <v>-2.976</v>
      </c>
      <c r="F23" s="113">
        <v>-2.4E-2</v>
      </c>
      <c r="G23" s="113">
        <v>0</v>
      </c>
      <c r="H23" s="113">
        <v>-2.0329999999999999</v>
      </c>
      <c r="I23" s="113">
        <v>-2.2690000000000001</v>
      </c>
      <c r="J23" s="113">
        <v>-2.3460000000000001</v>
      </c>
      <c r="K23" s="113">
        <v>-2.601</v>
      </c>
    </row>
    <row r="24" spans="1:16">
      <c r="A24" s="118" t="s">
        <v>145</v>
      </c>
      <c r="B24" s="119">
        <v>39.817450199200003</v>
      </c>
      <c r="C24" s="119">
        <v>22.446916995999999</v>
      </c>
      <c r="D24" s="119">
        <v>5.3394444444399998</v>
      </c>
      <c r="E24" s="119">
        <v>15.269672623</v>
      </c>
      <c r="F24" s="119">
        <v>24.575515873000001</v>
      </c>
      <c r="G24" s="119">
        <v>36.46228</v>
      </c>
      <c r="H24" s="119">
        <v>53.488373015900002</v>
      </c>
      <c r="I24" s="119">
        <v>62.949444444400001</v>
      </c>
      <c r="J24" s="119">
        <v>78.782301587299997</v>
      </c>
      <c r="K24" s="119">
        <v>73.900000000000006</v>
      </c>
    </row>
    <row r="25" spans="1:16">
      <c r="A25" s="120" t="s">
        <v>146</v>
      </c>
      <c r="B25" s="121">
        <v>6.1827399999999999</v>
      </c>
      <c r="C25" s="121">
        <v>1.0314E-2</v>
      </c>
      <c r="D25" s="121">
        <v>1.4115000000000001E-2</v>
      </c>
      <c r="E25" s="121">
        <v>0.12820500000000001</v>
      </c>
      <c r="F25" s="121">
        <v>3.1988999999999997E-2</v>
      </c>
      <c r="G25" s="121">
        <v>2.3133999999999998E-2</v>
      </c>
      <c r="H25" s="121">
        <v>6.3533800000000005</v>
      </c>
      <c r="I25" s="121">
        <v>13.247076999999999</v>
      </c>
      <c r="J25" s="121">
        <v>6.7034879999999992</v>
      </c>
      <c r="K25" s="121">
        <f>0.157649+1.874426+0.00866</f>
        <v>2.0407349999999997</v>
      </c>
      <c r="M25" s="17"/>
      <c r="N25" s="18"/>
      <c r="O25" s="18"/>
      <c r="P25" s="18"/>
    </row>
    <row r="26" spans="1:16">
      <c r="A26" s="122" t="s">
        <v>147</v>
      </c>
      <c r="B26" s="123">
        <v>208.77699999999999</v>
      </c>
      <c r="C26" s="123">
        <v>0</v>
      </c>
      <c r="D26" s="123">
        <v>-4.3840000000000003</v>
      </c>
      <c r="E26" s="123">
        <f>-5.403+10.1</f>
        <v>4.6970000000000001</v>
      </c>
      <c r="F26" s="123">
        <f>-15.475+15.5</f>
        <v>2.5000000000000355E-2</v>
      </c>
      <c r="G26" s="123">
        <f>-89.227+21.9</f>
        <v>-67.326999999999998</v>
      </c>
      <c r="H26" s="123">
        <f>270.523+32</f>
        <v>302.52300000000002</v>
      </c>
      <c r="I26" s="123">
        <f>661.87+46.6</f>
        <v>708.47</v>
      </c>
      <c r="J26" s="123">
        <f>205.294--70.6</f>
        <v>275.89400000000001</v>
      </c>
      <c r="K26" s="123">
        <f>12.623-1.601+68.5</f>
        <v>79.521999999999991</v>
      </c>
    </row>
    <row r="27" spans="1:16">
      <c r="A27" s="112" t="s">
        <v>148</v>
      </c>
      <c r="B27" s="124">
        <f t="shared" ref="B27:E27" si="13">-B24*B25+B26</f>
        <v>-37.403942044601848</v>
      </c>
      <c r="C27" s="124">
        <f t="shared" si="13"/>
        <v>-0.231517501896744</v>
      </c>
      <c r="D27" s="124">
        <f t="shared" si="13"/>
        <v>-4.4593662583332705</v>
      </c>
      <c r="E27" s="124">
        <f t="shared" si="13"/>
        <v>2.7393516213682849</v>
      </c>
      <c r="F27" s="124">
        <f>-F24*F25+F26</f>
        <v>-0.76114617726139655</v>
      </c>
      <c r="G27" s="124">
        <f t="shared" ref="G27:K27" si="14">-G24*G25+G26</f>
        <v>-68.170518385519998</v>
      </c>
      <c r="H27" s="124">
        <f t="shared" si="14"/>
        <v>-37.308959351758745</v>
      </c>
      <c r="I27" s="124">
        <f t="shared" si="14"/>
        <v>-125.42613766218892</v>
      </c>
      <c r="J27" s="124">
        <f t="shared" si="14"/>
        <v>-252.2222133028464</v>
      </c>
      <c r="K27" s="124">
        <f t="shared" si="14"/>
        <v>-71.288316500000008</v>
      </c>
    </row>
    <row r="28" spans="1:16">
      <c r="A28" s="1" t="s">
        <v>149</v>
      </c>
      <c r="B28" s="5">
        <f>B19+B20+B21+B22+B23+B27</f>
        <v>-625.29478994960357</v>
      </c>
      <c r="C28" s="5">
        <f t="shared" ref="C28:K28" si="15">C19+C20+C21+C22+C23+C27</f>
        <v>2.386110887438508</v>
      </c>
      <c r="D28" s="5">
        <f t="shared" si="15"/>
        <v>43.983659201666732</v>
      </c>
      <c r="E28" s="5">
        <f t="shared" si="15"/>
        <v>42.609785810703592</v>
      </c>
      <c r="F28" s="5">
        <f t="shared" si="15"/>
        <v>44.402312634157809</v>
      </c>
      <c r="G28" s="5">
        <f t="shared" si="15"/>
        <v>86.899256527649314</v>
      </c>
      <c r="H28" s="5">
        <f t="shared" si="15"/>
        <v>27.045626153241244</v>
      </c>
      <c r="I28" s="5">
        <f t="shared" si="15"/>
        <v>-1149.6046144847703</v>
      </c>
      <c r="J28" s="5">
        <f t="shared" si="15"/>
        <v>-578.34764694251328</v>
      </c>
      <c r="K28" s="5">
        <f t="shared" si="15"/>
        <v>-319.2813165</v>
      </c>
    </row>
    <row r="29" spans="1:16">
      <c r="A29" s="108" t="s">
        <v>150</v>
      </c>
      <c r="B29" s="109">
        <f t="shared" ref="B29:E29" si="16">IFERROR(-B28/B11,"")</f>
        <v>14.032065979010287</v>
      </c>
      <c r="C29" s="109">
        <f t="shared" si="16"/>
        <v>-6.6594645273740163E-2</v>
      </c>
      <c r="D29" s="109">
        <f t="shared" si="16"/>
        <v>-1.3046507999310681</v>
      </c>
      <c r="E29" s="109">
        <f t="shared" si="16"/>
        <v>-1.5232705536958058</v>
      </c>
      <c r="F29" s="109">
        <f>IFERROR(-F28/F11,"")</f>
        <v>20.619067519984394</v>
      </c>
      <c r="G29" s="109">
        <f t="shared" ref="G29:K29" si="17">IFERROR(-G28/G11,"")</f>
        <v>-0.74807889039489994</v>
      </c>
      <c r="H29" s="109">
        <f t="shared" si="17"/>
        <v>-1.3649470268256469</v>
      </c>
      <c r="I29" s="109">
        <f t="shared" si="17"/>
        <v>8.0737194479381849</v>
      </c>
      <c r="J29" s="109">
        <f t="shared" si="17"/>
        <v>2.3910674392909868</v>
      </c>
      <c r="K29" s="109">
        <f t="shared" si="17"/>
        <v>0.73597647987644632</v>
      </c>
    </row>
    <row r="31" spans="1:16" s="9" customFormat="1" ht="15.7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6" ht="15.75" thickBot="1">
      <c r="A32" s="125" t="s">
        <v>152</v>
      </c>
      <c r="B32" s="4">
        <f t="shared" ref="B32:K32" si="19">B11+B28</f>
        <v>-580.73294204460194</v>
      </c>
      <c r="C32" s="4">
        <f t="shared" si="19"/>
        <v>38.21648249810324</v>
      </c>
      <c r="D32" s="4">
        <f t="shared" si="19"/>
        <v>77.69663374166673</v>
      </c>
      <c r="E32" s="4">
        <f t="shared" si="19"/>
        <v>70.582351621368304</v>
      </c>
      <c r="F32" s="4">
        <f t="shared" si="19"/>
        <v>42.24885382273861</v>
      </c>
      <c r="G32" s="4">
        <f t="shared" si="19"/>
        <v>203.06248161448002</v>
      </c>
      <c r="H32" s="4">
        <f t="shared" si="19"/>
        <v>46.860040648241238</v>
      </c>
      <c r="I32" s="4">
        <f t="shared" si="19"/>
        <v>-1007.216137662189</v>
      </c>
      <c r="J32" s="4">
        <f t="shared" si="19"/>
        <v>-336.46921330284636</v>
      </c>
      <c r="K32" s="4">
        <f t="shared" si="19"/>
        <v>114.53868350000005</v>
      </c>
    </row>
    <row r="33" spans="1:11" ht="15.75" thickTop="1">
      <c r="A33" s="108" t="s">
        <v>128</v>
      </c>
      <c r="B33" s="109">
        <f t="shared" ref="B33:K33" si="20">IFERROR(B32/B$3,"")</f>
        <v>-0.76998430424866404</v>
      </c>
      <c r="C33" s="109">
        <f t="shared" si="20"/>
        <v>3.9101706020706006E-2</v>
      </c>
      <c r="D33" s="109">
        <f t="shared" si="20"/>
        <v>0.10942016592824814</v>
      </c>
      <c r="E33" s="109">
        <f t="shared" si="20"/>
        <v>8.3947558455511898E-2</v>
      </c>
      <c r="F33" s="109">
        <f t="shared" si="20"/>
        <v>4.2727789616550521E-2</v>
      </c>
      <c r="G33" s="109">
        <f t="shared" si="20"/>
        <v>0.19637664244577127</v>
      </c>
      <c r="H33" s="109">
        <f t="shared" si="20"/>
        <v>4.5013626694845377E-2</v>
      </c>
      <c r="I33" s="109">
        <f t="shared" si="20"/>
        <v>-0.74557903415469262</v>
      </c>
      <c r="J33" s="109">
        <f t="shared" si="20"/>
        <v>-0.2052580224510272</v>
      </c>
      <c r="K33" s="109">
        <f t="shared" si="20"/>
        <v>6.9344635113102585E-2</v>
      </c>
    </row>
    <row r="34" spans="1:11">
      <c r="A34" s="108" t="s">
        <v>138</v>
      </c>
      <c r="B34" s="108"/>
      <c r="C34" s="109">
        <f t="shared" ref="C34:F34" si="21">IFERROR(C32/B32-1,"")</f>
        <v>-1.0658073267956067</v>
      </c>
      <c r="D34" s="109">
        <f t="shared" si="21"/>
        <v>1.0330660663372924</v>
      </c>
      <c r="E34" s="109">
        <f t="shared" si="21"/>
        <v>-9.1564869386139391E-2</v>
      </c>
      <c r="F34" s="109">
        <f t="shared" si="21"/>
        <v>-0.4014246783760026</v>
      </c>
      <c r="G34" s="109">
        <f>IFERROR(G32/F32-1,"")</f>
        <v>3.8063429712545354</v>
      </c>
      <c r="H34" s="109">
        <f t="shared" ref="H34:K34" si="22">IFERROR(H32/G32-1,"")</f>
        <v>-0.76923338927174945</v>
      </c>
      <c r="I34" s="109">
        <f t="shared" si="22"/>
        <v>-22.494137088419109</v>
      </c>
      <c r="J34" s="109">
        <f t="shared" si="22"/>
        <v>-0.6659413995452732</v>
      </c>
      <c r="K34" s="109">
        <f t="shared" si="22"/>
        <v>-1.34041356228603</v>
      </c>
    </row>
    <row r="35" spans="1:11">
      <c r="A35" s="108" t="s">
        <v>139</v>
      </c>
      <c r="B35" s="108"/>
      <c r="C35" s="108"/>
      <c r="D35" s="108"/>
      <c r="E35" s="109">
        <f>IFERROR(SUM(C32:E32)/SUM(B32:D32)-1,"")</f>
        <v>-1.4012209839333398</v>
      </c>
      <c r="F35" s="109">
        <f t="shared" ref="F35" si="23">IFERROR(SUM(D32:F32)/SUM(C32:E32)-1,"")</f>
        <v>2.1621819397980246E-2</v>
      </c>
      <c r="G35" s="109">
        <f t="shared" ref="G35:K35" si="24">IFERROR(SUM(E32:G32)/SUM(D32:F32)-1,"")</f>
        <v>0.65799228295753487</v>
      </c>
      <c r="H35" s="109">
        <f t="shared" si="24"/>
        <v>-7.5095869100820001E-2</v>
      </c>
      <c r="I35" s="109">
        <f t="shared" si="24"/>
        <v>-3.5919500587147182</v>
      </c>
      <c r="J35" s="109">
        <f t="shared" si="24"/>
        <v>0.71244717233318622</v>
      </c>
      <c r="K35" s="109">
        <f t="shared" si="24"/>
        <v>-5.2187941053699505E-2</v>
      </c>
    </row>
    <row r="36" spans="1:11">
      <c r="A36" s="108" t="s">
        <v>133</v>
      </c>
      <c r="B36" s="108"/>
      <c r="C36" s="108"/>
      <c r="D36" s="108"/>
      <c r="E36" s="108"/>
      <c r="F36" s="109"/>
      <c r="G36" s="109">
        <f>IFERROR(SUM(C32:G32)/SUM(B32:F32)-1,"")</f>
        <v>-2.2267635324569088</v>
      </c>
      <c r="H36" s="109">
        <f t="shared" ref="H36" si="25">IFERROR(SUM(D32:H32)/SUM(C32:G32)-1,"")</f>
        <v>2.0017188437315481E-2</v>
      </c>
      <c r="I36" s="109">
        <f t="shared" ref="I36:K36" si="26">IFERROR(SUM(E32:I32)/SUM(D32:H32)-1,"")</f>
        <v>-2.4631896494214196</v>
      </c>
      <c r="J36" s="109">
        <f t="shared" si="26"/>
        <v>0.6316141308418739</v>
      </c>
      <c r="K36" s="109">
        <f t="shared" si="26"/>
        <v>-6.8748329935929275E-2</v>
      </c>
    </row>
    <row r="38" spans="1:11" s="9" customFormat="1" ht="15.7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5.7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f t="shared" ref="C41:F41" si="33">C13</f>
        <v>-0.19594062420730174</v>
      </c>
      <c r="D41" s="131">
        <f t="shared" si="33"/>
        <v>-5.9095035174977162E-2</v>
      </c>
      <c r="E41" s="131">
        <f t="shared" si="33"/>
        <v>-0.17027298266204227</v>
      </c>
      <c r="F41" s="131">
        <f t="shared" si="33"/>
        <v>-1.0769846722676466</v>
      </c>
      <c r="G41" s="131">
        <f>G13</f>
        <v>-54.942626843313235</v>
      </c>
      <c r="H41" s="131">
        <f t="shared" ref="H41:K41" si="34">H13</f>
        <v>-0.82942609866255912</v>
      </c>
      <c r="I41" s="131">
        <f t="shared" si="34"/>
        <v>6.1861056938377805</v>
      </c>
      <c r="J41" s="131">
        <f t="shared" si="34"/>
        <v>0.69872196849926249</v>
      </c>
      <c r="K41" s="131">
        <f t="shared" si="34"/>
        <v>0.79354559839044536</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f t="shared" ref="E43:J43" si="38">E14</f>
        <v>-0.14538586285777477</v>
      </c>
      <c r="F43" s="131">
        <f t="shared" si="38"/>
        <v>-0.38951417935922772</v>
      </c>
      <c r="G43" s="131">
        <f t="shared" si="38"/>
        <v>1.3849717398588992</v>
      </c>
      <c r="H43" s="131">
        <f t="shared" si="38"/>
        <v>-5.7458918978164686E-2</v>
      </c>
      <c r="I43" s="131">
        <f t="shared" si="38"/>
        <v>1.0800883278484354</v>
      </c>
      <c r="J43" s="131">
        <f t="shared" si="38"/>
        <v>0.45161821480526898</v>
      </c>
      <c r="K43" s="131">
        <f>K14</f>
        <v>1.0245600574310179</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0.51171509624857747</v>
      </c>
      <c r="H45" s="131">
        <f t="shared" si="40"/>
        <v>-7.5716372826090561E-2</v>
      </c>
      <c r="I45" s="131">
        <f t="shared" si="40"/>
        <v>0.55585728248919275</v>
      </c>
      <c r="J45" s="131">
        <f t="shared" si="40"/>
        <v>0.7032092664972962</v>
      </c>
      <c r="K45" s="131">
        <f>K15</f>
        <v>0.84149962465893147</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3E6FF-E1DB-4B43-8775-DE7962234C22}">
  <dimension ref="A1:M35"/>
  <sheetViews>
    <sheetView workbookViewId="0">
      <selection activeCell="B32" sqref="B32"/>
    </sheetView>
  </sheetViews>
  <sheetFormatPr defaultRowHeight="15"/>
  <cols>
    <col min="1" max="1" width="33.28515625" bestFit="1" customWidth="1"/>
    <col min="2" max="2" width="10.5703125" bestFit="1" customWidth="1"/>
    <col min="3" max="3" width="8.7109375" bestFit="1" customWidth="1"/>
    <col min="4" max="4" width="9.7109375" bestFit="1" customWidth="1"/>
    <col min="5" max="6" width="8.7109375" bestFit="1" customWidth="1"/>
    <col min="7" max="8" width="9.7109375" bestFit="1" customWidth="1"/>
    <col min="9" max="12" width="11.28515625" bestFit="1" customWidth="1"/>
    <col min="13" max="13" width="4.5703125" bestFit="1" customWidth="1"/>
  </cols>
  <sheetData>
    <row r="1" spans="1:11">
      <c r="B1">
        <v>2007</v>
      </c>
      <c r="C1">
        <v>2008</v>
      </c>
      <c r="D1">
        <v>2009</v>
      </c>
      <c r="E1">
        <v>2010</v>
      </c>
      <c r="F1">
        <v>2011</v>
      </c>
      <c r="G1">
        <v>2012</v>
      </c>
      <c r="H1">
        <v>2013</v>
      </c>
      <c r="I1">
        <v>2014</v>
      </c>
      <c r="J1">
        <v>2015</v>
      </c>
      <c r="K1">
        <v>2016</v>
      </c>
    </row>
    <row r="2" spans="1:11">
      <c r="A2" t="s">
        <v>193</v>
      </c>
      <c r="B2" s="18">
        <v>1356625</v>
      </c>
      <c r="C2" s="18">
        <v>5000</v>
      </c>
      <c r="D2" s="18">
        <v>10000</v>
      </c>
      <c r="E2" s="18">
        <v>141</v>
      </c>
      <c r="F2" s="18">
        <v>13406</v>
      </c>
      <c r="G2" s="18">
        <v>192570</v>
      </c>
      <c r="H2" s="18">
        <v>531253</v>
      </c>
      <c r="I2" s="18">
        <v>412884</v>
      </c>
      <c r="J2" s="18">
        <v>2486569</v>
      </c>
      <c r="K2" s="18">
        <v>1311000</v>
      </c>
    </row>
    <row r="3" spans="1:11">
      <c r="A3" t="s">
        <v>194</v>
      </c>
      <c r="B3" s="18">
        <v>-904500</v>
      </c>
      <c r="C3" s="18">
        <v>0</v>
      </c>
      <c r="D3" s="18">
        <v>-81621</v>
      </c>
      <c r="E3" s="18">
        <v>-74036</v>
      </c>
      <c r="F3" s="18">
        <v>-36330</v>
      </c>
      <c r="G3" s="18">
        <v>-237240</v>
      </c>
      <c r="H3" s="18">
        <v>-748668</v>
      </c>
      <c r="I3" s="18">
        <v>-548431</v>
      </c>
      <c r="J3" s="18">
        <v>-2554552</v>
      </c>
      <c r="K3" s="18">
        <v>-1476228</v>
      </c>
    </row>
    <row r="4" spans="1:11">
      <c r="A4" t="s">
        <v>205</v>
      </c>
      <c r="B4" s="18">
        <v>11560</v>
      </c>
      <c r="C4" s="18">
        <v>96150</v>
      </c>
      <c r="D4" s="18">
        <v>-45400</v>
      </c>
      <c r="E4" s="18">
        <v>0</v>
      </c>
      <c r="F4" s="18">
        <v>4600</v>
      </c>
      <c r="G4" s="18">
        <v>0</v>
      </c>
      <c r="H4" s="18">
        <v>0</v>
      </c>
      <c r="I4" s="18">
        <v>0</v>
      </c>
      <c r="J4" s="18">
        <v>0</v>
      </c>
      <c r="K4" s="18">
        <v>0</v>
      </c>
    </row>
    <row r="5" spans="1:11">
      <c r="A5" t="s">
        <v>195</v>
      </c>
      <c r="B5" s="18">
        <v>252739</v>
      </c>
      <c r="C5" s="18">
        <v>0</v>
      </c>
      <c r="D5" s="18">
        <v>0</v>
      </c>
      <c r="E5" s="18">
        <v>0</v>
      </c>
      <c r="F5" s="18">
        <v>0</v>
      </c>
      <c r="G5" s="18">
        <v>0</v>
      </c>
      <c r="H5" s="18">
        <v>355867</v>
      </c>
      <c r="I5" s="18">
        <v>765052</v>
      </c>
      <c r="J5" s="18">
        <v>492433</v>
      </c>
      <c r="K5" s="18">
        <v>12623</v>
      </c>
    </row>
    <row r="6" spans="1:11">
      <c r="A6" t="s">
        <v>196</v>
      </c>
      <c r="B6" s="18">
        <v>0</v>
      </c>
      <c r="C6" s="18">
        <v>0</v>
      </c>
      <c r="D6" s="18">
        <v>0</v>
      </c>
      <c r="E6" s="18">
        <v>0</v>
      </c>
      <c r="F6" s="18">
        <v>0</v>
      </c>
      <c r="G6" s="18">
        <v>-112487</v>
      </c>
      <c r="H6" s="18">
        <v>-128970</v>
      </c>
      <c r="I6" s="18">
        <v>-240535</v>
      </c>
      <c r="J6" s="18">
        <v>-341560</v>
      </c>
      <c r="K6" s="18">
        <v>-396093</v>
      </c>
    </row>
    <row r="7" spans="1:11">
      <c r="A7" t="s">
        <v>197</v>
      </c>
      <c r="B7" s="18">
        <v>0</v>
      </c>
      <c r="C7" s="18">
        <v>0</v>
      </c>
      <c r="D7" s="18">
        <v>0</v>
      </c>
      <c r="E7" s="18">
        <v>300</v>
      </c>
      <c r="F7" s="18">
        <v>0</v>
      </c>
      <c r="G7" s="18">
        <v>55473</v>
      </c>
      <c r="H7" s="18">
        <v>73612</v>
      </c>
      <c r="I7" s="18">
        <v>0</v>
      </c>
      <c r="J7" s="18">
        <v>532</v>
      </c>
      <c r="K7" s="18">
        <v>12431</v>
      </c>
    </row>
    <row r="8" spans="1:11">
      <c r="A8" t="s">
        <v>198</v>
      </c>
      <c r="B8" s="18">
        <v>0</v>
      </c>
      <c r="C8" s="18">
        <v>0</v>
      </c>
      <c r="D8" s="18">
        <v>0</v>
      </c>
      <c r="E8" s="18">
        <v>0</v>
      </c>
      <c r="F8" s="18">
        <v>0</v>
      </c>
      <c r="G8" s="18">
        <v>0</v>
      </c>
      <c r="H8" s="18">
        <v>0</v>
      </c>
      <c r="I8" s="18">
        <v>0</v>
      </c>
      <c r="J8" s="18">
        <v>0</v>
      </c>
      <c r="K8" s="18">
        <v>-9909</v>
      </c>
    </row>
    <row r="9" spans="1:11">
      <c r="A9" t="s">
        <v>199</v>
      </c>
      <c r="B9" s="18">
        <v>-395</v>
      </c>
      <c r="C9" s="18">
        <v>-481</v>
      </c>
      <c r="D9" s="18">
        <v>-583</v>
      </c>
      <c r="E9" s="18">
        <v>-5346</v>
      </c>
      <c r="F9" s="18">
        <v>-8077</v>
      </c>
      <c r="G9" s="18">
        <v>-4781</v>
      </c>
      <c r="H9" s="18">
        <v>-2366</v>
      </c>
      <c r="I9" s="18">
        <v>-62538</v>
      </c>
      <c r="J9" s="18">
        <v>-2546</v>
      </c>
      <c r="K9" s="18">
        <v>-4630</v>
      </c>
    </row>
    <row r="10" spans="1:11">
      <c r="A10" t="s">
        <v>206</v>
      </c>
      <c r="B10" s="18">
        <v>-97913</v>
      </c>
      <c r="C10" s="18">
        <v>-95509</v>
      </c>
      <c r="D10" s="18">
        <v>0</v>
      </c>
      <c r="E10" s="18">
        <v>0</v>
      </c>
      <c r="F10" s="18">
        <v>-27618</v>
      </c>
      <c r="G10" s="18">
        <v>-112487</v>
      </c>
      <c r="H10" s="18">
        <v>0</v>
      </c>
      <c r="I10" s="18">
        <v>0</v>
      </c>
      <c r="J10" s="18">
        <v>0</v>
      </c>
      <c r="K10" s="18">
        <v>0</v>
      </c>
    </row>
    <row r="11" spans="1:11">
      <c r="A11" t="s">
        <v>200</v>
      </c>
      <c r="B11" s="18">
        <v>-11392</v>
      </c>
      <c r="C11" s="18">
        <v>-65</v>
      </c>
      <c r="D11" s="18">
        <v>0</v>
      </c>
      <c r="E11" s="18"/>
      <c r="F11" s="18"/>
      <c r="G11" s="18"/>
      <c r="H11" s="18">
        <v>-16313</v>
      </c>
      <c r="I11" s="18">
        <v>-25600</v>
      </c>
      <c r="J11" s="18">
        <v>-16984</v>
      </c>
      <c r="K11" s="18">
        <v>-1601</v>
      </c>
    </row>
    <row r="12" spans="1:11">
      <c r="A12" t="s">
        <v>201</v>
      </c>
      <c r="B12" s="18">
        <f>-14695-26234</f>
        <v>-40929</v>
      </c>
      <c r="C12" s="18">
        <v>-1879</v>
      </c>
      <c r="D12" s="18">
        <v>0</v>
      </c>
      <c r="E12" s="18">
        <v>-186</v>
      </c>
      <c r="F12" s="18">
        <v>-4</v>
      </c>
      <c r="G12" s="18">
        <v>-2942</v>
      </c>
      <c r="H12" s="18">
        <v>-19699</v>
      </c>
      <c r="I12" s="18">
        <v>-15142</v>
      </c>
      <c r="J12" s="18">
        <v>-23816</v>
      </c>
      <c r="K12" s="18">
        <v>-17392</v>
      </c>
    </row>
    <row r="13" spans="1:11">
      <c r="A13" t="s">
        <v>202</v>
      </c>
      <c r="B13" s="18">
        <v>0</v>
      </c>
      <c r="C13" s="18">
        <v>0</v>
      </c>
      <c r="D13" s="18">
        <v>0</v>
      </c>
      <c r="E13" s="18">
        <v>0</v>
      </c>
      <c r="F13" s="18">
        <v>0</v>
      </c>
      <c r="G13" s="18">
        <v>0</v>
      </c>
      <c r="H13" s="18">
        <v>0</v>
      </c>
      <c r="I13" s="18">
        <v>350000</v>
      </c>
      <c r="J13" s="18">
        <v>0</v>
      </c>
      <c r="K13" s="18">
        <v>402500</v>
      </c>
    </row>
    <row r="14" spans="1:11">
      <c r="A14" t="s">
        <v>203</v>
      </c>
      <c r="B14" s="18">
        <v>5367</v>
      </c>
      <c r="C14" s="18">
        <v>-865</v>
      </c>
      <c r="D14" s="18">
        <v>-33</v>
      </c>
      <c r="E14" s="18">
        <v>2236</v>
      </c>
      <c r="F14" s="18">
        <v>1010</v>
      </c>
      <c r="G14" s="18">
        <v>8663</v>
      </c>
      <c r="H14" s="18">
        <v>3810</v>
      </c>
      <c r="I14" s="18">
        <v>-999</v>
      </c>
      <c r="J14" s="18">
        <v>5166</v>
      </c>
      <c r="K14" s="18">
        <v>5587</v>
      </c>
    </row>
    <row r="15" spans="1:11">
      <c r="A15" t="s">
        <v>204</v>
      </c>
      <c r="B15" s="18">
        <v>-544</v>
      </c>
      <c r="C15" s="18">
        <v>-653</v>
      </c>
      <c r="D15" s="18">
        <v>-181</v>
      </c>
      <c r="E15" s="18">
        <v>-137</v>
      </c>
      <c r="F15" s="18">
        <v>-124</v>
      </c>
      <c r="G15" s="18">
        <v>-1054</v>
      </c>
      <c r="H15" s="18">
        <v>-2033</v>
      </c>
      <c r="I15" s="18">
        <v>-2269</v>
      </c>
      <c r="J15" s="18">
        <v>-2346</v>
      </c>
      <c r="K15" s="18">
        <v>-2601</v>
      </c>
    </row>
    <row r="17" spans="1:13">
      <c r="B17">
        <v>2007</v>
      </c>
      <c r="C17">
        <v>2008</v>
      </c>
      <c r="D17">
        <v>2009</v>
      </c>
      <c r="E17">
        <v>2010</v>
      </c>
      <c r="F17">
        <v>2011</v>
      </c>
      <c r="G17">
        <v>2012</v>
      </c>
      <c r="H17">
        <v>2013</v>
      </c>
      <c r="I17">
        <v>2014</v>
      </c>
      <c r="J17">
        <v>2015</v>
      </c>
      <c r="K17">
        <v>2016</v>
      </c>
    </row>
    <row r="18" spans="1:13">
      <c r="A18" t="s">
        <v>207</v>
      </c>
      <c r="B18" s="18">
        <f>SUM(B2:B4,B12:B13)</f>
        <v>422756</v>
      </c>
      <c r="C18" s="18">
        <f t="shared" ref="C18:K18" si="0">SUM(C2:C4,C12:C13)</f>
        <v>99271</v>
      </c>
      <c r="D18" s="18">
        <f t="shared" si="0"/>
        <v>-117021</v>
      </c>
      <c r="E18" s="18">
        <f t="shared" si="0"/>
        <v>-74081</v>
      </c>
      <c r="F18" s="18">
        <f t="shared" si="0"/>
        <v>-18328</v>
      </c>
      <c r="G18" s="18">
        <f t="shared" si="0"/>
        <v>-47612</v>
      </c>
      <c r="H18" s="18">
        <f t="shared" si="0"/>
        <v>-237114</v>
      </c>
      <c r="I18" s="18">
        <f t="shared" si="0"/>
        <v>199311</v>
      </c>
      <c r="J18" s="18">
        <f t="shared" si="0"/>
        <v>-91799</v>
      </c>
      <c r="K18" s="18">
        <f t="shared" si="0"/>
        <v>219880</v>
      </c>
    </row>
    <row r="19" spans="1:13">
      <c r="A19" t="s">
        <v>208</v>
      </c>
      <c r="B19" s="18">
        <f>SUM(B5,B10:B11)</f>
        <v>143434</v>
      </c>
      <c r="C19" s="18">
        <f t="shared" ref="C19:K19" si="1">SUM(C5,C10:C11)</f>
        <v>-95574</v>
      </c>
      <c r="D19" s="18">
        <f t="shared" si="1"/>
        <v>0</v>
      </c>
      <c r="E19" s="18">
        <f t="shared" si="1"/>
        <v>0</v>
      </c>
      <c r="F19" s="18">
        <f t="shared" si="1"/>
        <v>-27618</v>
      </c>
      <c r="G19" s="18">
        <f t="shared" si="1"/>
        <v>-112487</v>
      </c>
      <c r="H19" s="18">
        <f t="shared" si="1"/>
        <v>339554</v>
      </c>
      <c r="I19" s="18">
        <f t="shared" si="1"/>
        <v>739452</v>
      </c>
      <c r="J19" s="18">
        <f t="shared" si="1"/>
        <v>475449</v>
      </c>
      <c r="K19" s="18">
        <f t="shared" si="1"/>
        <v>11022</v>
      </c>
    </row>
    <row r="20" spans="1:13">
      <c r="A20" t="s">
        <v>209</v>
      </c>
      <c r="B20" s="18">
        <f>B6</f>
        <v>0</v>
      </c>
      <c r="C20" s="18">
        <f t="shared" ref="C20:K20" si="2">C6</f>
        <v>0</v>
      </c>
      <c r="D20" s="18">
        <f t="shared" si="2"/>
        <v>0</v>
      </c>
      <c r="E20" s="18">
        <f t="shared" si="2"/>
        <v>0</v>
      </c>
      <c r="F20" s="18">
        <f t="shared" si="2"/>
        <v>0</v>
      </c>
      <c r="G20" s="18">
        <f t="shared" si="2"/>
        <v>-112487</v>
      </c>
      <c r="H20" s="18">
        <f t="shared" si="2"/>
        <v>-128970</v>
      </c>
      <c r="I20" s="18">
        <f t="shared" si="2"/>
        <v>-240535</v>
      </c>
      <c r="J20" s="18">
        <f t="shared" si="2"/>
        <v>-341560</v>
      </c>
      <c r="K20" s="18">
        <f t="shared" si="2"/>
        <v>-396093</v>
      </c>
    </row>
    <row r="21" spans="1:13">
      <c r="A21" t="s">
        <v>210</v>
      </c>
      <c r="B21" s="18">
        <f>SUM(B7:B9)</f>
        <v>-395</v>
      </c>
      <c r="C21" s="18">
        <f t="shared" ref="C21:K21" si="3">SUM(C7:C9)</f>
        <v>-481</v>
      </c>
      <c r="D21" s="18">
        <f t="shared" si="3"/>
        <v>-583</v>
      </c>
      <c r="E21" s="18">
        <f t="shared" si="3"/>
        <v>-5046</v>
      </c>
      <c r="F21" s="18">
        <f t="shared" si="3"/>
        <v>-8077</v>
      </c>
      <c r="G21" s="18">
        <f t="shared" si="3"/>
        <v>50692</v>
      </c>
      <c r="H21" s="18">
        <f t="shared" si="3"/>
        <v>71246</v>
      </c>
      <c r="I21" s="18">
        <f t="shared" si="3"/>
        <v>-62538</v>
      </c>
      <c r="J21" s="18">
        <f t="shared" si="3"/>
        <v>-2014</v>
      </c>
      <c r="K21" s="18">
        <f t="shared" si="3"/>
        <v>-2108</v>
      </c>
    </row>
    <row r="22" spans="1:13">
      <c r="A22" t="s">
        <v>211</v>
      </c>
      <c r="B22" s="18">
        <f>B15</f>
        <v>-544</v>
      </c>
      <c r="C22" s="18">
        <f t="shared" ref="C22:K22" si="4">C15</f>
        <v>-653</v>
      </c>
      <c r="D22" s="18">
        <f t="shared" si="4"/>
        <v>-181</v>
      </c>
      <c r="E22" s="18">
        <f t="shared" si="4"/>
        <v>-137</v>
      </c>
      <c r="F22" s="18">
        <f t="shared" si="4"/>
        <v>-124</v>
      </c>
      <c r="G22" s="18">
        <f t="shared" si="4"/>
        <v>-1054</v>
      </c>
      <c r="H22" s="18">
        <f t="shared" si="4"/>
        <v>-2033</v>
      </c>
      <c r="I22" s="18">
        <f t="shared" si="4"/>
        <v>-2269</v>
      </c>
      <c r="J22" s="18">
        <f t="shared" si="4"/>
        <v>-2346</v>
      </c>
      <c r="K22" s="18">
        <f t="shared" si="4"/>
        <v>-2601</v>
      </c>
    </row>
    <row r="23" spans="1:13">
      <c r="A23" t="s">
        <v>212</v>
      </c>
      <c r="B23" s="18">
        <f>'Company Analysis'!B11*1000</f>
        <v>44561.847905001589</v>
      </c>
      <c r="C23" s="18">
        <f>'Company Analysis'!C11*1000</f>
        <v>35830.371610664733</v>
      </c>
      <c r="D23" s="18">
        <f>'Company Analysis'!D11*1000</f>
        <v>33712.974539999996</v>
      </c>
      <c r="E23" s="18">
        <f>'Company Analysis'!E11*1000</f>
        <v>27972.565810664706</v>
      </c>
      <c r="F23" s="18">
        <f>'Company Analysis'!F11*1000</f>
        <v>-2153.4588114191993</v>
      </c>
      <c r="G23" s="18">
        <f>'Company Analysis'!G11*1000</f>
        <v>116163.22508683069</v>
      </c>
      <c r="H23" s="18">
        <f>'Company Analysis'!H11*1000</f>
        <v>19814.414494999994</v>
      </c>
      <c r="I23" s="18">
        <f>'Company Analysis'!I11*1000</f>
        <v>142388.47682258132</v>
      </c>
      <c r="J23" s="18">
        <f>'Company Analysis'!J11*1000</f>
        <v>241878.43363966691</v>
      </c>
      <c r="K23" s="18">
        <f>'Company Analysis'!K11*1000</f>
        <v>433820.00000000006</v>
      </c>
    </row>
    <row r="24" spans="1:13">
      <c r="A24" t="s">
        <v>176</v>
      </c>
      <c r="B24" s="18">
        <f>'Company Analysis'!B28*1000</f>
        <v>-625294.78994960361</v>
      </c>
      <c r="C24" s="18">
        <f>'Company Analysis'!C28*1000</f>
        <v>2386.1108874385081</v>
      </c>
      <c r="D24" s="18">
        <f>'Company Analysis'!D28*1000</f>
        <v>43983.659201666735</v>
      </c>
      <c r="E24" s="18">
        <f>'Company Analysis'!E28*1000</f>
        <v>42609.785810703594</v>
      </c>
      <c r="F24" s="18">
        <f>'Company Analysis'!F28*1000</f>
        <v>44402.31263415781</v>
      </c>
      <c r="G24" s="18">
        <f>'Company Analysis'!G28*1000</f>
        <v>86899.256527649311</v>
      </c>
      <c r="H24" s="18">
        <f>'Company Analysis'!H28*1000</f>
        <v>27045.626153241243</v>
      </c>
      <c r="I24" s="18">
        <f>'Company Analysis'!I28*1000</f>
        <v>-1149604.6144847702</v>
      </c>
      <c r="J24" s="18">
        <f>'Company Analysis'!J28*1000</f>
        <v>-578347.6469425133</v>
      </c>
      <c r="K24" s="18">
        <f>'Company Analysis'!K28*1000</f>
        <v>-319281.31650000002</v>
      </c>
    </row>
    <row r="25" spans="1:13">
      <c r="A25" t="s">
        <v>214</v>
      </c>
      <c r="B25" s="18">
        <f>('Company Analysis'!B28-'Company Analysis'!B27)*1000</f>
        <v>-587890.84790500172</v>
      </c>
      <c r="C25" s="18">
        <f>('Company Analysis'!C28-'Company Analysis'!C27)*1000</f>
        <v>2617.628389335252</v>
      </c>
      <c r="D25" s="18">
        <f>('Company Analysis'!D28-'Company Analysis'!D27)*1000</f>
        <v>48443.025460000004</v>
      </c>
      <c r="E25" s="18">
        <f>('Company Analysis'!E28-'Company Analysis'!E27)*1000</f>
        <v>39870.434189335305</v>
      </c>
      <c r="F25" s="18">
        <f>('Company Analysis'!F28-'Company Analysis'!F27)*1000</f>
        <v>45163.458811419201</v>
      </c>
      <c r="G25" s="18">
        <f>('Company Analysis'!G28-'Company Analysis'!G27)*1000</f>
        <v>155069.7749131693</v>
      </c>
      <c r="H25" s="18">
        <f>('Company Analysis'!H28-'Company Analysis'!H27)*1000</f>
        <v>64354.585504999988</v>
      </c>
      <c r="I25" s="18">
        <f>('Company Analysis'!I28-'Company Analysis'!I27)*1000</f>
        <v>-1024178.4768225814</v>
      </c>
      <c r="J25" s="18">
        <f>('Company Analysis'!J28-'Company Analysis'!J27)*1000</f>
        <v>-326125.43363966688</v>
      </c>
      <c r="K25" s="18">
        <f>('Company Analysis'!K28-'Company Analysis'!K27)*1000</f>
        <v>-247993</v>
      </c>
    </row>
    <row r="27" spans="1:13">
      <c r="B27">
        <v>2007</v>
      </c>
      <c r="C27">
        <v>2008</v>
      </c>
      <c r="D27">
        <v>2009</v>
      </c>
      <c r="E27">
        <v>2010</v>
      </c>
      <c r="F27">
        <v>2011</v>
      </c>
      <c r="G27">
        <v>2012</v>
      </c>
      <c r="H27">
        <v>2013</v>
      </c>
      <c r="I27">
        <v>2014</v>
      </c>
      <c r="J27">
        <v>2015</v>
      </c>
      <c r="K27">
        <v>2016</v>
      </c>
    </row>
    <row r="28" spans="1:13">
      <c r="A28" t="s">
        <v>213</v>
      </c>
      <c r="B28" s="18">
        <f>B18</f>
        <v>422756</v>
      </c>
      <c r="C28" s="18">
        <f t="shared" ref="C28:K28" si="5">C18</f>
        <v>99271</v>
      </c>
      <c r="D28" s="18">
        <f t="shared" si="5"/>
        <v>-117021</v>
      </c>
      <c r="E28" s="18">
        <f t="shared" si="5"/>
        <v>-74081</v>
      </c>
      <c r="F28" s="18">
        <f t="shared" si="5"/>
        <v>-18328</v>
      </c>
      <c r="G28" s="18">
        <f t="shared" si="5"/>
        <v>-47612</v>
      </c>
      <c r="H28" s="18">
        <f t="shared" si="5"/>
        <v>-237114</v>
      </c>
      <c r="I28" s="18">
        <f t="shared" si="5"/>
        <v>199311</v>
      </c>
      <c r="J28" s="18">
        <f t="shared" si="5"/>
        <v>-91799</v>
      </c>
      <c r="K28" s="18">
        <f t="shared" si="5"/>
        <v>219880</v>
      </c>
      <c r="L28" s="18">
        <f>SUM(B28:K28)</f>
        <v>355263</v>
      </c>
      <c r="M28" s="20">
        <f>L28/SUM(L$28:L$30)</f>
        <v>0.1215620061908655</v>
      </c>
    </row>
    <row r="29" spans="1:13">
      <c r="A29" t="s">
        <v>216</v>
      </c>
      <c r="B29" s="18">
        <f>B19</f>
        <v>143434</v>
      </c>
      <c r="C29" s="18">
        <f t="shared" ref="C29:K29" si="6">C19</f>
        <v>-95574</v>
      </c>
      <c r="D29" s="18">
        <f t="shared" si="6"/>
        <v>0</v>
      </c>
      <c r="E29" s="18">
        <f t="shared" si="6"/>
        <v>0</v>
      </c>
      <c r="F29" s="18">
        <f t="shared" si="6"/>
        <v>-27618</v>
      </c>
      <c r="G29" s="18">
        <f t="shared" si="6"/>
        <v>-112487</v>
      </c>
      <c r="H29" s="18">
        <f t="shared" si="6"/>
        <v>339554</v>
      </c>
      <c r="I29" s="18">
        <f t="shared" si="6"/>
        <v>739452</v>
      </c>
      <c r="J29" s="18">
        <f t="shared" si="6"/>
        <v>475449</v>
      </c>
      <c r="K29" s="18">
        <f t="shared" si="6"/>
        <v>11022</v>
      </c>
      <c r="L29" s="18">
        <f t="shared" ref="L29:L32" si="7">SUM(B29:K29)</f>
        <v>1473232</v>
      </c>
      <c r="M29" s="20">
        <f t="shared" ref="M29:M30" si="8">L29/SUM(L$28:L$30)</f>
        <v>0.50410269998446555</v>
      </c>
    </row>
    <row r="30" spans="1:13">
      <c r="A30" t="s">
        <v>212</v>
      </c>
      <c r="B30" s="18">
        <f>B23</f>
        <v>44561.847905001589</v>
      </c>
      <c r="C30" s="18">
        <f t="shared" ref="C30:K30" si="9">C23</f>
        <v>35830.371610664733</v>
      </c>
      <c r="D30" s="18">
        <f t="shared" si="9"/>
        <v>33712.974539999996</v>
      </c>
      <c r="E30" s="18">
        <f t="shared" si="9"/>
        <v>27972.565810664706</v>
      </c>
      <c r="F30" s="18">
        <f t="shared" si="9"/>
        <v>-2153.4588114191993</v>
      </c>
      <c r="G30" s="18">
        <f t="shared" si="9"/>
        <v>116163.22508683069</v>
      </c>
      <c r="H30" s="18">
        <f t="shared" si="9"/>
        <v>19814.414494999994</v>
      </c>
      <c r="I30" s="18">
        <f t="shared" si="9"/>
        <v>142388.47682258132</v>
      </c>
      <c r="J30" s="18">
        <f t="shared" si="9"/>
        <v>241878.43363966691</v>
      </c>
      <c r="K30" s="18">
        <f t="shared" si="9"/>
        <v>433820.00000000006</v>
      </c>
      <c r="L30" s="18">
        <f t="shared" si="7"/>
        <v>1093988.8510989908</v>
      </c>
      <c r="M30" s="20">
        <f t="shared" si="8"/>
        <v>0.3743352938246689</v>
      </c>
    </row>
    <row r="31" spans="1:13">
      <c r="A31" t="s">
        <v>214</v>
      </c>
      <c r="B31" s="18">
        <f>B25</f>
        <v>-587890.84790500172</v>
      </c>
      <c r="C31" s="18">
        <f t="shared" ref="C31:K31" si="10">C25</f>
        <v>2617.628389335252</v>
      </c>
      <c r="D31" s="18">
        <f t="shared" si="10"/>
        <v>48443.025460000004</v>
      </c>
      <c r="E31" s="18">
        <f t="shared" si="10"/>
        <v>39870.434189335305</v>
      </c>
      <c r="F31" s="18">
        <f t="shared" si="10"/>
        <v>45163.458811419201</v>
      </c>
      <c r="G31" s="18">
        <f t="shared" si="10"/>
        <v>155069.7749131693</v>
      </c>
      <c r="H31" s="18">
        <f t="shared" si="10"/>
        <v>64354.585504999988</v>
      </c>
      <c r="I31" s="18">
        <f t="shared" si="10"/>
        <v>-1024178.4768225814</v>
      </c>
      <c r="J31" s="18">
        <f t="shared" si="10"/>
        <v>-326125.43363966688</v>
      </c>
      <c r="K31" s="18">
        <f t="shared" si="10"/>
        <v>-247993</v>
      </c>
      <c r="L31" s="18">
        <f t="shared" si="7"/>
        <v>-1830668.851098991</v>
      </c>
    </row>
    <row r="32" spans="1:13">
      <c r="A32" t="s">
        <v>217</v>
      </c>
      <c r="B32" s="18">
        <f>SUM(B28:B31)</f>
        <v>22860.999999999884</v>
      </c>
      <c r="C32" s="18">
        <f t="shared" ref="C32:K32" si="11">SUM(C28:C31)</f>
        <v>42144.999999999985</v>
      </c>
      <c r="D32" s="18">
        <f t="shared" si="11"/>
        <v>-34865</v>
      </c>
      <c r="E32" s="18">
        <f t="shared" si="11"/>
        <v>-6237.9999999999927</v>
      </c>
      <c r="F32" s="18">
        <f t="shared" si="11"/>
        <v>-2936</v>
      </c>
      <c r="G32" s="18">
        <f t="shared" si="11"/>
        <v>111133.99999999999</v>
      </c>
      <c r="H32" s="18">
        <f t="shared" si="11"/>
        <v>186608.99999999997</v>
      </c>
      <c r="I32" s="18">
        <f t="shared" si="11"/>
        <v>56973</v>
      </c>
      <c r="J32" s="18">
        <f t="shared" si="11"/>
        <v>299403</v>
      </c>
      <c r="K32" s="18">
        <f t="shared" si="11"/>
        <v>416729</v>
      </c>
      <c r="L32" s="18">
        <f t="shared" si="7"/>
        <v>1091814.9999999998</v>
      </c>
    </row>
    <row r="34" spans="1:11">
      <c r="A34" t="s">
        <v>209</v>
      </c>
      <c r="B34" s="18">
        <f>B20</f>
        <v>0</v>
      </c>
      <c r="C34" s="18">
        <f t="shared" ref="C34:K34" si="12">C20</f>
        <v>0</v>
      </c>
      <c r="D34" s="18">
        <f t="shared" si="12"/>
        <v>0</v>
      </c>
      <c r="E34" s="18">
        <f t="shared" si="12"/>
        <v>0</v>
      </c>
      <c r="F34" s="18">
        <f t="shared" si="12"/>
        <v>0</v>
      </c>
      <c r="G34" s="18">
        <f t="shared" si="12"/>
        <v>-112487</v>
      </c>
      <c r="H34" s="18">
        <f t="shared" si="12"/>
        <v>-128970</v>
      </c>
      <c r="I34" s="18">
        <f t="shared" si="12"/>
        <v>-240535</v>
      </c>
      <c r="J34" s="18">
        <f t="shared" si="12"/>
        <v>-341560</v>
      </c>
      <c r="K34" s="18">
        <f t="shared" si="12"/>
        <v>-396093</v>
      </c>
    </row>
    <row r="35" spans="1:11">
      <c r="G35" s="18">
        <f>G34+G32</f>
        <v>-1353.0000000000146</v>
      </c>
      <c r="H35" s="18">
        <f t="shared" ref="H35:K35" si="13">H34+H32</f>
        <v>57638.999999999971</v>
      </c>
      <c r="I35" s="18">
        <f t="shared" si="13"/>
        <v>-183562</v>
      </c>
      <c r="J35" s="18">
        <f t="shared" si="13"/>
        <v>-42157</v>
      </c>
      <c r="K35" s="18">
        <f t="shared" si="13"/>
        <v>20636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A22F-7276-4A67-A782-23BC93DCEA76}">
  <sheetPr filterMode="1"/>
  <dimension ref="A1:P133"/>
  <sheetViews>
    <sheetView workbookViewId="0">
      <selection activeCell="Q103" sqref="Q103"/>
    </sheetView>
  </sheetViews>
  <sheetFormatPr defaultRowHeight="15"/>
  <cols>
    <col min="1" max="1" width="10.140625" style="133" bestFit="1" customWidth="1"/>
    <col min="2" max="2" width="10.85546875" bestFit="1" customWidth="1"/>
    <col min="6" max="6" width="10.140625" bestFit="1" customWidth="1"/>
  </cols>
  <sheetData>
    <row r="1" spans="1:3">
      <c r="A1" s="133" t="s">
        <v>161</v>
      </c>
      <c r="B1" t="s">
        <v>218</v>
      </c>
      <c r="C1" t="s">
        <v>26</v>
      </c>
    </row>
    <row r="2" spans="1:3" hidden="1">
      <c r="A2" s="133">
        <v>39355</v>
      </c>
      <c r="B2">
        <v>43.7669</v>
      </c>
      <c r="C2">
        <f t="shared" ref="C2:C9" si="0">MONTH(A2)</f>
        <v>9</v>
      </c>
    </row>
    <row r="3" spans="1:3" hidden="1">
      <c r="A3" s="133">
        <v>39391</v>
      </c>
      <c r="B3">
        <v>44.938400000000001</v>
      </c>
      <c r="C3">
        <f t="shared" si="0"/>
        <v>11</v>
      </c>
    </row>
    <row r="4" spans="1:3">
      <c r="A4" s="133">
        <v>39447</v>
      </c>
      <c r="B4">
        <v>44.938400000000001</v>
      </c>
      <c r="C4">
        <f t="shared" si="0"/>
        <v>12</v>
      </c>
    </row>
    <row r="5" spans="1:3" hidden="1">
      <c r="A5" s="133">
        <v>39505</v>
      </c>
      <c r="B5">
        <v>44.938400000000001</v>
      </c>
      <c r="C5">
        <f t="shared" si="0"/>
        <v>2</v>
      </c>
    </row>
    <row r="6" spans="1:3" hidden="1">
      <c r="A6" s="133">
        <v>39538</v>
      </c>
      <c r="B6">
        <v>44.938400000000001</v>
      </c>
      <c r="C6">
        <f t="shared" si="0"/>
        <v>3</v>
      </c>
    </row>
    <row r="7" spans="1:3" hidden="1">
      <c r="A7" s="133">
        <v>39575</v>
      </c>
      <c r="B7">
        <v>44.938400000000001</v>
      </c>
      <c r="C7">
        <f t="shared" si="0"/>
        <v>5</v>
      </c>
    </row>
    <row r="8" spans="1:3" hidden="1">
      <c r="A8" s="133">
        <v>39629</v>
      </c>
      <c r="B8">
        <v>44.948700000000002</v>
      </c>
      <c r="C8">
        <f t="shared" si="0"/>
        <v>6</v>
      </c>
    </row>
    <row r="9" spans="1:3" hidden="1">
      <c r="A9" s="133">
        <v>39666</v>
      </c>
      <c r="B9">
        <v>44.948700000000002</v>
      </c>
      <c r="C9">
        <f t="shared" si="0"/>
        <v>8</v>
      </c>
    </row>
    <row r="10" spans="1:3">
      <c r="A10" s="133">
        <v>39757</v>
      </c>
      <c r="B10">
        <v>44.948700000000002</v>
      </c>
      <c r="C10">
        <v>12</v>
      </c>
    </row>
    <row r="11" spans="1:3" hidden="1">
      <c r="A11" s="133">
        <v>39870</v>
      </c>
      <c r="B11">
        <v>44.948700000000002</v>
      </c>
      <c r="C11">
        <f t="shared" ref="C11:C42" si="1">MONTH(A11)</f>
        <v>2</v>
      </c>
    </row>
    <row r="12" spans="1:3" hidden="1">
      <c r="A12" s="133">
        <v>39939</v>
      </c>
      <c r="B12">
        <v>44.948700000000002</v>
      </c>
      <c r="C12">
        <f t="shared" si="1"/>
        <v>5</v>
      </c>
    </row>
    <row r="13" spans="1:3" hidden="1">
      <c r="A13" s="133">
        <v>39994</v>
      </c>
      <c r="B13">
        <v>44.962800000000001</v>
      </c>
      <c r="C13">
        <f t="shared" si="1"/>
        <v>6</v>
      </c>
    </row>
    <row r="14" spans="1:3" hidden="1">
      <c r="A14" s="133">
        <v>40030</v>
      </c>
      <c r="B14">
        <v>44.962800000000001</v>
      </c>
      <c r="C14">
        <f t="shared" si="1"/>
        <v>8</v>
      </c>
    </row>
    <row r="15" spans="1:3" hidden="1">
      <c r="A15" s="133">
        <v>40086</v>
      </c>
      <c r="B15">
        <v>45.1126</v>
      </c>
      <c r="C15">
        <f t="shared" si="1"/>
        <v>9</v>
      </c>
    </row>
    <row r="16" spans="1:3" hidden="1">
      <c r="A16" s="133">
        <v>40121</v>
      </c>
      <c r="B16">
        <v>45.1126</v>
      </c>
      <c r="C16">
        <f t="shared" si="1"/>
        <v>11</v>
      </c>
    </row>
    <row r="17" spans="1:3">
      <c r="A17" s="133">
        <v>40178</v>
      </c>
      <c r="B17">
        <v>45.292900000000003</v>
      </c>
      <c r="C17">
        <f t="shared" si="1"/>
        <v>12</v>
      </c>
    </row>
    <row r="18" spans="1:3" hidden="1">
      <c r="A18" s="133">
        <v>40234</v>
      </c>
      <c r="B18">
        <v>45.292900000000003</v>
      </c>
      <c r="C18">
        <f t="shared" si="1"/>
        <v>2</v>
      </c>
    </row>
    <row r="19" spans="1:3" hidden="1">
      <c r="A19" s="133">
        <v>40268</v>
      </c>
      <c r="B19">
        <v>45.431899999999999</v>
      </c>
      <c r="C19">
        <f t="shared" si="1"/>
        <v>3</v>
      </c>
    </row>
    <row r="20" spans="1:3" hidden="1">
      <c r="A20" s="133">
        <v>40283</v>
      </c>
      <c r="B20">
        <v>45.431899999999999</v>
      </c>
      <c r="C20">
        <f t="shared" si="1"/>
        <v>4</v>
      </c>
    </row>
    <row r="21" spans="1:3" hidden="1">
      <c r="A21" s="133">
        <v>40302</v>
      </c>
      <c r="B21">
        <v>45.431899999999999</v>
      </c>
      <c r="C21">
        <f t="shared" si="1"/>
        <v>5</v>
      </c>
    </row>
    <row r="22" spans="1:3" hidden="1">
      <c r="A22" s="133">
        <v>40359</v>
      </c>
      <c r="B22">
        <v>45.714399999999998</v>
      </c>
      <c r="C22">
        <f t="shared" si="1"/>
        <v>6</v>
      </c>
    </row>
    <row r="23" spans="1:3" hidden="1">
      <c r="A23" s="133">
        <v>40393</v>
      </c>
      <c r="B23">
        <v>45.715400000000002</v>
      </c>
      <c r="C23">
        <f t="shared" si="1"/>
        <v>8</v>
      </c>
    </row>
    <row r="24" spans="1:3" hidden="1">
      <c r="A24" s="133">
        <v>40451</v>
      </c>
      <c r="B24">
        <v>45.715400000000002</v>
      </c>
      <c r="C24">
        <f t="shared" si="1"/>
        <v>9</v>
      </c>
    </row>
    <row r="25" spans="1:3" hidden="1">
      <c r="A25" s="133">
        <v>40484</v>
      </c>
      <c r="B25">
        <v>45.715400000000002</v>
      </c>
      <c r="C25">
        <f t="shared" si="1"/>
        <v>11</v>
      </c>
    </row>
    <row r="26" spans="1:3">
      <c r="A26" s="133">
        <v>40543</v>
      </c>
      <c r="B26">
        <v>45.715400000000002</v>
      </c>
      <c r="C26">
        <f t="shared" si="1"/>
        <v>12</v>
      </c>
    </row>
    <row r="27" spans="1:3" hidden="1">
      <c r="A27" s="133">
        <v>40597</v>
      </c>
      <c r="B27">
        <v>45.715400000000002</v>
      </c>
      <c r="C27">
        <f t="shared" si="1"/>
        <v>2</v>
      </c>
    </row>
    <row r="28" spans="1:3" hidden="1">
      <c r="A28" s="133">
        <v>40633</v>
      </c>
      <c r="B28">
        <v>45.851500000000001</v>
      </c>
      <c r="C28">
        <f t="shared" si="1"/>
        <v>3</v>
      </c>
    </row>
    <row r="29" spans="1:3" hidden="1">
      <c r="A29" s="133">
        <v>40648</v>
      </c>
      <c r="B29">
        <v>45.851500000000001</v>
      </c>
      <c r="C29">
        <f t="shared" si="1"/>
        <v>4</v>
      </c>
    </row>
    <row r="30" spans="1:3" hidden="1">
      <c r="A30" s="133">
        <v>40666</v>
      </c>
      <c r="B30">
        <v>45.851500000000001</v>
      </c>
      <c r="C30">
        <f t="shared" si="1"/>
        <v>5</v>
      </c>
    </row>
    <row r="31" spans="1:3" hidden="1">
      <c r="A31" s="133">
        <v>40724</v>
      </c>
      <c r="B31">
        <v>46.028300000000002</v>
      </c>
      <c r="C31">
        <f t="shared" si="1"/>
        <v>6</v>
      </c>
    </row>
    <row r="32" spans="1:3" hidden="1">
      <c r="A32" s="133">
        <v>40757</v>
      </c>
      <c r="B32">
        <v>46.028300000000002</v>
      </c>
      <c r="C32">
        <f t="shared" si="1"/>
        <v>8</v>
      </c>
    </row>
    <row r="33" spans="1:3" hidden="1">
      <c r="A33" s="133">
        <v>40816</v>
      </c>
      <c r="B33">
        <v>46.207900000000002</v>
      </c>
      <c r="C33">
        <f t="shared" si="1"/>
        <v>9</v>
      </c>
    </row>
    <row r="34" spans="1:3" hidden="1">
      <c r="A34" s="133">
        <v>40848</v>
      </c>
      <c r="B34">
        <v>46.207900000000002</v>
      </c>
      <c r="C34">
        <f t="shared" si="1"/>
        <v>11</v>
      </c>
    </row>
    <row r="35" spans="1:3">
      <c r="A35" s="133">
        <v>40908</v>
      </c>
      <c r="B35">
        <v>46.338200000000001</v>
      </c>
      <c r="C35">
        <f t="shared" si="1"/>
        <v>12</v>
      </c>
    </row>
    <row r="36" spans="1:3" hidden="1">
      <c r="A36" s="133">
        <v>40961</v>
      </c>
      <c r="B36">
        <v>46.338200000000001</v>
      </c>
      <c r="C36">
        <f t="shared" si="1"/>
        <v>2</v>
      </c>
    </row>
    <row r="37" spans="1:3" hidden="1">
      <c r="A37" s="133">
        <v>40999</v>
      </c>
      <c r="B37">
        <v>46.474200000000003</v>
      </c>
      <c r="C37">
        <f t="shared" si="1"/>
        <v>3</v>
      </c>
    </row>
    <row r="38" spans="1:3" hidden="1">
      <c r="A38" s="133">
        <v>41001</v>
      </c>
      <c r="B38">
        <v>46.474200000000003</v>
      </c>
      <c r="C38">
        <f t="shared" si="1"/>
        <v>4</v>
      </c>
    </row>
    <row r="39" spans="1:3" hidden="1">
      <c r="A39" s="133">
        <v>41030</v>
      </c>
      <c r="B39">
        <v>46.474200000000003</v>
      </c>
      <c r="C39">
        <f t="shared" si="1"/>
        <v>5</v>
      </c>
    </row>
    <row r="40" spans="1:3" hidden="1">
      <c r="A40" s="133">
        <v>41090</v>
      </c>
      <c r="B40">
        <v>46.645000000000003</v>
      </c>
      <c r="C40">
        <f t="shared" si="1"/>
        <v>6</v>
      </c>
    </row>
    <row r="41" spans="1:3" hidden="1">
      <c r="A41" s="133">
        <v>41121</v>
      </c>
      <c r="B41">
        <v>46.645000000000003</v>
      </c>
      <c r="C41">
        <f t="shared" si="1"/>
        <v>7</v>
      </c>
    </row>
    <row r="42" spans="1:3" hidden="1">
      <c r="A42" s="133">
        <v>41182</v>
      </c>
      <c r="B42">
        <v>46.758899999999997</v>
      </c>
      <c r="C42">
        <f t="shared" si="1"/>
        <v>9</v>
      </c>
    </row>
    <row r="43" spans="1:3" hidden="1">
      <c r="A43" s="133">
        <v>41212</v>
      </c>
      <c r="B43">
        <v>46.758899999999997</v>
      </c>
      <c r="C43">
        <f t="shared" ref="C43:C74" si="2">MONTH(A43)</f>
        <v>10</v>
      </c>
    </row>
    <row r="44" spans="1:3">
      <c r="A44" s="133">
        <v>41274</v>
      </c>
      <c r="B44">
        <v>47.453899999999997</v>
      </c>
      <c r="C44">
        <f t="shared" si="2"/>
        <v>12</v>
      </c>
    </row>
    <row r="45" spans="1:3" hidden="1">
      <c r="A45" s="133">
        <v>41325</v>
      </c>
      <c r="B45">
        <v>47.453899999999997</v>
      </c>
      <c r="C45">
        <f t="shared" si="2"/>
        <v>2</v>
      </c>
    </row>
    <row r="46" spans="1:3" hidden="1">
      <c r="A46" s="133">
        <v>41364</v>
      </c>
      <c r="B46">
        <v>48.4343</v>
      </c>
      <c r="C46">
        <f t="shared" si="2"/>
        <v>3</v>
      </c>
    </row>
    <row r="47" spans="1:3" hidden="1">
      <c r="A47" s="133">
        <v>41365</v>
      </c>
      <c r="B47">
        <v>48.4343</v>
      </c>
      <c r="C47">
        <f t="shared" si="2"/>
        <v>4</v>
      </c>
    </row>
    <row r="48" spans="1:3" hidden="1">
      <c r="A48" s="133">
        <v>41369</v>
      </c>
      <c r="B48">
        <v>48.4343</v>
      </c>
      <c r="C48">
        <f t="shared" si="2"/>
        <v>4</v>
      </c>
    </row>
    <row r="49" spans="1:6" hidden="1">
      <c r="A49" s="133">
        <v>41390</v>
      </c>
      <c r="B49">
        <v>48.4343</v>
      </c>
      <c r="C49">
        <f t="shared" si="2"/>
        <v>4</v>
      </c>
    </row>
    <row r="50" spans="1:6" hidden="1">
      <c r="A50" s="133">
        <v>41455</v>
      </c>
      <c r="B50">
        <v>52.865900000000003</v>
      </c>
      <c r="C50">
        <f t="shared" si="2"/>
        <v>6</v>
      </c>
    </row>
    <row r="51" spans="1:6" hidden="1">
      <c r="A51" s="133">
        <v>41485</v>
      </c>
      <c r="B51">
        <v>52.865900000000003</v>
      </c>
      <c r="C51">
        <f t="shared" si="2"/>
        <v>7</v>
      </c>
    </row>
    <row r="52" spans="1:6" hidden="1">
      <c r="A52" s="133">
        <v>41547</v>
      </c>
      <c r="B52">
        <v>53.469900000000003</v>
      </c>
      <c r="C52">
        <f t="shared" si="2"/>
        <v>9</v>
      </c>
    </row>
    <row r="53" spans="1:6" hidden="1">
      <c r="A53" s="133">
        <v>41572</v>
      </c>
      <c r="B53">
        <v>53.469900000000003</v>
      </c>
      <c r="C53">
        <f t="shared" si="2"/>
        <v>10</v>
      </c>
    </row>
    <row r="54" spans="1:6">
      <c r="A54" s="133">
        <v>41639</v>
      </c>
      <c r="B54">
        <v>56.2956</v>
      </c>
      <c r="C54">
        <f t="shared" si="2"/>
        <v>12</v>
      </c>
    </row>
    <row r="55" spans="1:6" hidden="1">
      <c r="A55" s="133">
        <v>41689</v>
      </c>
      <c r="B55">
        <v>56.349699999999999</v>
      </c>
      <c r="C55">
        <f t="shared" si="2"/>
        <v>2</v>
      </c>
    </row>
    <row r="56" spans="1:6" hidden="1">
      <c r="A56" s="133">
        <v>41724</v>
      </c>
      <c r="B56">
        <v>56.459000000000003</v>
      </c>
      <c r="C56">
        <f t="shared" si="2"/>
        <v>3</v>
      </c>
    </row>
    <row r="57" spans="1:6" hidden="1">
      <c r="A57" s="133">
        <v>41729</v>
      </c>
      <c r="B57">
        <v>56.459000000000003</v>
      </c>
      <c r="C57">
        <f t="shared" si="2"/>
        <v>3</v>
      </c>
    </row>
    <row r="58" spans="1:6" hidden="1">
      <c r="A58" s="133">
        <v>41733</v>
      </c>
      <c r="B58">
        <v>56.459099999999999</v>
      </c>
      <c r="C58">
        <f t="shared" si="2"/>
        <v>4</v>
      </c>
    </row>
    <row r="59" spans="1:6" hidden="1">
      <c r="A59" s="133">
        <v>41758</v>
      </c>
      <c r="B59">
        <v>56.514800000000001</v>
      </c>
      <c r="C59">
        <f t="shared" si="2"/>
        <v>4</v>
      </c>
    </row>
    <row r="60" spans="1:6" hidden="1">
      <c r="A60" s="133">
        <v>41820</v>
      </c>
      <c r="B60">
        <v>56.636200000000002</v>
      </c>
      <c r="C60">
        <f t="shared" si="2"/>
        <v>6</v>
      </c>
    </row>
    <row r="61" spans="1:6" hidden="1">
      <c r="A61" s="133">
        <v>41849</v>
      </c>
      <c r="B61">
        <v>70.001300000000001</v>
      </c>
      <c r="C61">
        <f t="shared" si="2"/>
        <v>7</v>
      </c>
    </row>
    <row r="62" spans="1:6" hidden="1">
      <c r="A62" s="133">
        <v>41912</v>
      </c>
      <c r="B62">
        <v>70.133499999999998</v>
      </c>
      <c r="C62">
        <f t="shared" si="2"/>
        <v>9</v>
      </c>
    </row>
    <row r="63" spans="1:6" hidden="1">
      <c r="A63" s="133">
        <v>41940</v>
      </c>
      <c r="B63">
        <v>70.95</v>
      </c>
      <c r="C63">
        <f t="shared" si="2"/>
        <v>10</v>
      </c>
    </row>
    <row r="64" spans="1:6">
      <c r="A64" s="133">
        <v>42004</v>
      </c>
      <c r="B64">
        <v>71.089600000000004</v>
      </c>
      <c r="C64">
        <f t="shared" si="2"/>
        <v>12</v>
      </c>
      <c r="F64">
        <v>1000</v>
      </c>
    </row>
    <row r="65" spans="1:3" hidden="1">
      <c r="A65" s="133">
        <v>42053</v>
      </c>
      <c r="B65">
        <v>71.2316</v>
      </c>
      <c r="C65">
        <f t="shared" si="2"/>
        <v>2</v>
      </c>
    </row>
    <row r="66" spans="1:3" hidden="1">
      <c r="A66" s="133">
        <v>42088</v>
      </c>
      <c r="B66">
        <v>79.338200000000001</v>
      </c>
      <c r="C66">
        <f t="shared" si="2"/>
        <v>3</v>
      </c>
    </row>
    <row r="67" spans="1:3" hidden="1">
      <c r="A67" s="133">
        <v>42094</v>
      </c>
      <c r="B67">
        <v>77.412099999999995</v>
      </c>
      <c r="C67">
        <f t="shared" si="2"/>
        <v>3</v>
      </c>
    </row>
    <row r="68" spans="1:3" hidden="1">
      <c r="A68" s="133">
        <v>42096</v>
      </c>
      <c r="B68">
        <v>77.412099999999995</v>
      </c>
      <c r="C68">
        <f t="shared" si="2"/>
        <v>4</v>
      </c>
    </row>
    <row r="69" spans="1:3" hidden="1">
      <c r="A69" s="133">
        <v>42103</v>
      </c>
      <c r="B69">
        <v>79.338200000000001</v>
      </c>
      <c r="C69">
        <f t="shared" si="2"/>
        <v>4</v>
      </c>
    </row>
    <row r="70" spans="1:3" hidden="1">
      <c r="A70" s="133">
        <v>42125</v>
      </c>
      <c r="B70">
        <v>79.338399999999993</v>
      </c>
      <c r="C70">
        <f t="shared" si="2"/>
        <v>5</v>
      </c>
    </row>
    <row r="71" spans="1:3" hidden="1">
      <c r="A71" s="133">
        <v>42185</v>
      </c>
      <c r="B71">
        <v>79.501800000000003</v>
      </c>
      <c r="C71">
        <f t="shared" si="2"/>
        <v>6</v>
      </c>
    </row>
    <row r="72" spans="1:3" hidden="1">
      <c r="A72" s="133">
        <v>42216</v>
      </c>
      <c r="B72">
        <v>79.59</v>
      </c>
      <c r="C72">
        <f t="shared" si="2"/>
        <v>7</v>
      </c>
    </row>
    <row r="73" spans="1:3" hidden="1">
      <c r="A73" s="133">
        <v>42277</v>
      </c>
      <c r="B73">
        <v>79.778800000000004</v>
      </c>
      <c r="C73">
        <f t="shared" si="2"/>
        <v>9</v>
      </c>
    </row>
    <row r="74" spans="1:3" hidden="1">
      <c r="A74" s="133">
        <v>42307</v>
      </c>
      <c r="B74">
        <v>79.854200000000006</v>
      </c>
      <c r="C74">
        <f t="shared" si="2"/>
        <v>10</v>
      </c>
    </row>
    <row r="75" spans="1:3">
      <c r="A75" s="133">
        <v>42369</v>
      </c>
      <c r="B75">
        <v>80.006799999999998</v>
      </c>
      <c r="C75">
        <f t="shared" ref="C75:C92" si="3">MONTH(A75)</f>
        <v>12</v>
      </c>
    </row>
    <row r="76" spans="1:3" hidden="1">
      <c r="A76" s="133">
        <v>42419</v>
      </c>
      <c r="B76">
        <v>80.084500000000006</v>
      </c>
      <c r="C76">
        <f t="shared" si="3"/>
        <v>2</v>
      </c>
    </row>
    <row r="77" spans="1:3" hidden="1">
      <c r="A77" s="133">
        <v>42452</v>
      </c>
      <c r="B77">
        <v>80.2577</v>
      </c>
      <c r="C77">
        <f t="shared" si="3"/>
        <v>3</v>
      </c>
    </row>
    <row r="78" spans="1:3" hidden="1">
      <c r="A78" s="133">
        <v>42460</v>
      </c>
      <c r="B78">
        <v>80.257599999999996</v>
      </c>
      <c r="C78">
        <f t="shared" si="3"/>
        <v>3</v>
      </c>
    </row>
    <row r="79" spans="1:3" hidden="1">
      <c r="A79" s="133">
        <v>42461</v>
      </c>
      <c r="B79">
        <v>80.2577</v>
      </c>
      <c r="C79">
        <f t="shared" si="3"/>
        <v>4</v>
      </c>
    </row>
    <row r="80" spans="1:3" hidden="1">
      <c r="A80" s="133">
        <v>42489</v>
      </c>
      <c r="B80">
        <v>80.336699999999993</v>
      </c>
      <c r="C80">
        <f t="shared" si="3"/>
        <v>4</v>
      </c>
    </row>
    <row r="81" spans="1:16" hidden="1">
      <c r="A81" s="133">
        <v>42551</v>
      </c>
      <c r="B81">
        <v>80.502899999999997</v>
      </c>
      <c r="C81">
        <f t="shared" si="3"/>
        <v>6</v>
      </c>
    </row>
    <row r="82" spans="1:16" hidden="1">
      <c r="A82" s="133">
        <v>42583</v>
      </c>
      <c r="B82">
        <v>81.525899999999993</v>
      </c>
      <c r="C82">
        <f t="shared" si="3"/>
        <v>8</v>
      </c>
    </row>
    <row r="83" spans="1:16" hidden="1">
      <c r="A83" s="133">
        <v>42643</v>
      </c>
      <c r="B83">
        <v>81.756</v>
      </c>
      <c r="C83">
        <f t="shared" si="3"/>
        <v>9</v>
      </c>
    </row>
    <row r="84" spans="1:16" hidden="1">
      <c r="A84" s="133">
        <v>42671</v>
      </c>
      <c r="B84">
        <v>81.834199999999996</v>
      </c>
      <c r="C84">
        <f t="shared" si="3"/>
        <v>10</v>
      </c>
    </row>
    <row r="85" spans="1:16" hidden="1">
      <c r="A85" s="133">
        <v>42675</v>
      </c>
      <c r="B85">
        <v>81.834299999999999</v>
      </c>
      <c r="C85">
        <f t="shared" si="3"/>
        <v>11</v>
      </c>
    </row>
    <row r="86" spans="1:16">
      <c r="A86" s="133">
        <v>42735</v>
      </c>
      <c r="B86">
        <v>82.047499999999999</v>
      </c>
      <c r="C86">
        <f t="shared" si="3"/>
        <v>12</v>
      </c>
    </row>
    <row r="87" spans="1:16" hidden="1">
      <c r="A87" s="133">
        <v>42783</v>
      </c>
      <c r="B87">
        <v>82.125399999999999</v>
      </c>
      <c r="C87">
        <f t="shared" si="3"/>
        <v>2</v>
      </c>
    </row>
    <row r="88" spans="1:16" hidden="1">
      <c r="A88" s="133">
        <v>42816</v>
      </c>
      <c r="B88">
        <v>82.228700000000003</v>
      </c>
      <c r="C88">
        <f t="shared" si="3"/>
        <v>3</v>
      </c>
    </row>
    <row r="89" spans="1:16" hidden="1">
      <c r="A89" s="133">
        <v>42825</v>
      </c>
      <c r="B89">
        <v>82.306399999999996</v>
      </c>
      <c r="C89">
        <f t="shared" si="3"/>
        <v>3</v>
      </c>
    </row>
    <row r="90" spans="1:16" hidden="1">
      <c r="A90" s="133">
        <v>42857</v>
      </c>
      <c r="B90">
        <v>82.419899999999998</v>
      </c>
      <c r="C90">
        <f t="shared" si="3"/>
        <v>5</v>
      </c>
    </row>
    <row r="91" spans="1:16" hidden="1">
      <c r="A91" s="133">
        <v>42916</v>
      </c>
      <c r="B91">
        <v>82.589799999999997</v>
      </c>
      <c r="C91">
        <f t="shared" si="3"/>
        <v>6</v>
      </c>
    </row>
    <row r="92" spans="1:16" hidden="1">
      <c r="A92" s="133">
        <v>42948</v>
      </c>
      <c r="B92">
        <v>82.667900000000003</v>
      </c>
      <c r="C92">
        <f t="shared" si="3"/>
        <v>8</v>
      </c>
    </row>
    <row r="94" spans="1:16">
      <c r="B94" t="s">
        <v>220</v>
      </c>
      <c r="C94" t="s">
        <v>37</v>
      </c>
      <c r="D94" t="s">
        <v>212</v>
      </c>
      <c r="E94" t="s">
        <v>219</v>
      </c>
      <c r="F94" t="s">
        <v>73</v>
      </c>
      <c r="G94" t="s">
        <v>209</v>
      </c>
      <c r="J94" t="s">
        <v>37</v>
      </c>
      <c r="K94" t="s">
        <v>212</v>
      </c>
      <c r="L94" t="s">
        <v>219</v>
      </c>
      <c r="M94" t="s">
        <v>73</v>
      </c>
      <c r="N94" t="s">
        <v>221</v>
      </c>
    </row>
    <row r="95" spans="1:16">
      <c r="A95">
        <v>2007</v>
      </c>
      <c r="B95">
        <v>44.938400000000001</v>
      </c>
      <c r="C95">
        <v>754.21400000000006</v>
      </c>
      <c r="D95">
        <v>44.561847905001585</v>
      </c>
      <c r="E95">
        <v>-587.89084790500169</v>
      </c>
      <c r="F95">
        <f>D95+E95</f>
        <v>-543.32900000000006</v>
      </c>
      <c r="G95">
        <v>0</v>
      </c>
      <c r="I95">
        <v>2007</v>
      </c>
      <c r="J95">
        <f t="shared" ref="J95:J104" si="4">C95/$B95</f>
        <v>16.783285564239048</v>
      </c>
      <c r="K95">
        <f t="shared" ref="K95:K104" si="5">D95/$B95</f>
        <v>0.99162070534334967</v>
      </c>
      <c r="L95">
        <f t="shared" ref="L95:L104" si="6">E95/$B95</f>
        <v>-13.0821490730645</v>
      </c>
      <c r="M95">
        <f t="shared" ref="M95:M104" si="7">F95/$B95</f>
        <v>-12.090528367721149</v>
      </c>
      <c r="N95">
        <f>G95/B95</f>
        <v>0</v>
      </c>
      <c r="P95" s="140"/>
    </row>
    <row r="96" spans="1:16">
      <c r="A96">
        <v>2008</v>
      </c>
      <c r="B96">
        <v>44.948700000000002</v>
      </c>
      <c r="C96">
        <v>977.36099999999999</v>
      </c>
      <c r="D96">
        <v>35.830371610664734</v>
      </c>
      <c r="E96">
        <v>2.6176283893352519</v>
      </c>
      <c r="F96">
        <f t="shared" ref="F96:F104" si="8">D96+E96</f>
        <v>38.447999999999986</v>
      </c>
      <c r="G96">
        <v>0</v>
      </c>
      <c r="I96">
        <v>2008</v>
      </c>
      <c r="J96">
        <f t="shared" si="4"/>
        <v>21.743921403733587</v>
      </c>
      <c r="K96">
        <f t="shared" si="5"/>
        <v>0.79713921894659312</v>
      </c>
      <c r="L96">
        <f t="shared" si="6"/>
        <v>5.8235908698922367E-2</v>
      </c>
      <c r="M96">
        <f t="shared" si="7"/>
        <v>0.85537512764551549</v>
      </c>
      <c r="N96">
        <f t="shared" ref="N96:N104" si="9">G96/B96</f>
        <v>0</v>
      </c>
      <c r="P96" s="140"/>
    </row>
    <row r="97" spans="1:16">
      <c r="A97">
        <v>2009</v>
      </c>
      <c r="B97">
        <v>45.292900000000003</v>
      </c>
      <c r="C97">
        <v>710.07600000000002</v>
      </c>
      <c r="D97">
        <v>33.712974539999998</v>
      </c>
      <c r="E97">
        <v>48.443025460000001</v>
      </c>
      <c r="F97">
        <f t="shared" si="8"/>
        <v>82.156000000000006</v>
      </c>
      <c r="G97">
        <v>0</v>
      </c>
      <c r="I97">
        <v>2009</v>
      </c>
      <c r="J97">
        <f t="shared" si="4"/>
        <v>15.677424055425906</v>
      </c>
      <c r="K97">
        <f t="shared" si="5"/>
        <v>0.74433243488493772</v>
      </c>
      <c r="L97">
        <f t="shared" si="6"/>
        <v>1.069550094164869</v>
      </c>
      <c r="M97">
        <f t="shared" si="7"/>
        <v>1.8138825290498068</v>
      </c>
      <c r="N97">
        <f t="shared" si="9"/>
        <v>0</v>
      </c>
      <c r="P97" s="140"/>
    </row>
    <row r="98" spans="1:16">
      <c r="A98">
        <v>2010</v>
      </c>
      <c r="B98">
        <v>45.715400000000002</v>
      </c>
      <c r="C98">
        <v>840.79100000000005</v>
      </c>
      <c r="D98">
        <v>27.972565810664705</v>
      </c>
      <c r="E98">
        <v>39.870434189335306</v>
      </c>
      <c r="F98">
        <f t="shared" si="8"/>
        <v>67.843000000000018</v>
      </c>
      <c r="G98">
        <v>0</v>
      </c>
      <c r="I98">
        <v>2010</v>
      </c>
      <c r="J98">
        <f t="shared" si="4"/>
        <v>18.391854823538676</v>
      </c>
      <c r="K98">
        <f t="shared" si="5"/>
        <v>0.61188496241233159</v>
      </c>
      <c r="L98">
        <f t="shared" si="6"/>
        <v>0.87214448936978139</v>
      </c>
      <c r="M98">
        <f t="shared" si="7"/>
        <v>1.4840294517821131</v>
      </c>
      <c r="N98">
        <f t="shared" si="9"/>
        <v>0</v>
      </c>
      <c r="P98" s="140"/>
    </row>
    <row r="99" spans="1:16">
      <c r="A99">
        <v>2011</v>
      </c>
      <c r="B99">
        <v>46.338200000000001</v>
      </c>
      <c r="C99">
        <v>988.79100000000005</v>
      </c>
      <c r="D99">
        <v>-2.153458811419199</v>
      </c>
      <c r="E99">
        <v>45.163458811419204</v>
      </c>
      <c r="F99">
        <f t="shared" si="8"/>
        <v>43.010000000000005</v>
      </c>
      <c r="G99">
        <v>0</v>
      </c>
      <c r="I99">
        <v>2011</v>
      </c>
      <c r="J99">
        <f t="shared" si="4"/>
        <v>21.338571632044406</v>
      </c>
      <c r="K99">
        <f t="shared" si="5"/>
        <v>-4.6472647004398078E-2</v>
      </c>
      <c r="L99">
        <f t="shared" si="6"/>
        <v>0.97464853644334914</v>
      </c>
      <c r="M99">
        <f t="shared" si="7"/>
        <v>0.92817588943895113</v>
      </c>
      <c r="N99">
        <f t="shared" si="9"/>
        <v>0</v>
      </c>
      <c r="P99" s="140"/>
    </row>
    <row r="100" spans="1:16">
      <c r="A100">
        <v>2012</v>
      </c>
      <c r="B100">
        <v>47.453899999999997</v>
      </c>
      <c r="C100">
        <v>1034.046</v>
      </c>
      <c r="D100">
        <v>116.16322508683069</v>
      </c>
      <c r="E100">
        <v>155.06977491316931</v>
      </c>
      <c r="F100">
        <f t="shared" si="8"/>
        <v>271.233</v>
      </c>
      <c r="G100">
        <v>-112.48699999999999</v>
      </c>
      <c r="I100">
        <v>2012</v>
      </c>
      <c r="J100">
        <f t="shared" si="4"/>
        <v>21.790537764019398</v>
      </c>
      <c r="K100">
        <f t="shared" si="5"/>
        <v>2.4479173489814472</v>
      </c>
      <c r="L100">
        <f t="shared" si="6"/>
        <v>3.2677983245459132</v>
      </c>
      <c r="M100">
        <f t="shared" si="7"/>
        <v>5.7157156735273604</v>
      </c>
      <c r="N100">
        <f t="shared" si="9"/>
        <v>-2.3704479505372582</v>
      </c>
      <c r="O100">
        <f>K100+N100</f>
        <v>7.7469398444188986E-2</v>
      </c>
    </row>
    <row r="101" spans="1:16">
      <c r="A101">
        <v>2013</v>
      </c>
      <c r="B101">
        <v>56.2956</v>
      </c>
      <c r="C101">
        <v>1041.019</v>
      </c>
      <c r="D101">
        <v>19.814414494999994</v>
      </c>
      <c r="E101">
        <v>64.354585504999989</v>
      </c>
      <c r="F101">
        <f t="shared" si="8"/>
        <v>84.168999999999983</v>
      </c>
      <c r="G101">
        <v>-128.97</v>
      </c>
      <c r="I101">
        <v>2013</v>
      </c>
      <c r="J101">
        <f t="shared" si="4"/>
        <v>18.492013585431188</v>
      </c>
      <c r="K101">
        <f t="shared" si="5"/>
        <v>0.3519709265910656</v>
      </c>
      <c r="L101">
        <f t="shared" si="6"/>
        <v>1.1431548025955844</v>
      </c>
      <c r="M101">
        <f t="shared" si="7"/>
        <v>1.4951257291866502</v>
      </c>
      <c r="N101">
        <f t="shared" si="9"/>
        <v>-2.2909428090294801</v>
      </c>
      <c r="O101">
        <f t="shared" ref="O101:O104" si="10">K101+N101</f>
        <v>-1.9389718824384146</v>
      </c>
    </row>
    <row r="102" spans="1:16">
      <c r="A102">
        <v>2014</v>
      </c>
      <c r="B102">
        <v>71.089600000000004</v>
      </c>
      <c r="C102">
        <v>1350.9179999999999</v>
      </c>
      <c r="D102">
        <v>142.38847682258131</v>
      </c>
      <c r="E102">
        <v>-1024.1784768225814</v>
      </c>
      <c r="F102">
        <f t="shared" si="8"/>
        <v>-881.79000000000008</v>
      </c>
      <c r="G102">
        <v>-240.535</v>
      </c>
      <c r="I102">
        <v>2014</v>
      </c>
      <c r="J102">
        <f t="shared" si="4"/>
        <v>19.003032792419706</v>
      </c>
      <c r="K102">
        <f t="shared" si="5"/>
        <v>2.0029438458309134</v>
      </c>
      <c r="L102">
        <f t="shared" si="6"/>
        <v>-14.406867907859677</v>
      </c>
      <c r="M102">
        <f t="shared" si="7"/>
        <v>-12.403924062028764</v>
      </c>
      <c r="N102">
        <f t="shared" si="9"/>
        <v>-3.3835469604555377</v>
      </c>
      <c r="O102">
        <f t="shared" si="10"/>
        <v>-1.3806031146246243</v>
      </c>
    </row>
    <row r="103" spans="1:16">
      <c r="A103">
        <v>2015</v>
      </c>
      <c r="B103">
        <v>80.006799999999998</v>
      </c>
      <c r="C103">
        <v>1639.25</v>
      </c>
      <c r="D103">
        <v>241.87843363966692</v>
      </c>
      <c r="E103">
        <v>-326.12543363966688</v>
      </c>
      <c r="F103">
        <f t="shared" si="8"/>
        <v>-84.246999999999957</v>
      </c>
      <c r="G103">
        <v>-341.56</v>
      </c>
      <c r="I103">
        <v>2015</v>
      </c>
      <c r="J103">
        <f t="shared" si="4"/>
        <v>20.488883444907184</v>
      </c>
      <c r="K103">
        <f t="shared" si="5"/>
        <v>3.0232234465028838</v>
      </c>
      <c r="L103">
        <f t="shared" si="6"/>
        <v>-4.0762214416732938</v>
      </c>
      <c r="M103">
        <f t="shared" si="7"/>
        <v>-1.05299799517041</v>
      </c>
      <c r="N103">
        <f t="shared" si="9"/>
        <v>-4.2691371233445157</v>
      </c>
      <c r="O103">
        <f t="shared" si="10"/>
        <v>-1.2459136768416319</v>
      </c>
    </row>
    <row r="104" spans="1:16">
      <c r="A104">
        <v>2016</v>
      </c>
      <c r="B104">
        <v>82.047499999999999</v>
      </c>
      <c r="C104">
        <v>1651.731</v>
      </c>
      <c r="D104">
        <v>433.82000000000005</v>
      </c>
      <c r="E104">
        <v>-247.99299999999999</v>
      </c>
      <c r="F104">
        <f t="shared" si="8"/>
        <v>185.82700000000006</v>
      </c>
      <c r="G104">
        <v>-396.09300000000002</v>
      </c>
      <c r="I104">
        <v>2016</v>
      </c>
      <c r="J104">
        <f t="shared" si="4"/>
        <v>20.131399494195435</v>
      </c>
      <c r="K104">
        <f t="shared" si="5"/>
        <v>5.2874249672445846</v>
      </c>
      <c r="L104">
        <f t="shared" si="6"/>
        <v>-3.0225540083488225</v>
      </c>
      <c r="M104">
        <f t="shared" si="7"/>
        <v>2.2648709588957625</v>
      </c>
      <c r="N104">
        <f t="shared" si="9"/>
        <v>-4.8276059599622174</v>
      </c>
      <c r="O104">
        <f t="shared" si="10"/>
        <v>0.45981900728236713</v>
      </c>
    </row>
    <row r="106" spans="1:16">
      <c r="J106" s="140">
        <f>J104/J95-1</f>
        <v>0.19949097077215772</v>
      </c>
      <c r="K106" s="140">
        <f>K104/K95-1</f>
        <v>4.3321042398099268</v>
      </c>
      <c r="L106" s="140"/>
      <c r="M106" s="140"/>
    </row>
    <row r="109" spans="1:16">
      <c r="F109" t="s">
        <v>161</v>
      </c>
      <c r="G109" t="s">
        <v>224</v>
      </c>
      <c r="H109" t="s">
        <v>225</v>
      </c>
      <c r="I109" t="s">
        <v>212</v>
      </c>
      <c r="L109" t="s">
        <v>226</v>
      </c>
      <c r="M109" t="s">
        <v>137</v>
      </c>
    </row>
    <row r="110" spans="1:16">
      <c r="A110" s="133" t="s">
        <v>37</v>
      </c>
      <c r="B110" s="17">
        <v>890447</v>
      </c>
      <c r="F110" s="133">
        <v>39447</v>
      </c>
      <c r="G110">
        <v>973.72400000000005</v>
      </c>
      <c r="H110">
        <v>1434.7139999999999</v>
      </c>
      <c r="I110">
        <v>44.561847905001585</v>
      </c>
      <c r="K110">
        <v>2007</v>
      </c>
      <c r="L110">
        <v>59.651000000000003</v>
      </c>
      <c r="M110">
        <v>44.561847905001585</v>
      </c>
    </row>
    <row r="111" spans="1:16">
      <c r="A111" s="133" t="s">
        <v>222</v>
      </c>
      <c r="B111" s="17">
        <v>249204</v>
      </c>
      <c r="F111" s="133">
        <v>39813</v>
      </c>
      <c r="G111">
        <v>628.83799999999997</v>
      </c>
      <c r="H111">
        <v>1331.336</v>
      </c>
      <c r="I111">
        <v>35.830371610664734</v>
      </c>
      <c r="K111">
        <v>2008</v>
      </c>
      <c r="L111">
        <v>87.561999999999998</v>
      </c>
      <c r="M111">
        <v>35.830371610664734</v>
      </c>
    </row>
    <row r="112" spans="1:16">
      <c r="A112" s="141" t="s">
        <v>223</v>
      </c>
      <c r="B112" s="142">
        <v>-27500</v>
      </c>
      <c r="F112" s="133">
        <v>40178</v>
      </c>
      <c r="G112">
        <v>578.52599999999995</v>
      </c>
      <c r="H112">
        <v>1214.0119999999999</v>
      </c>
      <c r="I112">
        <v>33.712974539999998</v>
      </c>
      <c r="K112">
        <v>2009</v>
      </c>
      <c r="L112">
        <v>95.337000000000003</v>
      </c>
      <c r="M112">
        <v>33.712974539999998</v>
      </c>
    </row>
    <row r="113" spans="1:13">
      <c r="A113" s="133" t="s">
        <v>212</v>
      </c>
      <c r="B113" s="17">
        <f>SUM(B111:B112)</f>
        <v>221704</v>
      </c>
      <c r="F113" s="133">
        <v>40543</v>
      </c>
      <c r="G113">
        <v>691.149</v>
      </c>
      <c r="H113">
        <v>1140.3789999999999</v>
      </c>
      <c r="I113">
        <v>27.972565810664705</v>
      </c>
      <c r="K113">
        <v>2010</v>
      </c>
      <c r="L113">
        <v>106.80500000000001</v>
      </c>
      <c r="M113">
        <v>27.972565810664705</v>
      </c>
    </row>
    <row r="114" spans="1:13">
      <c r="A114" s="133" t="s">
        <v>127</v>
      </c>
      <c r="B114" s="20">
        <f>B113/B110</f>
        <v>0.24898056818654002</v>
      </c>
      <c r="F114" s="133">
        <v>40908</v>
      </c>
      <c r="G114">
        <v>703.68200000000002</v>
      </c>
      <c r="H114">
        <v>1124.566</v>
      </c>
      <c r="I114">
        <v>-2.153458811419199</v>
      </c>
      <c r="K114">
        <v>2011</v>
      </c>
      <c r="L114">
        <v>59.249000000000002</v>
      </c>
      <c r="M114">
        <v>-2.153458811419199</v>
      </c>
    </row>
    <row r="115" spans="1:13">
      <c r="B115" s="17"/>
      <c r="F115" s="133">
        <v>41274</v>
      </c>
      <c r="G115">
        <v>655.02800000000002</v>
      </c>
      <c r="H115">
        <v>1163.134</v>
      </c>
      <c r="I115">
        <v>116.16322508683069</v>
      </c>
      <c r="K115">
        <v>2012</v>
      </c>
      <c r="L115">
        <v>46.401000000000003</v>
      </c>
      <c r="M115">
        <v>116.16322508683069</v>
      </c>
    </row>
    <row r="116" spans="1:13">
      <c r="A116" s="133" t="s">
        <v>215</v>
      </c>
      <c r="B116" s="17">
        <f>-66321-130351-14675+1396</f>
        <v>-209951</v>
      </c>
      <c r="F116" s="133">
        <v>41639</v>
      </c>
      <c r="G116">
        <v>1042.2280000000001</v>
      </c>
      <c r="H116">
        <v>994.11</v>
      </c>
      <c r="I116">
        <v>19.814414494999994</v>
      </c>
      <c r="K116">
        <v>2013</v>
      </c>
      <c r="L116">
        <v>36.840000000000003</v>
      </c>
      <c r="M116">
        <v>19.814414494999994</v>
      </c>
    </row>
    <row r="117" spans="1:13">
      <c r="A117" s="133" t="s">
        <v>73</v>
      </c>
      <c r="B117" s="18">
        <f>B113+B116</f>
        <v>11753</v>
      </c>
      <c r="F117" s="133">
        <v>42004</v>
      </c>
      <c r="G117">
        <v>2787.163</v>
      </c>
      <c r="H117">
        <v>2392.5210000000002</v>
      </c>
      <c r="I117">
        <v>142.38847682258131</v>
      </c>
      <c r="K117">
        <v>2014</v>
      </c>
      <c r="L117">
        <v>73.084000000000003</v>
      </c>
      <c r="M117">
        <v>142.38847682258131</v>
      </c>
    </row>
    <row r="118" spans="1:13">
      <c r="B118" s="20">
        <f>B117/B113</f>
        <v>5.301212427380652E-2</v>
      </c>
      <c r="F118" s="133">
        <v>42369</v>
      </c>
      <c r="G118">
        <v>3030.19</v>
      </c>
      <c r="H118">
        <v>2786.6239999999998</v>
      </c>
      <c r="I118">
        <v>241.87843363966692</v>
      </c>
      <c r="K118">
        <v>2015</v>
      </c>
      <c r="L118">
        <v>123.024</v>
      </c>
      <c r="M118">
        <v>241.87843363966692</v>
      </c>
    </row>
    <row r="119" spans="1:13">
      <c r="F119" s="133">
        <v>42735</v>
      </c>
      <c r="G119">
        <v>2952.8939999999998</v>
      </c>
      <c r="H119">
        <v>3079.982</v>
      </c>
      <c r="I119">
        <v>433.82000000000005</v>
      </c>
      <c r="K119">
        <v>2016</v>
      </c>
      <c r="L119">
        <v>116.801</v>
      </c>
      <c r="M119">
        <v>433.82000000000005</v>
      </c>
    </row>
    <row r="123" spans="1:13">
      <c r="G123" t="s">
        <v>220</v>
      </c>
      <c r="H123" t="s">
        <v>226</v>
      </c>
      <c r="I123" t="s">
        <v>212</v>
      </c>
      <c r="L123" t="s">
        <v>227</v>
      </c>
      <c r="M123" t="s">
        <v>228</v>
      </c>
    </row>
    <row r="124" spans="1:13">
      <c r="F124">
        <v>2007</v>
      </c>
      <c r="G124">
        <v>44.938400000000001</v>
      </c>
      <c r="H124">
        <v>59.651000000000003</v>
      </c>
      <c r="I124">
        <v>44.561847905001585</v>
      </c>
      <c r="K124">
        <v>2007</v>
      </c>
      <c r="L124">
        <f t="shared" ref="L124:L133" si="11">H124/G124</f>
        <v>1.3273948338169583</v>
      </c>
      <c r="M124">
        <f t="shared" ref="M124:M133" si="12">I124/G124</f>
        <v>0.99162070534334967</v>
      </c>
    </row>
    <row r="125" spans="1:13">
      <c r="F125">
        <v>2008</v>
      </c>
      <c r="G125">
        <v>44.948700000000002</v>
      </c>
      <c r="H125">
        <v>87.561999999999998</v>
      </c>
      <c r="I125">
        <v>35.830371610664734</v>
      </c>
      <c r="K125">
        <v>2008</v>
      </c>
      <c r="L125">
        <f t="shared" si="11"/>
        <v>1.9480429912322268</v>
      </c>
      <c r="M125">
        <f t="shared" si="12"/>
        <v>0.79713921894659312</v>
      </c>
    </row>
    <row r="126" spans="1:13">
      <c r="F126">
        <v>2009</v>
      </c>
      <c r="G126">
        <v>45.292900000000003</v>
      </c>
      <c r="H126">
        <v>95.337000000000003</v>
      </c>
      <c r="I126">
        <v>33.712974539999998</v>
      </c>
      <c r="K126">
        <v>2009</v>
      </c>
      <c r="L126">
        <f t="shared" si="11"/>
        <v>2.1048994434006212</v>
      </c>
      <c r="M126">
        <f t="shared" si="12"/>
        <v>0.74433243488493772</v>
      </c>
    </row>
    <row r="127" spans="1:13">
      <c r="F127">
        <v>2010</v>
      </c>
      <c r="G127">
        <v>45.715400000000002</v>
      </c>
      <c r="H127">
        <v>106.80500000000001</v>
      </c>
      <c r="I127">
        <v>27.972565810664705</v>
      </c>
      <c r="K127">
        <v>2010</v>
      </c>
      <c r="L127">
        <f t="shared" si="11"/>
        <v>2.3363024276283264</v>
      </c>
      <c r="M127">
        <f t="shared" si="12"/>
        <v>0.61188496241233159</v>
      </c>
    </row>
    <row r="128" spans="1:13">
      <c r="F128">
        <v>2011</v>
      </c>
      <c r="G128">
        <v>46.338200000000001</v>
      </c>
      <c r="H128">
        <v>59.249000000000002</v>
      </c>
      <c r="I128">
        <v>-2.153458811419199</v>
      </c>
      <c r="K128">
        <v>2011</v>
      </c>
      <c r="L128">
        <f t="shared" si="11"/>
        <v>1.2786210944749687</v>
      </c>
      <c r="M128">
        <f t="shared" si="12"/>
        <v>-4.6472647004398078E-2</v>
      </c>
    </row>
    <row r="129" spans="6:13">
      <c r="F129">
        <v>2012</v>
      </c>
      <c r="G129">
        <v>47.453899999999997</v>
      </c>
      <c r="H129">
        <v>46.401000000000003</v>
      </c>
      <c r="I129">
        <v>116.16322508683069</v>
      </c>
      <c r="K129">
        <v>2012</v>
      </c>
      <c r="L129">
        <f t="shared" si="11"/>
        <v>0.97781215031851976</v>
      </c>
      <c r="M129">
        <f t="shared" si="12"/>
        <v>2.4479173489814472</v>
      </c>
    </row>
    <row r="130" spans="6:13">
      <c r="F130">
        <v>2013</v>
      </c>
      <c r="G130">
        <v>56.2956</v>
      </c>
      <c r="H130">
        <v>36.840000000000003</v>
      </c>
      <c r="I130">
        <v>19.814414494999994</v>
      </c>
      <c r="K130">
        <v>2013</v>
      </c>
      <c r="L130">
        <f t="shared" si="11"/>
        <v>0.65440283077185435</v>
      </c>
      <c r="M130">
        <f t="shared" si="12"/>
        <v>0.3519709265910656</v>
      </c>
    </row>
    <row r="131" spans="6:13">
      <c r="F131">
        <v>2014</v>
      </c>
      <c r="G131">
        <v>71.089600000000004</v>
      </c>
      <c r="H131">
        <v>73.084000000000003</v>
      </c>
      <c r="I131">
        <v>142.38847682258131</v>
      </c>
      <c r="K131">
        <v>2014</v>
      </c>
      <c r="L131">
        <f t="shared" si="11"/>
        <v>1.0280547365578088</v>
      </c>
      <c r="M131">
        <f t="shared" si="12"/>
        <v>2.0029438458309134</v>
      </c>
    </row>
    <row r="132" spans="6:13">
      <c r="F132">
        <v>2015</v>
      </c>
      <c r="G132">
        <v>80.006799999999998</v>
      </c>
      <c r="H132">
        <v>123.024</v>
      </c>
      <c r="I132">
        <v>241.87843363966692</v>
      </c>
      <c r="K132">
        <v>2015</v>
      </c>
      <c r="L132">
        <f t="shared" si="11"/>
        <v>1.5376692981096607</v>
      </c>
      <c r="M132">
        <f t="shared" si="12"/>
        <v>3.0232234465028838</v>
      </c>
    </row>
    <row r="133" spans="6:13">
      <c r="F133">
        <v>2016</v>
      </c>
      <c r="G133">
        <v>82.047499999999999</v>
      </c>
      <c r="H133">
        <v>116.801</v>
      </c>
      <c r="I133">
        <v>433.82000000000005</v>
      </c>
      <c r="K133">
        <v>2016</v>
      </c>
      <c r="L133">
        <f t="shared" si="11"/>
        <v>1.4235778055394741</v>
      </c>
      <c r="M133">
        <f t="shared" si="12"/>
        <v>5.2874249672445846</v>
      </c>
    </row>
  </sheetData>
  <autoFilter ref="A1:C92" xr:uid="{C19540B2-9F83-410A-87CF-FE8DDCB30D52}">
    <filterColumn colId="2">
      <filters>
        <filter val="12"/>
      </filters>
    </filterColumn>
  </autoFilter>
  <sortState ref="K110:L119">
    <sortCondition ref="K110"/>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7" workbookViewId="0">
      <selection activeCell="B18" sqref="B18:C19"/>
    </sheetView>
  </sheetViews>
  <sheetFormatPr defaultRowHeight="15"/>
  <cols>
    <col min="1" max="1" width="37.42578125" bestFit="1" customWidth="1"/>
    <col min="12" max="12" width="9.57031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754.21400000000006</v>
      </c>
      <c r="C2" s="17">
        <f>'Company Analysis'!C3</f>
        <v>977.36099999999999</v>
      </c>
      <c r="D2" s="17">
        <f>'Company Analysis'!D3</f>
        <v>710.07600000000002</v>
      </c>
      <c r="E2" s="17">
        <f>'Company Analysis'!E3</f>
        <v>840.79100000000005</v>
      </c>
      <c r="F2" s="17">
        <f>'Company Analysis'!F3</f>
        <v>988.79100000000005</v>
      </c>
      <c r="G2" s="17">
        <f>'Company Analysis'!G3</f>
        <v>1034.046</v>
      </c>
      <c r="H2" s="17">
        <f>'Company Analysis'!H3</f>
        <v>1041.019</v>
      </c>
      <c r="I2" s="17">
        <f>'Company Analysis'!I3</f>
        <v>1350.9179999999999</v>
      </c>
      <c r="J2" s="17">
        <f>'Company Analysis'!J3</f>
        <v>1639.25</v>
      </c>
      <c r="K2" s="17">
        <f>'Company Analysis'!K3</f>
        <v>1651.731</v>
      </c>
      <c r="L2" s="17"/>
      <c r="M2" s="17"/>
      <c r="N2" s="17"/>
      <c r="O2" s="17"/>
      <c r="P2" s="17"/>
    </row>
    <row r="3" spans="1:16">
      <c r="A3" t="s">
        <v>164</v>
      </c>
      <c r="L3" s="17">
        <f>$K$2*(1+'Valuation Model'!C8)</f>
        <v>1618.6963799999999</v>
      </c>
      <c r="M3" s="17">
        <f>L3*(1+'Valuation Model'!D8)</f>
        <v>1748.1920903999999</v>
      </c>
      <c r="N3" s="17">
        <f>M3*(1+'Valuation Model'!E8)</f>
        <v>1888.047457632</v>
      </c>
      <c r="O3" s="17">
        <f>N3*(1+'Valuation Model'!F8)</f>
        <v>2039.0912542425601</v>
      </c>
      <c r="P3" s="17">
        <f>O3*(1+'Valuation Model'!G8)</f>
        <v>2202.2185545819652</v>
      </c>
    </row>
    <row r="4" spans="1:16">
      <c r="A4" t="s">
        <v>165</v>
      </c>
      <c r="L4" s="17">
        <f>$K$2*(1+'Valuation Model'!C9)</f>
        <v>1618.6963799999999</v>
      </c>
      <c r="M4" s="17">
        <f>L4*(1+'Valuation Model'!D9)</f>
        <v>1699.6311989999999</v>
      </c>
      <c r="N4" s="17">
        <f>M4*(1+'Valuation Model'!E9)</f>
        <v>1784.6127589499999</v>
      </c>
      <c r="O4" s="17">
        <f>N4*(1+'Valuation Model'!F9)</f>
        <v>1873.8433968975</v>
      </c>
      <c r="P4" s="17">
        <f>O4*(1+'Valuation Model'!G9)</f>
        <v>1967.5355667423751</v>
      </c>
    </row>
    <row r="5" spans="1:16">
      <c r="A5" t="s">
        <v>166</v>
      </c>
      <c r="C5" s="20">
        <f>C2/B2-1</f>
        <v>0.29586695553251463</v>
      </c>
      <c r="D5" s="20">
        <f t="shared" ref="D5:K5" si="0">D2/C2-1</f>
        <v>-0.27347622833323615</v>
      </c>
      <c r="E5" s="20">
        <f t="shared" si="0"/>
        <v>0.18408592883015351</v>
      </c>
      <c r="F5" s="20">
        <f t="shared" si="0"/>
        <v>0.1760247195795388</v>
      </c>
      <c r="G5" s="20">
        <f t="shared" si="0"/>
        <v>4.5768013665173024E-2</v>
      </c>
      <c r="H5" s="20">
        <f t="shared" si="0"/>
        <v>6.7434137359458912E-3</v>
      </c>
      <c r="I5" s="20">
        <f t="shared" si="0"/>
        <v>0.29768813057206445</v>
      </c>
      <c r="J5" s="20">
        <f t="shared" si="0"/>
        <v>0.21343412405490203</v>
      </c>
      <c r="K5" s="20">
        <f t="shared" si="0"/>
        <v>7.6138477962481854E-3</v>
      </c>
    </row>
    <row r="6" spans="1:16">
      <c r="A6" t="s">
        <v>167</v>
      </c>
      <c r="K6" s="99">
        <f>K5</f>
        <v>7.6138477962481854E-3</v>
      </c>
      <c r="L6" s="99">
        <f>'Valuation Model'!C8</f>
        <v>-0.02</v>
      </c>
      <c r="M6" s="99">
        <f>'Valuation Model'!D8</f>
        <v>0.08</v>
      </c>
      <c r="N6" s="99">
        <f>'Valuation Model'!E8</f>
        <v>0.08</v>
      </c>
      <c r="O6" s="99">
        <f>'Valuation Model'!F8</f>
        <v>0.08</v>
      </c>
      <c r="P6" s="99">
        <f>'Valuation Model'!G8</f>
        <v>0.08</v>
      </c>
    </row>
    <row r="7" spans="1:16">
      <c r="A7" t="s">
        <v>168</v>
      </c>
      <c r="K7" s="99">
        <f>K5</f>
        <v>7.6138477962481854E-3</v>
      </c>
      <c r="L7" s="99">
        <f>'Valuation Model'!C9</f>
        <v>-0.02</v>
      </c>
      <c r="M7" s="99">
        <f>'Valuation Model'!D9</f>
        <v>0.05</v>
      </c>
      <c r="N7" s="99">
        <f>'Valuation Model'!E9</f>
        <v>0.05</v>
      </c>
      <c r="O7" s="99">
        <f>'Valuation Model'!F9</f>
        <v>0.05</v>
      </c>
      <c r="P7" s="99">
        <f>'Valuation Model'!G9</f>
        <v>0.05</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44.561847905001585</v>
      </c>
      <c r="C10" s="17">
        <f>'Company Analysis'!C11</f>
        <v>35.830371610664734</v>
      </c>
      <c r="D10" s="17">
        <f>'Company Analysis'!D11</f>
        <v>33.712974539999998</v>
      </c>
      <c r="E10" s="17">
        <f>'Company Analysis'!E11</f>
        <v>27.972565810664705</v>
      </c>
      <c r="F10" s="17">
        <f>'Company Analysis'!F11</f>
        <v>-2.153458811419199</v>
      </c>
      <c r="G10" s="17">
        <f>'Company Analysis'!G11</f>
        <v>116.16322508683069</v>
      </c>
      <c r="H10" s="17">
        <f>'Company Analysis'!H11</f>
        <v>19.814414494999994</v>
      </c>
      <c r="I10" s="17">
        <f>'Company Analysis'!I11</f>
        <v>142.38847682258131</v>
      </c>
      <c r="J10" s="17">
        <f>'Company Analysis'!J11</f>
        <v>241.87843363966692</v>
      </c>
      <c r="K10" s="17">
        <f>'Company Analysis'!K11</f>
        <v>433.82000000000005</v>
      </c>
    </row>
    <row r="11" spans="1:16">
      <c r="A11" t="s">
        <v>170</v>
      </c>
      <c r="L11" s="18">
        <f>'Valuation Model'!C10*'Graphing Data'!L3</f>
        <v>493.70239589999994</v>
      </c>
      <c r="M11" s="18">
        <f>'Valuation Model'!D10*'Graphing Data'!M3</f>
        <v>559.42146892799997</v>
      </c>
      <c r="N11" s="18">
        <f>'Valuation Model'!E10*'Graphing Data'!N3</f>
        <v>604.17518644224003</v>
      </c>
      <c r="O11" s="18">
        <f>'Valuation Model'!F10*'Graphing Data'!O3</f>
        <v>652.5092013576193</v>
      </c>
      <c r="P11" s="18">
        <f>'Valuation Model'!G10*'Graphing Data'!P3</f>
        <v>704.70993746622889</v>
      </c>
    </row>
    <row r="12" spans="1:16">
      <c r="A12" t="s">
        <v>171</v>
      </c>
      <c r="L12" s="18">
        <f>'Valuation Model'!C11*'Graphing Data'!L4</f>
        <v>485.60891399999991</v>
      </c>
      <c r="M12" s="18">
        <f>'Valuation Model'!D11*'Graphing Data'!M4</f>
        <v>424.90779974999998</v>
      </c>
      <c r="N12" s="18">
        <f>'Valuation Model'!E11*'Graphing Data'!N4</f>
        <v>446.15318973749999</v>
      </c>
      <c r="O12" s="18">
        <f>'Valuation Model'!F11*'Graphing Data'!O4</f>
        <v>468.46084922437501</v>
      </c>
      <c r="P12" s="18">
        <f>'Valuation Model'!G11*'Graphing Data'!P4</f>
        <v>491.88389168559377</v>
      </c>
    </row>
    <row r="13" spans="1:16">
      <c r="A13" t="s">
        <v>172</v>
      </c>
      <c r="B13" s="20">
        <f>B10/B2</f>
        <v>5.908382488922452E-2</v>
      </c>
      <c r="C13" s="20">
        <f t="shared" ref="C13:K13" si="2">C10/C2</f>
        <v>3.6660324701583889E-2</v>
      </c>
      <c r="D13" s="20">
        <f t="shared" si="2"/>
        <v>4.7477980582360191E-2</v>
      </c>
      <c r="E13" s="20">
        <f t="shared" si="2"/>
        <v>3.3269344950962489E-2</v>
      </c>
      <c r="F13" s="20">
        <f t="shared" si="2"/>
        <v>-2.1778705625548765E-3</v>
      </c>
      <c r="G13" s="20">
        <f t="shared" si="2"/>
        <v>0.1123385469184453</v>
      </c>
      <c r="H13" s="20">
        <f t="shared" si="2"/>
        <v>1.9033672291283821E-2</v>
      </c>
      <c r="I13" s="20">
        <f t="shared" si="2"/>
        <v>0.10540127292891302</v>
      </c>
      <c r="J13" s="20">
        <f t="shared" si="2"/>
        <v>0.14755432889410824</v>
      </c>
      <c r="K13" s="20">
        <f t="shared" si="2"/>
        <v>0.26264567293342561</v>
      </c>
    </row>
    <row r="14" spans="1:16">
      <c r="A14" t="s">
        <v>173</v>
      </c>
      <c r="K14" s="99">
        <f>K13</f>
        <v>0.26264567293342561</v>
      </c>
      <c r="L14" s="99">
        <f>'Valuation Model'!C10</f>
        <v>0.30499999999999999</v>
      </c>
      <c r="M14" s="99">
        <f>'Valuation Model'!D10</f>
        <v>0.32</v>
      </c>
      <c r="N14" s="99">
        <f>'Valuation Model'!E10</f>
        <v>0.32</v>
      </c>
      <c r="O14" s="99">
        <f>'Valuation Model'!F10</f>
        <v>0.32</v>
      </c>
      <c r="P14" s="99">
        <f>'Valuation Model'!G10</f>
        <v>0.32</v>
      </c>
    </row>
    <row r="15" spans="1:16">
      <c r="A15" t="s">
        <v>174</v>
      </c>
      <c r="K15" s="99">
        <f>K13</f>
        <v>0.26264567293342561</v>
      </c>
      <c r="L15" s="99">
        <f>'Valuation Model'!C11</f>
        <v>0.3</v>
      </c>
      <c r="M15" s="99">
        <f>'Valuation Model'!D11</f>
        <v>0.25</v>
      </c>
      <c r="N15" s="99">
        <f>'Valuation Model'!E11</f>
        <v>0.25</v>
      </c>
      <c r="O15" s="99">
        <f>'Valuation Model'!F11</f>
        <v>0.25</v>
      </c>
      <c r="P15" s="99">
        <f>'Valuation Model'!G11</f>
        <v>0.25</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44.561847905001585</v>
      </c>
      <c r="C18" s="18">
        <f t="shared" ref="C18:K18" si="4">C10</f>
        <v>35.830371610664734</v>
      </c>
      <c r="D18" s="18">
        <f t="shared" si="4"/>
        <v>33.712974539999998</v>
      </c>
      <c r="E18" s="18">
        <f t="shared" si="4"/>
        <v>27.972565810664705</v>
      </c>
      <c r="F18" s="18">
        <f t="shared" si="4"/>
        <v>-2.153458811419199</v>
      </c>
      <c r="G18" s="18">
        <f t="shared" si="4"/>
        <v>116.16322508683069</v>
      </c>
      <c r="H18" s="18">
        <f t="shared" si="4"/>
        <v>19.814414494999994</v>
      </c>
      <c r="I18" s="18">
        <f t="shared" si="4"/>
        <v>142.38847682258131</v>
      </c>
      <c r="J18" s="18">
        <f t="shared" si="4"/>
        <v>241.87843363966692</v>
      </c>
      <c r="K18" s="18">
        <f t="shared" si="4"/>
        <v>433.82000000000005</v>
      </c>
    </row>
    <row r="19" spans="1:16">
      <c r="A19" t="s">
        <v>176</v>
      </c>
      <c r="B19" s="18">
        <f>-'Company Analysis'!B28</f>
        <v>625.29478994960357</v>
      </c>
      <c r="C19" s="18">
        <f>-'Company Analysis'!C28</f>
        <v>-2.386110887438508</v>
      </c>
      <c r="D19" s="18">
        <f>-'Company Analysis'!D28</f>
        <v>-43.983659201666732</v>
      </c>
      <c r="E19" s="18">
        <f>-'Company Analysis'!E28</f>
        <v>-42.609785810703592</v>
      </c>
      <c r="F19" s="18">
        <f>-'Company Analysis'!F28</f>
        <v>-44.402312634157809</v>
      </c>
      <c r="G19" s="18">
        <f>-'Company Analysis'!G28</f>
        <v>-86.899256527649314</v>
      </c>
      <c r="H19" s="18">
        <f>-'Company Analysis'!H28</f>
        <v>-27.045626153241244</v>
      </c>
      <c r="I19" s="18">
        <f>-'Company Analysis'!I28</f>
        <v>1149.6046144847703</v>
      </c>
      <c r="J19" s="18">
        <f>-'Company Analysis'!J28</f>
        <v>578.34764694251328</v>
      </c>
      <c r="K19" s="18">
        <f>-'Company Analysis'!K28</f>
        <v>319.2813165</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-3.2161520949984137</v>
      </c>
      <c r="C22" s="18">
        <f>-'Company Analysis'!C19</f>
        <v>-10.188628389335257</v>
      </c>
      <c r="D22" s="18">
        <f>-'Company Analysis'!D19</f>
        <v>-18.943025460000001</v>
      </c>
      <c r="E22" s="18">
        <f>-'Company Analysis'!E19</f>
        <v>-47.892434189335304</v>
      </c>
      <c r="F22" s="18">
        <f>-'Company Analysis'!F19</f>
        <v>-59.407458811419204</v>
      </c>
      <c r="G22" s="18">
        <f>-'Company Analysis'!G19</f>
        <v>-62.459774913169312</v>
      </c>
      <c r="H22" s="18">
        <f>-'Company Analysis'!H19</f>
        <v>-24.094585504999998</v>
      </c>
      <c r="I22" s="18">
        <f>-'Company Analysis'!I19</f>
        <v>14.719476822581299</v>
      </c>
      <c r="J22" s="18">
        <f>-'Company Analysis'!J19</f>
        <v>54.870433639666913</v>
      </c>
      <c r="K22" s="18">
        <f>-'Company Analysis'!K19</f>
        <v>188.18400000000003</v>
      </c>
    </row>
    <row r="23" spans="1:16">
      <c r="A23" t="s">
        <v>179</v>
      </c>
      <c r="B23" s="18">
        <f>-'Company Analysis'!B20</f>
        <v>-113.06399999999999</v>
      </c>
      <c r="C23" s="18">
        <f>-'Company Analysis'!C20</f>
        <v>-34.232999999999997</v>
      </c>
      <c r="D23" s="18">
        <f>-'Company Analysis'!D20</f>
        <v>-29.5</v>
      </c>
      <c r="E23" s="18">
        <f>-'Company Analysis'!E20</f>
        <v>0</v>
      </c>
      <c r="F23" s="18">
        <f>-'Company Analysis'!F20</f>
        <v>-17.006</v>
      </c>
      <c r="G23" s="18">
        <f>-'Company Analysis'!G20</f>
        <v>-106.735</v>
      </c>
      <c r="H23" s="18">
        <f>-'Company Analysis'!H20</f>
        <v>0</v>
      </c>
      <c r="I23" s="18">
        <f>-'Company Analysis'!I20</f>
        <v>-265.29500000000002</v>
      </c>
      <c r="J23" s="18">
        <f>-'Company Analysis'!J20</f>
        <v>0</v>
      </c>
      <c r="K23" s="18">
        <f>-'Company Analysis'!K20</f>
        <v>-11.068</v>
      </c>
    </row>
    <row r="24" spans="1:16">
      <c r="A24" t="s">
        <v>180</v>
      </c>
      <c r="B24" s="18">
        <f>-'Company Analysis'!B21</f>
        <v>704.17100000000005</v>
      </c>
      <c r="C24" s="18">
        <f>-'Company Analysis'!C21</f>
        <v>41.804000000000002</v>
      </c>
      <c r="D24" s="18">
        <f>-'Company Analysis'!D21</f>
        <v>0</v>
      </c>
      <c r="E24" s="18">
        <f>-'Company Analysis'!E21</f>
        <v>0</v>
      </c>
      <c r="F24" s="18">
        <f>-'Company Analysis'!F21</f>
        <v>23.149000000000001</v>
      </c>
      <c r="G24" s="18">
        <f>-'Company Analysis'!G21</f>
        <v>64.816999999999993</v>
      </c>
      <c r="H24" s="18">
        <f>-'Company Analysis'!H21</f>
        <v>28.952999999999999</v>
      </c>
      <c r="I24" s="18">
        <f>-'Company Analysis'!I21</f>
        <v>1222.2660000000001</v>
      </c>
      <c r="J24" s="18">
        <f>-'Company Analysis'!J21</f>
        <v>266.89499999999998</v>
      </c>
      <c r="K24" s="18">
        <f>-'Company Analysis'!K21</f>
        <v>69.168000000000006</v>
      </c>
    </row>
    <row r="25" spans="1:16">
      <c r="A25" t="s">
        <v>181</v>
      </c>
      <c r="B25" s="18">
        <f>-'Company Analysis'!B22</f>
        <v>0</v>
      </c>
      <c r="C25" s="18">
        <f>-'Company Analysis'!C22</f>
        <v>0</v>
      </c>
      <c r="D25" s="18">
        <f>-'Company Analysis'!D22</f>
        <v>0</v>
      </c>
      <c r="E25" s="18">
        <f>-'Company Analysis'!E22</f>
        <v>5.0460000000000003</v>
      </c>
      <c r="F25" s="18">
        <f>-'Company Analysis'!F22</f>
        <v>8.077</v>
      </c>
      <c r="G25" s="18">
        <f>-'Company Analysis'!G22</f>
        <v>-50.692</v>
      </c>
      <c r="H25" s="18">
        <f>-'Company Analysis'!H22</f>
        <v>-71.245999999999995</v>
      </c>
      <c r="I25" s="18">
        <f>-'Company Analysis'!I22</f>
        <v>50.218999999999994</v>
      </c>
      <c r="J25" s="18">
        <f>-'Company Analysis'!J22</f>
        <v>2.0139999999999998</v>
      </c>
      <c r="K25" s="18">
        <f>-'Company Analysis'!K22</f>
        <v>-0.89199999999999857</v>
      </c>
    </row>
    <row r="26" spans="1:16">
      <c r="A26" t="s">
        <v>190</v>
      </c>
      <c r="B26" s="18">
        <f>'Company Analysis'!B23</f>
        <v>0</v>
      </c>
      <c r="C26" s="18">
        <f>'Company Analysis'!C23</f>
        <v>0</v>
      </c>
      <c r="D26" s="18">
        <f>'Company Analysis'!D23</f>
        <v>0</v>
      </c>
      <c r="E26" s="18">
        <f>'Company Analysis'!E23</f>
        <v>-2.976</v>
      </c>
      <c r="F26" s="18">
        <f>'Company Analysis'!F23</f>
        <v>-2.4E-2</v>
      </c>
      <c r="G26" s="18">
        <f>'Company Analysis'!G23</f>
        <v>0</v>
      </c>
      <c r="H26" s="18">
        <f>'Company Analysis'!H23</f>
        <v>-2.0329999999999999</v>
      </c>
      <c r="I26" s="18">
        <f>'Company Analysis'!I23</f>
        <v>-2.2690000000000001</v>
      </c>
      <c r="J26" s="18">
        <f>'Company Analysis'!J23</f>
        <v>-2.3460000000000001</v>
      </c>
      <c r="K26" s="18">
        <f>'Company Analysis'!K23</f>
        <v>-2.601</v>
      </c>
    </row>
    <row r="27" spans="1:16">
      <c r="A27" t="s">
        <v>182</v>
      </c>
      <c r="B27" s="18">
        <f>-'Company Analysis'!B27</f>
        <v>37.403942044601848</v>
      </c>
      <c r="C27" s="18">
        <f>-'Company Analysis'!C27</f>
        <v>0.231517501896744</v>
      </c>
      <c r="D27" s="18">
        <f>-'Company Analysis'!D27</f>
        <v>4.4593662583332705</v>
      </c>
      <c r="E27" s="18">
        <f>-'Company Analysis'!E27</f>
        <v>-2.7393516213682849</v>
      </c>
      <c r="F27" s="18">
        <f>-'Company Analysis'!F27</f>
        <v>0.76114617726139655</v>
      </c>
      <c r="G27" s="18">
        <f>-'Company Analysis'!G27</f>
        <v>68.170518385519998</v>
      </c>
      <c r="H27" s="18">
        <f>-'Company Analysis'!H27</f>
        <v>37.308959351758745</v>
      </c>
      <c r="I27" s="18">
        <f>-'Company Analysis'!I27</f>
        <v>125.42613766218892</v>
      </c>
      <c r="J27" s="18">
        <f>-'Company Analysis'!J27</f>
        <v>252.2222133028464</v>
      </c>
      <c r="K27" s="18">
        <f>-'Company Analysis'!K27</f>
        <v>71.288316500000008</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-580.73294204460194</v>
      </c>
      <c r="C30" s="18">
        <f>'Company Analysis'!C32</f>
        <v>38.21648249810324</v>
      </c>
      <c r="D30" s="18">
        <f>'Company Analysis'!D32</f>
        <v>77.69663374166673</v>
      </c>
      <c r="E30" s="18">
        <f>'Company Analysis'!E32</f>
        <v>70.582351621368304</v>
      </c>
      <c r="F30" s="18">
        <f>'Company Analysis'!F32</f>
        <v>42.24885382273861</v>
      </c>
      <c r="G30" s="18">
        <f>'Company Analysis'!G32</f>
        <v>203.06248161448002</v>
      </c>
      <c r="H30" s="18">
        <f>'Company Analysis'!H32</f>
        <v>46.860040648241238</v>
      </c>
      <c r="I30" s="18">
        <f>'Company Analysis'!I32</f>
        <v>-1007.216137662189</v>
      </c>
      <c r="J30" s="18">
        <f>'Company Analysis'!J32</f>
        <v>-336.46921330284636</v>
      </c>
      <c r="K30" s="18">
        <f>'Company Analysis'!K32</f>
        <v>114.53868350000005</v>
      </c>
    </row>
    <row r="31" spans="1:16">
      <c r="A31" t="s">
        <v>184</v>
      </c>
      <c r="L31" s="18">
        <f>L11*(1-'Valuation Model'!C12)</f>
        <v>123.42559897499999</v>
      </c>
      <c r="M31" s="18">
        <f>M11*(1-'Valuation Model'!D12)</f>
        <v>167.82644067840002</v>
      </c>
      <c r="N31" s="18">
        <f>N11*(1-'Valuation Model'!E12)</f>
        <v>211.46131525478401</v>
      </c>
      <c r="O31" s="18">
        <f>O11*(1-'Valuation Model'!F12)</f>
        <v>241.42840450231913</v>
      </c>
      <c r="P31" s="18">
        <f>P11*(1-'Valuation Model'!G12)</f>
        <v>260.74267686250471</v>
      </c>
    </row>
    <row r="32" spans="1:16">
      <c r="A32" t="s">
        <v>185</v>
      </c>
      <c r="L32" s="18">
        <f>L12*(1-'Valuation Model'!C12)</f>
        <v>121.40222849999998</v>
      </c>
      <c r="M32" s="18">
        <f>M12*(1-'Valuation Model'!D12)</f>
        <v>127.47233992500001</v>
      </c>
      <c r="N32" s="18">
        <f>N12*(1-'Valuation Model'!E12)</f>
        <v>156.15361640812498</v>
      </c>
      <c r="O32" s="18">
        <f>O12*(1-'Valuation Model'!F12)</f>
        <v>173.33051421301874</v>
      </c>
      <c r="P32" s="18">
        <f>P12*(1-'Valuation Model'!G12)</f>
        <v>181.99703992366969</v>
      </c>
    </row>
    <row r="33" spans="1:16">
      <c r="A33" t="s">
        <v>186</v>
      </c>
      <c r="B33" s="20">
        <f t="shared" ref="B33:J33" si="7">B30/B2</f>
        <v>-0.76998430424866404</v>
      </c>
      <c r="C33" s="20">
        <f t="shared" si="7"/>
        <v>3.9101706020706006E-2</v>
      </c>
      <c r="D33" s="20">
        <f t="shared" si="7"/>
        <v>0.10942016592824814</v>
      </c>
      <c r="E33" s="20">
        <f t="shared" si="7"/>
        <v>8.3947558455511898E-2</v>
      </c>
      <c r="F33" s="20">
        <f t="shared" si="7"/>
        <v>4.2727789616550521E-2</v>
      </c>
      <c r="G33" s="20">
        <f t="shared" si="7"/>
        <v>0.19637664244577127</v>
      </c>
      <c r="H33" s="20">
        <f t="shared" si="7"/>
        <v>4.5013626694845377E-2</v>
      </c>
      <c r="I33" s="20">
        <f t="shared" si="7"/>
        <v>-0.74557903415469262</v>
      </c>
      <c r="J33" s="20">
        <f t="shared" si="7"/>
        <v>-0.2052580224510272</v>
      </c>
      <c r="K33" s="20">
        <f>K30/K2</f>
        <v>6.9344635113102585E-2</v>
      </c>
    </row>
    <row r="34" spans="1:16">
      <c r="A34" t="s">
        <v>187</v>
      </c>
      <c r="K34" s="99">
        <f>K33</f>
        <v>6.9344635113102585E-2</v>
      </c>
      <c r="L34" s="135">
        <f>(1-'Valuation Model'!C12)*'Valuation Model'!C10</f>
        <v>7.6249999999999998E-2</v>
      </c>
      <c r="M34" s="135">
        <f>(1-'Valuation Model'!D12)*'Valuation Model'!D10</f>
        <v>9.6000000000000016E-2</v>
      </c>
      <c r="N34" s="135">
        <f>(1-'Valuation Model'!E12)*'Valuation Model'!E10</f>
        <v>0.11199999999999999</v>
      </c>
      <c r="O34" s="135">
        <f>(1-'Valuation Model'!F12)*'Valuation Model'!F10</f>
        <v>0.11840000000000001</v>
      </c>
      <c r="P34" s="135">
        <f>(1-'Valuation Model'!G12)*'Valuation Model'!G10</f>
        <v>0.11840000000000001</v>
      </c>
    </row>
    <row r="35" spans="1:16">
      <c r="A35" t="s">
        <v>188</v>
      </c>
      <c r="K35" s="99">
        <f>K33</f>
        <v>6.9344635113102585E-2</v>
      </c>
      <c r="L35" s="135">
        <f>(1-'Valuation Model'!C12)*'Valuation Model'!C11</f>
        <v>7.4999999999999997E-2</v>
      </c>
      <c r="M35" s="135">
        <f>(1-'Valuation Model'!D12)*'Valuation Model'!D11</f>
        <v>7.5000000000000011E-2</v>
      </c>
      <c r="N35" s="135">
        <f>(1-'Valuation Model'!E12)*'Valuation Model'!E11</f>
        <v>8.7499999999999994E-2</v>
      </c>
      <c r="O35" s="135">
        <f>(1-'Valuation Model'!F12)*'Valuation Model'!F11</f>
        <v>9.2499999999999999E-2</v>
      </c>
      <c r="P35" s="135">
        <f>(1-'Valuation Model'!G12)*'Valuation Model'!G11</f>
        <v>9.2499999999999999E-2</v>
      </c>
    </row>
    <row r="37" spans="1:16">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16">
      <c r="A38" t="str">
        <f>ticker&amp;" Actual OCP ($, LHS)"</f>
        <v>MIC Actual OCP ($, LHS)</v>
      </c>
      <c r="B38" s="18">
        <f>B10</f>
        <v>44.561847905001585</v>
      </c>
      <c r="C38" s="18">
        <f t="shared" ref="C38:K38" si="9">C10</f>
        <v>35.830371610664734</v>
      </c>
      <c r="D38" s="18">
        <f t="shared" si="9"/>
        <v>33.712974539999998</v>
      </c>
      <c r="E38" s="18">
        <f t="shared" si="9"/>
        <v>27.972565810664705</v>
      </c>
      <c r="F38" s="18">
        <f t="shared" si="9"/>
        <v>-2.153458811419199</v>
      </c>
      <c r="G38" s="18">
        <f t="shared" si="9"/>
        <v>116.16322508683069</v>
      </c>
      <c r="H38" s="18">
        <f t="shared" si="9"/>
        <v>19.814414494999994</v>
      </c>
      <c r="I38" s="18">
        <f t="shared" si="9"/>
        <v>142.38847682258131</v>
      </c>
      <c r="J38" s="18">
        <f t="shared" si="9"/>
        <v>241.87843363966692</v>
      </c>
      <c r="K38" s="18">
        <f t="shared" si="9"/>
        <v>433.82000000000005</v>
      </c>
    </row>
    <row r="39" spans="1:16">
      <c r="A39" t="str">
        <f>ticker&amp;" OCP if GDP-Growth ($, LHS)"</f>
        <v>MIC OCP if GDP-Growth ($, LHS)</v>
      </c>
      <c r="B39" s="18">
        <f>B38</f>
        <v>44.561847905001585</v>
      </c>
      <c r="C39" s="18">
        <f>(1+'Company Analysis'!C40)*B39</f>
        <v>44.136857102313314</v>
      </c>
      <c r="D39" s="18">
        <f>(1+'Company Analysis'!D40)*C39</f>
        <v>44.187212900490508</v>
      </c>
      <c r="E39" s="18">
        <f>(1+'Company Analysis'!E40)*D39</f>
        <v>46.200534783033028</v>
      </c>
      <c r="F39" s="18">
        <f>(1+'Company Analysis'!F40)*E39</f>
        <v>47.884420540151226</v>
      </c>
      <c r="G39" s="18">
        <f>(1+'Company Analysis'!G40)*F39</f>
        <v>49.544341790908</v>
      </c>
      <c r="H39" s="18">
        <f>(1+'Company Analysis'!H40)*G39</f>
        <v>51.806712530700388</v>
      </c>
      <c r="I39" s="18">
        <f>(1+'Company Analysis'!I40)*H39</f>
        <v>53.703852059617205</v>
      </c>
      <c r="J39" s="18">
        <f>(1+'Company Analysis'!J40)*I39</f>
        <v>53.586456313264335</v>
      </c>
      <c r="K39" s="18">
        <f>(1+'Company Analysis'!K40)*J39</f>
        <v>53.586456313264335</v>
      </c>
    </row>
    <row r="40" spans="1:16" ht="16.5">
      <c r="A40" t="str">
        <f>ticker&amp;" - GDP Growth Difference (YoY, %, RHS)"</f>
        <v>MIC - GDP Growth Difference (YoY, %, RHS)</v>
      </c>
      <c r="B40" s="136"/>
      <c r="C40" s="99">
        <f>'Company Analysis'!C41-'Company Analysis'!C40</f>
        <v>-0.18640352413922823</v>
      </c>
      <c r="D40" s="99">
        <f>'Company Analysis'!D41-'Company Analysis'!D40</f>
        <v>-6.0235936487013642E-2</v>
      </c>
      <c r="E40" s="99">
        <f>'Company Analysis'!E41-'Company Analysis'!E40</f>
        <v>-0.21583643304476985</v>
      </c>
      <c r="F40" s="99">
        <f>'Company Analysis'!F41-'Company Analysis'!F40</f>
        <v>-1.1134319940362378</v>
      </c>
      <c r="G40" s="99">
        <f>'Company Analysis'!G41-'Company Analysis'!G40</f>
        <v>-54.977292006471366</v>
      </c>
      <c r="H40" s="99">
        <f>'Company Analysis'!H41-'Company Analysis'!H40</f>
        <v>-0.87508965292553176</v>
      </c>
      <c r="I40" s="99">
        <f>'Company Analysis'!I41-'Company Analysis'!I40</f>
        <v>6.1494861239742695</v>
      </c>
      <c r="J40" s="99">
        <f>'Company Analysis'!J41-'Company Analysis'!J40</f>
        <v>0.70090795222017965</v>
      </c>
      <c r="K40" s="99">
        <f>'Company Analysis'!K41-'Company Analysis'!K40</f>
        <v>0.79354559839044536</v>
      </c>
    </row>
    <row r="41" spans="1:16" ht="16.5">
      <c r="A41" t="str">
        <f>ticker&amp;" - GDP Growth Difference (3Y, %, RHS)"</f>
        <v>MIC - GDP Growth Difference (3Y, %, RHS)</v>
      </c>
      <c r="B41" s="137"/>
      <c r="C41" s="99"/>
      <c r="D41" s="99"/>
      <c r="E41" s="99">
        <f>'Company Analysis'!E43-'Company Analysis'!E42</f>
        <v>-0.15771739432349674</v>
      </c>
      <c r="F41" s="99">
        <f>'Company Analysis'!F43-'Company Analysis'!F42</f>
        <v>-0.41737200836979438</v>
      </c>
      <c r="G41" s="99">
        <f>'Company Analysis'!G43-'Company Analysis'!G42</f>
        <v>1.3462283762504572</v>
      </c>
      <c r="H41" s="99">
        <f>'Company Analysis'!H43-'Company Analysis'!H42</f>
        <v>-9.649119066862677E-2</v>
      </c>
      <c r="I41" s="99">
        <f>'Company Analysis'!I43-'Company Analysis'!I42</f>
        <v>1.0410933668657558</v>
      </c>
      <c r="J41" s="99">
        <f>'Company Analysis'!J43-'Company Analysis'!J42</f>
        <v>0.4255492911143397</v>
      </c>
      <c r="K41" s="99">
        <f>'Company Analysis'!K43-'Company Analysis'!K42</f>
        <v>1.0133735262662229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C5" sqref="C5"/>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65</v>
      </c>
      <c r="D1" s="77" t="s">
        <v>101</v>
      </c>
      <c r="E1" s="77">
        <v>5</v>
      </c>
    </row>
    <row r="2" spans="1:15">
      <c r="A2" s="77" t="s">
        <v>102</v>
      </c>
      <c r="B2" s="78">
        <f ca="1">MIN(C5:C12)-10</f>
        <v>26</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4% | 26% | 5%</v>
      </c>
      <c r="C5" s="89">
        <f ca="1">'Valuation Model'!K2</f>
        <v>36</v>
      </c>
      <c r="D5" s="84">
        <f t="shared" ref="D5:D12" ca="1" si="0">IF(ABS(INDEX($K$6:$K$55,MATCH(C5,$K$6:$K$55,1)+IF(C5&gt;=MAX($K$6:$K$55),0,1),1)-C5)&lt;ABS(INDEX($K$6:$K$55,MATCH(C5,$K$6:$K$55,1))-C5),INDEX($K$6:$K$55,MATCH(C5,$K$6:$K$55,1)+IF(C5&gt;=MAX($K$6:$K$55),0,1),1),INDEX($K$6:$K$55,MATCH(C5,$K$6:$K$55,1)))</f>
        <v>36.400000000000013</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-6.6656837177824073</v>
      </c>
      <c r="O5" s="84">
        <f ca="1">_xlfn.NORM.DIST(N5,0+0.03^3,AVERAGE('Valuation Model'!$K$22:$L$22),FALSE)/scaling</f>
        <v>5.8420361168993229E-152</v>
      </c>
    </row>
    <row r="6" spans="1:15" s="79" customFormat="1" ht="12">
      <c r="A6" s="82"/>
      <c r="B6" s="88" t="str">
        <f>'Valuation Model'!I6</f>
        <v>6% | 26% | 5%</v>
      </c>
      <c r="C6" s="89">
        <f ca="1">'Valuation Model'!K6</f>
        <v>40</v>
      </c>
      <c r="D6" s="84">
        <f t="shared" ca="1" si="0"/>
        <v>40.300000000000011</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1.3</v>
      </c>
      <c r="L6" s="87" t="str">
        <f t="shared" ca="1" si="2"/>
        <v/>
      </c>
      <c r="M6" s="85" t="str">
        <f t="shared" ca="1" si="3"/>
        <v/>
      </c>
      <c r="N6" s="84">
        <f ca="1">LN('Histogram Data'!K6+0.01)-LN(price)</f>
        <v>-1.7904863945812566</v>
      </c>
      <c r="O6" s="84">
        <f ca="1">_xlfn.NORM.DIST(N6,0+0.03^3,AVERAGE('Valuation Model'!$K$22:$L$22),FALSE)/scaling</f>
        <v>4.1960340289870345E-12</v>
      </c>
    </row>
    <row r="7" spans="1:15" s="79" customFormat="1" ht="12">
      <c r="A7" s="82"/>
      <c r="B7" s="88" t="str">
        <f>'Valuation Model'!I3</f>
        <v>4% | 26% | 7%</v>
      </c>
      <c r="C7" s="89">
        <f ca="1">'Valuation Model'!K3</f>
        <v>39</v>
      </c>
      <c r="D7" s="84">
        <f t="shared" ca="1" si="0"/>
        <v>39.000000000000014</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2.6</v>
      </c>
      <c r="L7" s="87" t="str">
        <f t="shared" ca="1" si="2"/>
        <v/>
      </c>
      <c r="M7" s="85" t="str">
        <f t="shared" ca="1" si="3"/>
        <v/>
      </c>
      <c r="N7" s="84">
        <f ca="1">LN('Histogram Data'!K7+0.01)-LN(price)</f>
        <v>-1.1011633104597149</v>
      </c>
      <c r="O7" s="84">
        <f ca="1">_xlfn.NORM.DIST(N7,0+0.03^3,AVERAGE('Valuation Model'!$K$22:$L$22),FALSE)/scaling</f>
        <v>2.4269912377539965E-5</v>
      </c>
    </row>
    <row r="8" spans="1:15" s="79" customFormat="1" ht="12">
      <c r="A8" s="82"/>
      <c r="B8" s="88" t="str">
        <f>'Valuation Model'!I4</f>
        <v>4% | 32% | 5%</v>
      </c>
      <c r="C8" s="89">
        <f ca="1">'Valuation Model'!K4</f>
        <v>46</v>
      </c>
      <c r="D8" s="84">
        <f t="shared" ca="1" si="0"/>
        <v>45.500000000000021</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3.9</v>
      </c>
      <c r="L8" s="87" t="str">
        <f t="shared" ca="1" si="2"/>
        <v/>
      </c>
      <c r="M8" s="85" t="str">
        <f t="shared" ca="1" si="3"/>
        <v/>
      </c>
      <c r="N8" s="84">
        <f ca="1">LN('Histogram Data'!K8+0.01)-LN(price)</f>
        <v>-0.69697615779704258</v>
      </c>
      <c r="O8" s="84">
        <f ca="1">_xlfn.NORM.DIST(N8,0+0.03^3,AVERAGE('Valuation Model'!$K$22:$L$22),FALSE)/scaling</f>
        <v>7.0912460748302816E-3</v>
      </c>
    </row>
    <row r="9" spans="1:15" s="79" customFormat="1" ht="12">
      <c r="A9" s="82"/>
      <c r="B9" s="88" t="str">
        <f>'Valuation Model'!I7</f>
        <v>6% | 26% | 7%</v>
      </c>
      <c r="C9" s="89">
        <f ca="1">'Valuation Model'!K7</f>
        <v>43</v>
      </c>
      <c r="D9" s="84">
        <f t="shared" ca="1" si="0"/>
        <v>42.90000000000002</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5.2</v>
      </c>
      <c r="L9" s="87" t="str">
        <f t="shared" ca="1" si="2"/>
        <v/>
      </c>
      <c r="M9" s="85" t="str">
        <f t="shared" ca="1" si="3"/>
        <v/>
      </c>
      <c r="N9" s="84">
        <f ca="1">LN('Histogram Data'!K9+0.01)-LN(price)</f>
        <v>-0.40993367602904129</v>
      </c>
      <c r="O9" s="84">
        <f ca="1">_xlfn.NORM.DIST(N9,0+0.03^3,AVERAGE('Valuation Model'!$K$22:$L$22),FALSE)/scaling</f>
        <v>8.4851264937529286E-2</v>
      </c>
    </row>
    <row r="10" spans="1:15" s="79" customFormat="1" ht="12">
      <c r="A10" s="82"/>
      <c r="B10" s="88" t="str">
        <f>'Valuation Model'!I8</f>
        <v>6% | 32% | 5%</v>
      </c>
      <c r="C10" s="89">
        <f ca="1">'Valuation Model'!K8</f>
        <v>51</v>
      </c>
      <c r="D10" s="84">
        <f t="shared" ca="1" si="0"/>
        <v>50.700000000000024</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6.5</v>
      </c>
      <c r="L10" s="87" t="str">
        <f t="shared" ca="1" si="2"/>
        <v/>
      </c>
      <c r="M10" s="85" t="str">
        <f t="shared" ca="1" si="3"/>
        <v/>
      </c>
      <c r="N10" s="84">
        <f ca="1">LN('Histogram Data'!K10+0.01)-LN(price)</f>
        <v>-0.18717407557383892</v>
      </c>
      <c r="O10" s="84">
        <f ca="1">_xlfn.NORM.DIST(N10,0+0.03^3,AVERAGE('Valuation Model'!$K$22:$L$22),FALSE)/scaling</f>
        <v>0.23984670086888632</v>
      </c>
    </row>
    <row r="11" spans="1:15" s="79" customFormat="1" ht="12">
      <c r="A11" s="82"/>
      <c r="B11" s="88" t="str">
        <f>'Valuation Model'!I5</f>
        <v>4% | 32% | 7%</v>
      </c>
      <c r="C11" s="89">
        <f ca="1">'Valuation Model'!K5</f>
        <v>50</v>
      </c>
      <c r="D11" s="84">
        <f t="shared" ca="1" si="0"/>
        <v>49.40000000000002</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7.8000000000000007</v>
      </c>
      <c r="L11" s="87" t="str">
        <f t="shared" ca="1" si="2"/>
        <v/>
      </c>
      <c r="M11" s="85" t="str">
        <f t="shared" ca="1" si="3"/>
        <v/>
      </c>
      <c r="N11" s="84">
        <f ca="1">LN('Histogram Data'!K11+0.01)-LN(price)</f>
        <v>-5.1085679427220754E-3</v>
      </c>
      <c r="O11" s="84">
        <f ca="1">_xlfn.NORM.DIST(N11,0+0.03^3,AVERAGE('Valuation Model'!$K$22:$L$22),FALSE)/scaling</f>
        <v>0.31530442642984952</v>
      </c>
    </row>
    <row r="12" spans="1:15" s="79" customFormat="1" ht="12">
      <c r="A12" s="82"/>
      <c r="B12" s="88" t="str">
        <f>'Valuation Model'!I9</f>
        <v>6% | 32% | 7%</v>
      </c>
      <c r="C12" s="89">
        <f ca="1">'Valuation Model'!K9</f>
        <v>55</v>
      </c>
      <c r="D12" s="84">
        <f t="shared" ca="1" si="0"/>
        <v>54.60000000000003</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9.1000000000000014</v>
      </c>
      <c r="L12" s="87" t="str">
        <f t="shared" ca="1" si="2"/>
        <v/>
      </c>
      <c r="M12" s="85" t="str">
        <f t="shared" ca="1" si="3"/>
        <v/>
      </c>
      <c r="N12" s="84">
        <f ca="1">LN('Histogram Data'!K12+0.01)-LN(price)</f>
        <v>0.14885917947755045</v>
      </c>
      <c r="O12" s="84">
        <f ca="1">_xlfn.NORM.DIST(N12,0+0.03^3,AVERAGE('Valuation Model'!$K$22:$L$22),FALSE)/scaling</f>
        <v>0.2652609691476297</v>
      </c>
    </row>
    <row r="13" spans="1:15" s="79" customFormat="1" ht="12">
      <c r="A13" s="82"/>
      <c r="J13" s="86">
        <f t="shared" si="4"/>
        <v>0.16</v>
      </c>
      <c r="K13" s="84">
        <f t="shared" ca="1" si="1"/>
        <v>10.4</v>
      </c>
      <c r="L13" s="87" t="str">
        <f t="shared" ca="1" si="2"/>
        <v/>
      </c>
      <c r="M13" s="85" t="str">
        <f t="shared" ca="1" si="3"/>
        <v/>
      </c>
      <c r="N13" s="84">
        <f ca="1">LN('Histogram Data'!K13+0.01)-LN(price)</f>
        <v>0.28225335083256065</v>
      </c>
      <c r="O13" s="84">
        <f ca="1">_xlfn.NORM.DIST(N13,0+0.03^3,AVERAGE('Valuation Model'!$K$22:$L$22),FALSE)/scaling</f>
        <v>0.16927982428448793</v>
      </c>
    </row>
    <row r="14" spans="1:15" s="79" customFormat="1" ht="12">
      <c r="A14" s="82"/>
      <c r="J14" s="86">
        <f t="shared" si="4"/>
        <v>0.18</v>
      </c>
      <c r="K14" s="84">
        <f t="shared" ca="1" si="1"/>
        <v>11.7</v>
      </c>
      <c r="L14" s="87" t="str">
        <f t="shared" ca="1" si="2"/>
        <v/>
      </c>
      <c r="M14" s="85" t="str">
        <f t="shared" ca="1" si="3"/>
        <v/>
      </c>
      <c r="N14" s="84">
        <f ca="1">LN('Histogram Data'!K14+0.01)-LN(price)</f>
        <v>0.39992964581530899</v>
      </c>
      <c r="O14" s="84">
        <f ca="1">_xlfn.NORM.DIST(N14,0+0.03^3,AVERAGE('Valuation Model'!$K$22:$L$22),FALSE)/scaling</f>
        <v>9.0425714935430376E-2</v>
      </c>
    </row>
    <row r="15" spans="1:15" s="79" customFormat="1" ht="12">
      <c r="A15" s="82"/>
      <c r="J15" s="86">
        <f t="shared" si="4"/>
        <v>0.19999999999999998</v>
      </c>
      <c r="K15" s="84">
        <f t="shared" ca="1" si="1"/>
        <v>12.999999999999998</v>
      </c>
      <c r="L15" s="87" t="str">
        <f t="shared" ca="1" si="2"/>
        <v/>
      </c>
      <c r="M15" s="85" t="str">
        <f t="shared" ca="1" si="3"/>
        <v/>
      </c>
      <c r="N15" s="84">
        <f ca="1">LN('Histogram Data'!K15+0.01)-LN(price)</f>
        <v>0.50520476073009712</v>
      </c>
      <c r="O15" s="84">
        <f ca="1">_xlfn.NORM.DIST(N15,0+0.03^3,AVERAGE('Valuation Model'!$K$22:$L$22),FALSE)/scaling</f>
        <v>4.2958702948161398E-2</v>
      </c>
    </row>
    <row r="16" spans="1:15" s="79" customFormat="1" ht="12">
      <c r="A16" s="82"/>
      <c r="C16" s="83"/>
      <c r="D16" s="84"/>
      <c r="E16" s="85"/>
      <c r="J16" s="86">
        <f t="shared" si="4"/>
        <v>0.21999999999999997</v>
      </c>
      <c r="K16" s="84">
        <f t="shared" ca="1" si="1"/>
        <v>14.299999999999999</v>
      </c>
      <c r="L16" s="87" t="str">
        <f t="shared" ca="1" si="2"/>
        <v/>
      </c>
      <c r="M16" s="85" t="str">
        <f t="shared" ca="1" si="3"/>
        <v/>
      </c>
      <c r="N16" s="84">
        <f ca="1">LN('Histogram Data'!K16+0.01)-LN(price)</f>
        <v>0.60044506177404244</v>
      </c>
      <c r="O16" s="84">
        <f ca="1">_xlfn.NORM.DIST(N16,0+0.03^3,AVERAGE('Valuation Model'!$K$22:$L$22),FALSE)/scaling</f>
        <v>1.8872766037545428E-2</v>
      </c>
    </row>
    <row r="17" spans="4:15" s="79" customFormat="1" ht="12">
      <c r="J17" s="86">
        <f t="shared" si="4"/>
        <v>0.23999999999999996</v>
      </c>
      <c r="K17" s="84">
        <f t="shared" ca="1" si="1"/>
        <v>15.599999999999998</v>
      </c>
      <c r="L17" s="87" t="str">
        <f t="shared" ca="1" si="2"/>
        <v/>
      </c>
      <c r="M17" s="85" t="str">
        <f t="shared" ca="1" si="3"/>
        <v/>
      </c>
      <c r="N17" s="84">
        <f ca="1">LN('Histogram Data'!K17+0.01)-LN(price)</f>
        <v>0.68739820273302366</v>
      </c>
      <c r="O17" s="84">
        <f ca="1">_xlfn.NORM.DIST(N17,0+0.03^3,AVERAGE('Valuation Model'!$K$22:$L$22),FALSE)/scaling</f>
        <v>7.8697013467988724E-3</v>
      </c>
    </row>
    <row r="18" spans="4:15" s="79" customFormat="1" ht="12">
      <c r="D18" s="86"/>
      <c r="J18" s="86">
        <f t="shared" si="4"/>
        <v>0.25999999999999995</v>
      </c>
      <c r="K18" s="84">
        <f t="shared" ca="1" si="1"/>
        <v>16.899999999999999</v>
      </c>
      <c r="L18" s="87" t="str">
        <f t="shared" ca="1" si="2"/>
        <v/>
      </c>
      <c r="M18" s="85" t="str">
        <f t="shared" ca="1" si="3"/>
        <v/>
      </c>
      <c r="N18" s="84">
        <f ca="1">LN('Histogram Data'!K18+0.01)-LN(price)</f>
        <v>0.76739163111617215</v>
      </c>
      <c r="O18" s="84">
        <f ca="1">_xlfn.NORM.DIST(N18,0+0.03^3,AVERAGE('Valuation Model'!$K$22:$L$22),FALSE)/scaling</f>
        <v>3.1708913573392727E-3</v>
      </c>
    </row>
    <row r="19" spans="4:15" s="79" customFormat="1" ht="12">
      <c r="D19" s="90"/>
      <c r="J19" s="86">
        <f t="shared" si="4"/>
        <v>0.27999999999999997</v>
      </c>
      <c r="K19" s="84">
        <f t="shared" ca="1" si="1"/>
        <v>18.2</v>
      </c>
      <c r="L19" s="87" t="str">
        <f t="shared" ca="1" si="2"/>
        <v/>
      </c>
      <c r="M19" s="85" t="str">
        <f t="shared" ca="1" si="3"/>
        <v/>
      </c>
      <c r="N19" s="84">
        <f ca="1">LN('Histogram Data'!K19+0.01)-LN(price)</f>
        <v>0.84145736194519971</v>
      </c>
      <c r="O19" s="84">
        <f ca="1">_xlfn.NORM.DIST(N19,0+0.03^3,AVERAGE('Valuation Model'!$K$22:$L$22),FALSE)/scaling</f>
        <v>1.2501116501100668E-3</v>
      </c>
    </row>
    <row r="20" spans="4:15" s="79" customFormat="1" ht="12">
      <c r="J20" s="86">
        <f t="shared" si="4"/>
        <v>0.3</v>
      </c>
      <c r="K20" s="84">
        <f t="shared" ca="1" si="1"/>
        <v>19.5</v>
      </c>
      <c r="L20" s="87" t="str">
        <f t="shared" ca="1" si="2"/>
        <v/>
      </c>
      <c r="M20" s="85" t="str">
        <f t="shared" ca="1" si="3"/>
        <v/>
      </c>
      <c r="N20" s="84">
        <f ca="1">LN('Histogram Data'!K20+0.01)-LN(price)</f>
        <v>0.91041362284070315</v>
      </c>
      <c r="O20" s="84">
        <f ca="1">_xlfn.NORM.DIST(N20,0+0.03^3,AVERAGE('Valuation Model'!$K$22:$L$22),FALSE)/scaling</f>
        <v>4.8656992123906079E-4</v>
      </c>
    </row>
    <row r="21" spans="4:15" s="79" customFormat="1" ht="12">
      <c r="J21" s="86">
        <f t="shared" si="4"/>
        <v>0.32</v>
      </c>
      <c r="K21" s="84">
        <f t="shared" ca="1" si="1"/>
        <v>20.8</v>
      </c>
      <c r="L21" s="87" t="str">
        <f t="shared" ca="1" si="2"/>
        <v/>
      </c>
      <c r="M21" s="85" t="str">
        <f t="shared" ca="1" si="3"/>
        <v/>
      </c>
      <c r="N21" s="84">
        <f ca="1">LN('Histogram Data'!K21+0.01)-LN(price)</f>
        <v>0.97492010861122624</v>
      </c>
      <c r="O21" s="84">
        <f ca="1">_xlfn.NORM.DIST(N21,0+0.03^3,AVERAGE('Valuation Model'!$K$22:$L$22),FALSE)/scaling</f>
        <v>1.8818291394417426E-4</v>
      </c>
    </row>
    <row r="22" spans="4:15" s="79" customFormat="1" ht="12">
      <c r="J22" s="86">
        <f t="shared" si="4"/>
        <v>0.34</v>
      </c>
      <c r="K22" s="84">
        <f t="shared" ca="1" si="1"/>
        <v>22.1</v>
      </c>
      <c r="L22" s="87" t="str">
        <f t="shared" ca="1" si="2"/>
        <v/>
      </c>
      <c r="M22" s="85" t="str">
        <f t="shared" ca="1" si="3"/>
        <v/>
      </c>
      <c r="N22" s="84">
        <f ca="1">LN('Histogram Data'!K22+0.01)-LN(price)</f>
        <v>1.0355164630750382</v>
      </c>
      <c r="O22" s="84">
        <f ca="1">_xlfn.NORM.DIST(N22,0+0.03^3,AVERAGE('Valuation Model'!$K$22:$L$22),FALSE)/scaling</f>
        <v>7.2661742889823606E-5</v>
      </c>
    </row>
    <row r="23" spans="4:15" s="79" customFormat="1" ht="12">
      <c r="J23" s="86">
        <f t="shared" si="4"/>
        <v>0.36000000000000004</v>
      </c>
      <c r="K23" s="84">
        <f t="shared" ca="1" si="1"/>
        <v>23.400000000000002</v>
      </c>
      <c r="L23" s="87" t="str">
        <f t="shared" ca="1" si="2"/>
        <v/>
      </c>
      <c r="M23" s="85" t="str">
        <f t="shared" ca="1" si="3"/>
        <v/>
      </c>
      <c r="N23" s="84">
        <f ca="1">LN('Histogram Data'!K23+0.01)-LN(price)</f>
        <v>1.0926497497085026</v>
      </c>
      <c r="O23" s="84">
        <f ca="1">_xlfn.NORM.DIST(N23,0+0.03^3,AVERAGE('Valuation Model'!$K$22:$L$22),FALSE)/scaling</f>
        <v>2.8108094523183537E-5</v>
      </c>
    </row>
    <row r="24" spans="4:15" s="79" customFormat="1" ht="12">
      <c r="J24" s="86">
        <f t="shared" si="4"/>
        <v>0.38000000000000006</v>
      </c>
      <c r="K24" s="84">
        <f t="shared" ca="1" si="1"/>
        <v>24.700000000000003</v>
      </c>
      <c r="L24" s="87" t="str">
        <f t="shared" ca="1" si="2"/>
        <v/>
      </c>
      <c r="M24" s="85" t="str">
        <f t="shared" ca="1" si="3"/>
        <v/>
      </c>
      <c r="N24" s="84">
        <f ca="1">LN('Histogram Data'!K24+0.01)-LN(price)</f>
        <v>1.1466944882062022</v>
      </c>
      <c r="O24" s="84">
        <f ca="1">_xlfn.NORM.DIST(N24,0+0.03^3,AVERAGE('Valuation Model'!$K$22:$L$22),FALSE)/scaling</f>
        <v>1.0921215692950008E-5</v>
      </c>
    </row>
    <row r="25" spans="4:15" s="79" customFormat="1" ht="12">
      <c r="J25" s="86">
        <f t="shared" si="4"/>
        <v>0.40000000000000008</v>
      </c>
      <c r="K25" s="84">
        <f t="shared" ca="1" si="1"/>
        <v>26.000000000000004</v>
      </c>
      <c r="L25" s="87" t="str">
        <f t="shared" ca="1" si="2"/>
        <v/>
      </c>
      <c r="M25" s="85" t="str">
        <f t="shared" ca="1" si="3"/>
        <v/>
      </c>
      <c r="N25" s="84">
        <f ca="1">LN('Histogram Data'!K25+0.01)-LN(price)</f>
        <v>1.1979675476662437</v>
      </c>
      <c r="O25" s="84">
        <f ca="1">_xlfn.NORM.DIST(N25,0+0.03^3,AVERAGE('Valuation Model'!$K$22:$L$22),FALSE)/scaling</f>
        <v>4.2701881195585843E-6</v>
      </c>
    </row>
    <row r="26" spans="4:15" s="79" customFormat="1" ht="12">
      <c r="J26" s="86">
        <f t="shared" si="4"/>
        <v>0.4200000000000001</v>
      </c>
      <c r="K26" s="84">
        <f t="shared" ca="1" si="1"/>
        <v>27.300000000000008</v>
      </c>
      <c r="L26" s="87" t="str">
        <f t="shared" ca="1" si="2"/>
        <v/>
      </c>
      <c r="M26" s="85" t="str">
        <f t="shared" ca="1" si="3"/>
        <v/>
      </c>
      <c r="N26" s="84">
        <f ca="1">LN('Histogram Data'!K26+0.01)-LN(price)</f>
        <v>1.2467394036912971</v>
      </c>
      <c r="O26" s="84">
        <f ca="1">_xlfn.NORM.DIST(N26,0+0.03^3,AVERAGE('Valuation Model'!$K$22:$L$22),FALSE)/scaling</f>
        <v>1.68253642917788E-6</v>
      </c>
    </row>
    <row r="27" spans="4:15" s="79" customFormat="1" ht="12">
      <c r="J27" s="86">
        <f t="shared" si="4"/>
        <v>0.44000000000000011</v>
      </c>
      <c r="K27" s="84">
        <f t="shared" ca="1" si="1"/>
        <v>28.600000000000009</v>
      </c>
      <c r="L27" s="87" t="str">
        <f t="shared" ca="1" si="2"/>
        <v/>
      </c>
      <c r="M27" s="85" t="str">
        <f t="shared" ca="1" si="3"/>
        <v/>
      </c>
      <c r="N27" s="84">
        <f ca="1">LN('Histogram Data'!K27+0.01)-LN(price)</f>
        <v>1.2932427752677023</v>
      </c>
      <c r="O27" s="84">
        <f ca="1">_xlfn.NORM.DIST(N27,0+0.03^3,AVERAGE('Valuation Model'!$K$22:$L$22),FALSE)/scaling</f>
        <v>6.6875132099238409E-7</v>
      </c>
    </row>
    <row r="28" spans="4:15" s="79" customFormat="1" ht="12">
      <c r="J28" s="86">
        <f t="shared" si="4"/>
        <v>0.46000000000000013</v>
      </c>
      <c r="K28" s="84">
        <f t="shared" ca="1" si="1"/>
        <v>29.900000000000009</v>
      </c>
      <c r="L28" s="87" t="str">
        <f t="shared" ca="1" si="2"/>
        <v/>
      </c>
      <c r="M28" s="85" t="str">
        <f t="shared" ca="1" si="3"/>
        <v/>
      </c>
      <c r="N28" s="84">
        <f ca="1">LN('Histogram Data'!K28+0.01)-LN(price)</f>
        <v>1.33767934084754</v>
      </c>
      <c r="O28" s="84">
        <f ca="1">_xlfn.NORM.DIST(N28,0+0.03^3,AVERAGE('Valuation Model'!$K$22:$L$22),FALSE)/scaling</f>
        <v>2.6832710005723141E-7</v>
      </c>
    </row>
    <row r="29" spans="4:15" s="79" customFormat="1" ht="12">
      <c r="J29" s="86">
        <f t="shared" si="4"/>
        <v>0.48000000000000015</v>
      </c>
      <c r="K29" s="84">
        <f t="shared" ca="1" si="1"/>
        <v>31.20000000000001</v>
      </c>
      <c r="L29" s="87" t="str">
        <f t="shared" ca="1" si="2"/>
        <v/>
      </c>
      <c r="M29" s="85" t="str">
        <f t="shared" ca="1" si="3"/>
        <v/>
      </c>
      <c r="N29" s="84">
        <f ca="1">LN('Histogram Data'!K29+0.01)-LN(price)</f>
        <v>1.3802250244883716</v>
      </c>
      <c r="O29" s="84">
        <f ca="1">_xlfn.NORM.DIST(N29,0+0.03^3,AVERAGE('Valuation Model'!$K$22:$L$22),FALSE)/scaling</f>
        <v>1.087392174031536E-7</v>
      </c>
    </row>
    <row r="30" spans="4:15" s="79" customFormat="1" ht="12">
      <c r="J30" s="86">
        <f t="shared" si="4"/>
        <v>0.50000000000000011</v>
      </c>
      <c r="K30" s="84">
        <f t="shared" ca="1" si="1"/>
        <v>32.500000000000007</v>
      </c>
      <c r="L30" s="87">
        <f ca="1">L33</f>
        <v>6.25E-2</v>
      </c>
      <c r="M30" s="85" t="str">
        <f t="shared" ca="1" si="3"/>
        <v/>
      </c>
      <c r="N30" s="84">
        <f ca="1">LN('Histogram Data'!K30+0.01)-LN(price)</f>
        <v>1.4210342025214975</v>
      </c>
      <c r="O30" s="84">
        <f ca="1">_xlfn.NORM.DIST(N30,0+0.03^3,AVERAGE('Valuation Model'!$K$22:$L$22),FALSE)/scaling</f>
        <v>4.4522428131346233E-8</v>
      </c>
    </row>
    <row r="31" spans="4:15" s="79" customFormat="1" ht="12">
      <c r="J31" s="86">
        <f t="shared" si="4"/>
        <v>0.52000000000000013</v>
      </c>
      <c r="K31" s="84">
        <f t="shared" ca="1" si="1"/>
        <v>33.800000000000011</v>
      </c>
      <c r="L31" s="87" t="str">
        <f t="shared" ca="1" si="2"/>
        <v/>
      </c>
      <c r="M31" s="85" t="str">
        <f t="shared" ca="1" si="3"/>
        <v/>
      </c>
      <c r="N31" s="84">
        <f ca="1">LN('Histogram Data'!K31+0.01)-LN(price)</f>
        <v>1.4602430849254779</v>
      </c>
      <c r="O31" s="84">
        <f ca="1">_xlfn.NORM.DIST(N31,0+0.03^3,AVERAGE('Valuation Model'!$K$22:$L$22),FALSE)/scaling</f>
        <v>1.8421944484104386E-8</v>
      </c>
    </row>
    <row r="32" spans="4:15" s="79" customFormat="1" ht="12">
      <c r="J32" s="86">
        <f t="shared" si="4"/>
        <v>0.54000000000000015</v>
      </c>
      <c r="K32" s="84">
        <f t="shared" ca="1" si="1"/>
        <v>35.100000000000009</v>
      </c>
      <c r="L32" s="87" t="str">
        <f t="shared" ca="1" si="2"/>
        <v/>
      </c>
      <c r="M32" s="85" t="str">
        <f t="shared" ca="1" si="3"/>
        <v/>
      </c>
      <c r="N32" s="84">
        <f ca="1">LN('Histogram Data'!K32+0.01)-LN(price)</f>
        <v>1.4979724583860241</v>
      </c>
      <c r="O32" s="84">
        <f ca="1">_xlfn.NORM.DIST(N32,0+0.03^3,AVERAGE('Valuation Model'!$K$22:$L$22),FALSE)/scaling</f>
        <v>7.703812477440163E-9</v>
      </c>
    </row>
    <row r="33" spans="10:15" s="79" customFormat="1" ht="12">
      <c r="J33" s="86">
        <f t="shared" si="4"/>
        <v>0.56000000000000016</v>
      </c>
      <c r="K33" s="84">
        <f t="shared" ca="1" si="1"/>
        <v>36.400000000000013</v>
      </c>
      <c r="L33" s="87">
        <f t="shared" ca="1" si="2"/>
        <v>6.25E-2</v>
      </c>
      <c r="M33" s="85" t="str">
        <f t="shared" ca="1" si="3"/>
        <v/>
      </c>
      <c r="N33" s="84">
        <f ca="1">LN('Histogram Data'!K33+0.01)-LN(price)</f>
        <v>1.5343299303930253</v>
      </c>
      <c r="O33" s="84">
        <f ca="1">_xlfn.NORM.DIST(N33,0+0.03^3,AVERAGE('Valuation Model'!$K$22:$L$22),FALSE)/scaling</f>
        <v>3.2561589472978145E-9</v>
      </c>
    </row>
    <row r="34" spans="10:15" s="79" customFormat="1" ht="12">
      <c r="J34" s="86">
        <f t="shared" si="4"/>
        <v>0.58000000000000018</v>
      </c>
      <c r="K34" s="84">
        <f t="shared" ca="1" si="1"/>
        <v>37.70000000000001</v>
      </c>
      <c r="L34" s="87" t="str">
        <f t="shared" ca="1" si="2"/>
        <v/>
      </c>
      <c r="M34" s="85" t="str">
        <f t="shared" ca="1" si="3"/>
        <v/>
      </c>
      <c r="N34" s="84">
        <f ca="1">LN('Histogram Data'!K34+0.01)-LN(price)</f>
        <v>1.5694117794759492</v>
      </c>
      <c r="O34" s="84">
        <f ca="1">_xlfn.NORM.DIST(N34,0+0.03^3,AVERAGE('Valuation Model'!$K$22:$L$22),FALSE)/scaling</f>
        <v>1.3909940294800658E-9</v>
      </c>
    </row>
    <row r="35" spans="10:15" s="79" customFormat="1" ht="12">
      <c r="J35" s="86">
        <f t="shared" si="4"/>
        <v>0.6000000000000002</v>
      </c>
      <c r="K35" s="84">
        <f t="shared" ca="1" si="1"/>
        <v>39.000000000000014</v>
      </c>
      <c r="L35" s="87">
        <f t="shared" ca="1" si="2"/>
        <v>6.25E-2</v>
      </c>
      <c r="M35" s="85" t="str">
        <f t="shared" ca="1" si="3"/>
        <v/>
      </c>
      <c r="N35" s="84">
        <f ca="1">LN('Histogram Data'!K35+0.01)-LN(price)</f>
        <v>1.6033044917242485</v>
      </c>
      <c r="O35" s="84">
        <f ca="1">_xlfn.NORM.DIST(N35,0+0.03^3,AVERAGE('Valuation Model'!$K$22:$L$22),FALSE)/scaling</f>
        <v>6.0053017082516656E-10</v>
      </c>
    </row>
    <row r="36" spans="10:15" s="79" customFormat="1" ht="12">
      <c r="J36" s="86">
        <f t="shared" si="4"/>
        <v>0.62000000000000022</v>
      </c>
      <c r="K36" s="84">
        <f t="shared" ca="1" si="1"/>
        <v>40.300000000000011</v>
      </c>
      <c r="L36" s="87">
        <f t="shared" ca="1" si="2"/>
        <v>6.25E-2</v>
      </c>
      <c r="M36" s="85" t="str">
        <f t="shared" ca="1" si="3"/>
        <v/>
      </c>
      <c r="N36" s="84">
        <f ca="1">LN('Histogram Data'!K36+0.01)-LN(price)</f>
        <v>1.6360860453347579</v>
      </c>
      <c r="O36" s="84">
        <f ca="1">_xlfn.NORM.DIST(N36,0+0.03^3,AVERAGE('Valuation Model'!$K$22:$L$22),FALSE)/scaling</f>
        <v>2.6199262959371832E-10</v>
      </c>
    </row>
    <row r="37" spans="10:15" s="79" customFormat="1" ht="12">
      <c r="J37" s="86">
        <f t="shared" si="4"/>
        <v>0.64000000000000024</v>
      </c>
      <c r="K37" s="84">
        <f t="shared" ca="1" si="1"/>
        <v>41.600000000000016</v>
      </c>
      <c r="L37" s="87" t="str">
        <f t="shared" ca="1" si="2"/>
        <v/>
      </c>
      <c r="M37" s="85" t="str">
        <f t="shared" ca="1" si="3"/>
        <v/>
      </c>
      <c r="N37" s="84">
        <f ca="1">LN('Histogram Data'!K37+0.01)-LN(price)</f>
        <v>1.6678269912005335</v>
      </c>
      <c r="O37" s="84">
        <f ca="1">_xlfn.NORM.DIST(N37,0+0.03^3,AVERAGE('Valuation Model'!$K$22:$L$22),FALSE)/scaling</f>
        <v>1.1548646734556615E-10</v>
      </c>
    </row>
    <row r="38" spans="10:15" s="79" customFormat="1" ht="12">
      <c r="J38" s="86">
        <f t="shared" si="4"/>
        <v>0.66000000000000025</v>
      </c>
      <c r="K38" s="84">
        <f t="shared" ca="1" si="1"/>
        <v>42.90000000000002</v>
      </c>
      <c r="L38" s="87">
        <f t="shared" ca="1" si="2"/>
        <v>6.25E-2</v>
      </c>
      <c r="M38" s="85" t="str">
        <f t="shared" ca="1" si="3"/>
        <v/>
      </c>
      <c r="N38" s="84">
        <f ca="1">LN('Histogram Data'!K38+0.01)-LN(price)</f>
        <v>1.6985913672091169</v>
      </c>
      <c r="O38" s="84">
        <f ca="1">_xlfn.NORM.DIST(N38,0+0.03^3,AVERAGE('Valuation Model'!$K$22:$L$22),FALSE)/scaling</f>
        <v>5.1427476787967942E-11</v>
      </c>
    </row>
    <row r="39" spans="10:15" s="79" customFormat="1" ht="12">
      <c r="J39" s="86">
        <f t="shared" si="4"/>
        <v>0.68000000000000027</v>
      </c>
      <c r="K39" s="84">
        <f t="shared" ca="1" si="1"/>
        <v>44.200000000000017</v>
      </c>
      <c r="L39" s="87" t="str">
        <f t="shared" ca="1" si="2"/>
        <v/>
      </c>
      <c r="M39" s="85" t="str">
        <f t="shared" ca="1" si="3"/>
        <v/>
      </c>
      <c r="N39" s="84">
        <f ca="1">LN('Histogram Data'!K39+0.01)-LN(price)</f>
        <v>1.7284374760438355</v>
      </c>
      <c r="O39" s="84">
        <f ca="1">_xlfn.NORM.DIST(N39,0+0.03^3,AVERAGE('Valuation Model'!$K$22:$L$22),FALSE)/scaling</f>
        <v>2.3131790609364655E-11</v>
      </c>
    </row>
    <row r="40" spans="10:15" s="79" customFormat="1" ht="12">
      <c r="J40" s="86">
        <f t="shared" si="4"/>
        <v>0.70000000000000029</v>
      </c>
      <c r="K40" s="84">
        <f t="shared" ca="1" si="1"/>
        <v>45.500000000000021</v>
      </c>
      <c r="L40" s="87">
        <f t="shared" ca="1" si="2"/>
        <v>6.25E-2</v>
      </c>
      <c r="M40" s="85" t="str">
        <f t="shared" ca="1" si="3"/>
        <v/>
      </c>
      <c r="N40" s="84">
        <f ca="1">LN('Histogram Data'!K40+0.01)-LN(price)</f>
        <v>1.7574185502342341</v>
      </c>
      <c r="O40" s="84">
        <f ca="1">_xlfn.NORM.DIST(N40,0+0.03^3,AVERAGE('Valuation Model'!$K$22:$L$22),FALSE)/scaling</f>
        <v>1.0507425952933177E-11</v>
      </c>
    </row>
    <row r="41" spans="10:15" s="79" customFormat="1" ht="12">
      <c r="J41" s="86">
        <f t="shared" si="4"/>
        <v>0.72000000000000031</v>
      </c>
      <c r="K41" s="84">
        <f t="shared" ca="1" si="1"/>
        <v>46.800000000000018</v>
      </c>
      <c r="L41" s="87" t="str">
        <f t="shared" ca="1" si="2"/>
        <v/>
      </c>
      <c r="M41" s="85" t="str">
        <f t="shared" ca="1" si="3"/>
        <v/>
      </c>
      <c r="N41" s="84">
        <f ca="1">LN('Histogram Data'!K41+0.01)-LN(price)</f>
        <v>1.7855833235176628</v>
      </c>
      <c r="O41" s="84">
        <f ca="1">_xlfn.NORM.DIST(N41,0+0.03^3,AVERAGE('Valuation Model'!$K$22:$L$22),FALSE)/scaling</f>
        <v>4.8192157176572256E-12</v>
      </c>
    </row>
    <row r="42" spans="10:15" s="79" customFormat="1" ht="12">
      <c r="J42" s="86">
        <f t="shared" si="4"/>
        <v>0.74000000000000032</v>
      </c>
      <c r="K42" s="84">
        <f t="shared" ca="1" si="1"/>
        <v>48.100000000000023</v>
      </c>
      <c r="L42" s="87" t="str">
        <f t="shared" ca="1" si="2"/>
        <v/>
      </c>
      <c r="M42" s="85" t="str">
        <f t="shared" ca="1" si="3"/>
        <v/>
      </c>
      <c r="N42" s="84">
        <f ca="1">LN('Histogram Data'!K42+0.01)-LN(price)</f>
        <v>1.8129765239170461</v>
      </c>
      <c r="O42" s="84">
        <f ca="1">_xlfn.NORM.DIST(N42,0+0.03^3,AVERAGE('Valuation Model'!$K$22:$L$22),FALSE)/scaling</f>
        <v>2.2313471007150582E-12</v>
      </c>
    </row>
    <row r="43" spans="10:15" s="79" customFormat="1" ht="12">
      <c r="J43" s="86">
        <f t="shared" si="4"/>
        <v>0.76000000000000034</v>
      </c>
      <c r="K43" s="84">
        <f t="shared" ca="1" si="1"/>
        <v>49.40000000000002</v>
      </c>
      <c r="L43" s="87">
        <f t="shared" ca="1" si="2"/>
        <v>6.25E-2</v>
      </c>
      <c r="M43" s="85" t="str">
        <f t="shared" ca="1" si="3"/>
        <v/>
      </c>
      <c r="N43" s="84">
        <f ca="1">LN('Histogram Data'!K43+0.01)-LN(price)</f>
        <v>1.8396393010633423</v>
      </c>
      <c r="O43" s="84">
        <f ca="1">_xlfn.NORM.DIST(N43,0+0.03^3,AVERAGE('Valuation Model'!$K$22:$L$22),FALSE)/scaling</f>
        <v>1.0427621145033316E-12</v>
      </c>
    </row>
    <row r="44" spans="10:15" s="79" customFormat="1" ht="12">
      <c r="J44" s="86">
        <f t="shared" si="4"/>
        <v>0.78000000000000036</v>
      </c>
      <c r="K44" s="84">
        <f t="shared" ca="1" si="1"/>
        <v>50.700000000000024</v>
      </c>
      <c r="L44" s="87">
        <f t="shared" ca="1" si="2"/>
        <v>6.25E-2</v>
      </c>
      <c r="M44" s="85" t="str">
        <f t="shared" ca="1" si="3"/>
        <v/>
      </c>
      <c r="N44" s="84">
        <f ca="1">LN('Histogram Data'!K44+0.01)-LN(price)</f>
        <v>1.8656095980126115</v>
      </c>
      <c r="O44" s="84">
        <f ca="1">_xlfn.NORM.DIST(N44,0+0.03^3,AVERAGE('Valuation Model'!$K$22:$L$22),FALSE)/scaling</f>
        <v>4.9175279811969003E-13</v>
      </c>
    </row>
    <row r="45" spans="10:15" s="79" customFormat="1" ht="12">
      <c r="J45" s="86">
        <f t="shared" si="4"/>
        <v>0.80000000000000038</v>
      </c>
      <c r="K45" s="84">
        <f t="shared" ca="1" si="1"/>
        <v>52.000000000000021</v>
      </c>
      <c r="L45" s="87" t="str">
        <f t="shared" ca="1" si="2"/>
        <v/>
      </c>
      <c r="M45" s="85" t="str">
        <f t="shared" ca="1" si="3"/>
        <v/>
      </c>
      <c r="N45" s="84">
        <f ca="1">LN('Histogram Data'!K45+0.01)-LN(price)</f>
        <v>1.8909224759906644</v>
      </c>
      <c r="O45" s="84">
        <f ca="1">_xlfn.NORM.DIST(N45,0+0.03^3,AVERAGE('Valuation Model'!$K$22:$L$22),FALSE)/scaling</f>
        <v>2.3397430300399921E-13</v>
      </c>
    </row>
    <row r="46" spans="10:15" s="79" customFormat="1" ht="12">
      <c r="J46" s="86">
        <f t="shared" si="4"/>
        <v>0.8200000000000004</v>
      </c>
      <c r="K46" s="84">
        <f t="shared" ca="1" si="1"/>
        <v>53.300000000000026</v>
      </c>
      <c r="L46" s="87" t="str">
        <f t="shared" ca="1" si="2"/>
        <v/>
      </c>
      <c r="M46" s="85" t="str">
        <f t="shared" ca="1" si="3"/>
        <v/>
      </c>
      <c r="N46" s="84">
        <f ca="1">LN('Histogram Data'!K46+0.01)-LN(price)</f>
        <v>1.9156103990403532</v>
      </c>
      <c r="O46" s="84">
        <f ca="1">_xlfn.NORM.DIST(N46,0+0.03^3,AVERAGE('Valuation Model'!$K$22:$L$22),FALSE)/scaling</f>
        <v>1.1229644409512375E-13</v>
      </c>
    </row>
    <row r="47" spans="10:15" s="79" customFormat="1" ht="12">
      <c r="J47" s="86">
        <f t="shared" si="4"/>
        <v>0.84000000000000041</v>
      </c>
      <c r="K47" s="84">
        <f t="shared" ca="1" si="1"/>
        <v>54.60000000000003</v>
      </c>
      <c r="L47" s="87">
        <f t="shared" ca="1" si="2"/>
        <v>6.25E-2</v>
      </c>
      <c r="M47" s="85" t="str">
        <f t="shared" ca="1" si="3"/>
        <v/>
      </c>
      <c r="N47" s="84">
        <f ca="1">LN('Histogram Data'!K47+0.01)-LN(price)</f>
        <v>1.9397034843697463</v>
      </c>
      <c r="O47" s="84">
        <f ca="1">_xlfn.NORM.DIST(N47,0+0.03^3,AVERAGE('Valuation Model'!$K$22:$L$22),FALSE)/scaling</f>
        <v>5.4357323077699105E-14</v>
      </c>
    </row>
    <row r="48" spans="10:15" s="79" customFormat="1" ht="12">
      <c r="J48" s="86">
        <f t="shared" si="4"/>
        <v>0.86000000000000043</v>
      </c>
      <c r="K48" s="84">
        <f t="shared" ca="1" si="1"/>
        <v>55.900000000000027</v>
      </c>
      <c r="L48" s="87" t="str">
        <f t="shared" ca="1" si="2"/>
        <v/>
      </c>
      <c r="M48" s="85" t="str">
        <f t="shared" ca="1" si="3"/>
        <v/>
      </c>
      <c r="N48" s="84">
        <f ca="1">LN('Histogram Data'!K48+0.01)-LN(price)</f>
        <v>1.9632297232442375</v>
      </c>
      <c r="O48" s="84">
        <f ca="1">_xlfn.NORM.DIST(N48,0+0.03^3,AVERAGE('Valuation Model'!$K$22:$L$22),FALSE)/scaling</f>
        <v>2.6531585281060419E-14</v>
      </c>
    </row>
    <row r="49" spans="10:15" s="79" customFormat="1" ht="12">
      <c r="J49" s="86">
        <f t="shared" si="4"/>
        <v>0.88000000000000045</v>
      </c>
      <c r="K49" s="84">
        <f t="shared" ca="1" si="1"/>
        <v>57.200000000000031</v>
      </c>
      <c r="L49" s="87" t="str">
        <f t="shared" ca="1" si="2"/>
        <v/>
      </c>
      <c r="M49" s="85" t="str">
        <f t="shared" ca="1" si="3"/>
        <v/>
      </c>
      <c r="N49" s="84">
        <f ca="1">LN('Histogram Data'!K49+0.01)-LN(price)</f>
        <v>1.9862151764861209</v>
      </c>
      <c r="O49" s="84">
        <f ca="1">_xlfn.NORM.DIST(N49,0+0.03^3,AVERAGE('Valuation Model'!$K$22:$L$22),FALSE)/scaling</f>
        <v>1.3055745384751075E-14</v>
      </c>
    </row>
    <row r="50" spans="10:15" s="79" customFormat="1" ht="12">
      <c r="J50" s="86">
        <f t="shared" si="4"/>
        <v>0.90000000000000047</v>
      </c>
      <c r="K50" s="84">
        <f t="shared" ca="1" si="1"/>
        <v>58.500000000000028</v>
      </c>
      <c r="L50" s="87" t="str">
        <f t="shared" ca="1" si="2"/>
        <v/>
      </c>
      <c r="M50" s="85" t="str">
        <f t="shared" ca="1" si="3"/>
        <v/>
      </c>
      <c r="N50" s="84">
        <f ca="1">LN('Histogram Data'!K50+0.01)-LN(price)</f>
        <v>2.0086841480058282</v>
      </c>
      <c r="O50" s="84">
        <f ca="1">_xlfn.NORM.DIST(N50,0+0.03^3,AVERAGE('Valuation Model'!$K$22:$L$22),FALSE)/scaling</f>
        <v>6.4758273890012017E-15</v>
      </c>
    </row>
    <row r="51" spans="10:15" s="79" customFormat="1" ht="12">
      <c r="J51" s="86">
        <f t="shared" si="4"/>
        <v>0.92000000000000048</v>
      </c>
      <c r="K51" s="84">
        <f t="shared" ca="1" si="1"/>
        <v>59.800000000000033</v>
      </c>
      <c r="L51" s="87" t="str">
        <f t="shared" ca="1" si="2"/>
        <v/>
      </c>
      <c r="M51" s="85" t="str">
        <f t="shared" ca="1" si="3"/>
        <v/>
      </c>
      <c r="N51" s="84">
        <f ca="1">LN('Histogram Data'!K51+0.01)-LN(price)</f>
        <v>2.0306593392621495</v>
      </c>
      <c r="O51" s="84">
        <f ca="1">_xlfn.NORM.DIST(N51,0+0.03^3,AVERAGE('Valuation Model'!$K$22:$L$22),FALSE)/scaling</f>
        <v>3.2371842543352091E-15</v>
      </c>
    </row>
    <row r="52" spans="10:15" s="79" customFormat="1" ht="12">
      <c r="J52" s="86">
        <f t="shared" si="4"/>
        <v>0.9400000000000005</v>
      </c>
      <c r="K52" s="84">
        <f t="shared" ca="1" si="1"/>
        <v>61.10000000000003</v>
      </c>
      <c r="L52" s="87" t="str">
        <f t="shared" ca="1" si="2"/>
        <v/>
      </c>
      <c r="M52" s="85" t="str">
        <f t="shared" ca="1" si="3"/>
        <v/>
      </c>
      <c r="N52" s="84">
        <f ca="1">LN('Histogram Data'!K52+0.01)-LN(price)</f>
        <v>2.0521619871125076</v>
      </c>
      <c r="O52" s="84">
        <f ca="1">_xlfn.NORM.DIST(N52,0+0.03^3,AVERAGE('Valuation Model'!$K$22:$L$22),FALSE)/scaling</f>
        <v>1.6305845148004668E-15</v>
      </c>
    </row>
    <row r="53" spans="10:15" s="79" customFormat="1" ht="12">
      <c r="J53" s="86">
        <f t="shared" si="4"/>
        <v>0.96000000000000052</v>
      </c>
      <c r="K53" s="84">
        <f t="shared" ca="1" si="1"/>
        <v>62.400000000000034</v>
      </c>
      <c r="L53" s="87" t="str">
        <f t="shared" ca="1" si="2"/>
        <v/>
      </c>
      <c r="M53" s="85" t="str">
        <f t="shared" ca="1" si="3"/>
        <v/>
      </c>
      <c r="N53" s="84">
        <f ca="1">LN('Histogram Data'!K53+0.01)-LN(price)</f>
        <v>2.0732119871516352</v>
      </c>
      <c r="O53" s="84">
        <f ca="1">_xlfn.NORM.DIST(N53,0+0.03^3,AVERAGE('Valuation Model'!$K$22:$L$22),FALSE)/scaling</f>
        <v>8.274655331071483E-16</v>
      </c>
    </row>
    <row r="54" spans="10:15" s="79" customFormat="1" ht="12">
      <c r="J54" s="86">
        <f t="shared" si="4"/>
        <v>0.98000000000000054</v>
      </c>
      <c r="K54" s="84">
        <f t="shared" ca="1" si="1"/>
        <v>63.700000000000038</v>
      </c>
      <c r="L54" s="87" t="str">
        <f t="shared" ca="1" si="2"/>
        <v/>
      </c>
      <c r="M54" s="85" t="str">
        <f t="shared" ca="1" si="3"/>
        <v/>
      </c>
      <c r="N54" s="84">
        <f ca="1">LN('Histogram Data'!K54+0.01)-LN(price)</f>
        <v>2.0938280043340805</v>
      </c>
      <c r="O54" s="84">
        <f ca="1">_xlfn.NORM.DIST(N54,0+0.03^3,AVERAGE('Valuation Model'!$K$22:$L$22),FALSE)/scaling</f>
        <v>4.2297627099237351E-16</v>
      </c>
    </row>
    <row r="55" spans="10:15">
      <c r="J55" s="86">
        <f t="shared" si="4"/>
        <v>1.0000000000000004</v>
      </c>
      <c r="K55" s="84">
        <f t="shared" ca="1" si="1"/>
        <v>65.000000000000028</v>
      </c>
      <c r="L55" s="87" t="str">
        <f t="shared" ca="1" si="2"/>
        <v/>
      </c>
      <c r="M55" s="85" t="str">
        <f t="shared" ca="1" si="3"/>
        <v/>
      </c>
      <c r="N55" s="84">
        <f ca="1">LN('Histogram Data'!K55+0.01)-LN(price)</f>
        <v>2.1140275724220614</v>
      </c>
      <c r="O55" s="84">
        <f ca="1">_xlfn.NORM.DIST(N55,0+0.03^3,AVERAGE('Valuation Model'!$K$22:$L$22),FALSE)/scaling</f>
        <v>2.177570427844661E-16</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8</vt:i4>
      </vt:variant>
      <vt:variant>
        <vt:lpstr>Named Ranges</vt:lpstr>
      </vt:variant>
      <vt:variant>
        <vt:i4>44</vt:i4>
      </vt:variant>
    </vt:vector>
  </HeadingPairs>
  <TitlesOfParts>
    <vt:vector size="60" baseType="lpstr">
      <vt:lpstr>Valuation Model</vt:lpstr>
      <vt:lpstr>Company Analysis</vt:lpstr>
      <vt:lpstr>Funding</vt:lpstr>
      <vt:lpstr>Shares Out</vt:lpstr>
      <vt:lpstr>Graphing Data</vt:lpstr>
      <vt:lpstr>Histogram Data</vt:lpstr>
      <vt:lpstr>GDP Data</vt:lpstr>
      <vt:lpstr>Disclaimer</vt:lpstr>
      <vt:lpstr>Funding Chart</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2017-09-04T14:14:10Z</dcterms:modified>
</cp:coreProperties>
</file>