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1.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2.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3.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326"/>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MIC - Macquarie Infrastructure Corporation/"/>
    </mc:Choice>
  </mc:AlternateContent>
  <xr:revisionPtr revIDLastSave="91" documentId="FBFAC0B32AEA3B73FCE91FFC7A174DE1F4ABB063" xr6:coauthVersionLast="21" xr6:coauthVersionMax="21" xr10:uidLastSave="{31BDE1F7-CA2B-4EC6-BB6B-1D47B229C262}"/>
  <bookViews>
    <workbookView xWindow="480" yWindow="0" windowWidth="18690" windowHeight="15" tabRatio="825" xr2:uid="{00000000-000D-0000-FFFF-FFFF00000000}"/>
  </bookViews>
  <sheets>
    <sheet name="Valuation Model" sheetId="1" r:id="rId1"/>
    <sheet name="Company Analysis" sheetId="19" r:id="rId2"/>
    <sheet name="Funding Chart" sheetId="33" r:id="rId3"/>
    <sheet name="Funding" sheetId="30" r:id="rId4"/>
    <sheet name="Shares Out" sheetId="35" r:id="rId5"/>
    <sheet name="Graphing Data" sheetId="21" r:id="rId6"/>
    <sheet name="Revenue Chart" sheetId="22" r:id="rId7"/>
    <sheet name="Profit Chart" sheetId="23" r:id="rId8"/>
    <sheet name="ECF to OCP Chart" sheetId="25" r:id="rId9"/>
    <sheet name="ECF Breakdown Chart" sheetId="26" r:id="rId10"/>
    <sheet name="FCFO Chart" sheetId="27" r:id="rId11"/>
    <sheet name="Investment Efficacy Chart" sheetId="28" r:id="rId12"/>
    <sheet name="Valuation Histogram" sheetId="16" r:id="rId13"/>
    <sheet name="Histogram Data" sheetId="17" r:id="rId14"/>
    <sheet name="GDP Data" sheetId="20" r:id="rId15"/>
    <sheet name="Disclaimer" sheetId="18" r:id="rId16"/>
    <sheet name="PSW_Sheet" sheetId="11" state="veryHidden" r:id="rId17"/>
    <sheet name="_SSC" sheetId="12" state="veryHidden" r:id="rId18"/>
    <sheet name="_Options" sheetId="13" state="veryHidden" r:id="rId19"/>
  </sheets>
  <externalReferences>
    <externalReference r:id="rId20"/>
    <externalReference r:id="rId21"/>
    <externalReference r:id="rId22"/>
    <externalReference r:id="rId23"/>
    <externalReference r:id="rId24"/>
    <externalReference r:id="rId25"/>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hidden="1">#REF!</definedName>
    <definedName name="_xlnm._FilterDatabase" localSheetId="13" hidden="1">'Histogram Data'!$B$4:$L$54</definedName>
    <definedName name="_xlnm._FilterDatabase" localSheetId="4" hidden="1">'Shares Out'!$A$1:$C$92</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[1]Assumptions!$V$2</definedName>
    <definedName name="AbnormalMultiple">'[1]Valuation Overview'!$J$15</definedName>
    <definedName name="AnalysisDate">'[1]Valuation Overview'!$D$8</definedName>
    <definedName name="ar_AutoRefresh">[2]arConfig_StkPrice!$B$5</definedName>
    <definedName name="ar_enabled">[2]arConfig_StkPrice!$B$3</definedName>
    <definedName name="BestCase">'Valuation Model'!$I$20</definedName>
    <definedName name="BoundLower">'[1]Valuation Overview'!$N$28</definedName>
    <definedName name="BoundUpper">'[1]Valuation Overview'!$N$27</definedName>
    <definedName name="bsEffectPerShare">[3]Model!$C$17</definedName>
    <definedName name="DCFExplicit">[1]Assumptions!$V$102:$Z$102</definedName>
    <definedName name="DCFLastAbnormal">[1]Assumptions!$Z$185</definedName>
    <definedName name="DCFLastExplicit">[1]Assumptions!$Z$102</definedName>
    <definedName name="DiscountRate">'[1]Valuation Overview'!$D$12</definedName>
    <definedName name="DivYield">'[1]Valuation Overview'!$D$14</definedName>
    <definedName name="exp_best">[4]Control!$L$6</definedName>
    <definedName name="exp_likely">[4]Control!$J$6</definedName>
    <definedName name="exp_worst">[4]Control!$K$6</definedName>
    <definedName name="ExplicitYears">'[1]Valuation Overview'!$D$6</definedName>
    <definedName name="FairValue">'[1]Valuation Overview'!$O$10</definedName>
    <definedName name="GrowthRateAbnormal">'[1]Valuation Overview'!$J$13</definedName>
    <definedName name="GrowthYears">'[1]Valuation Overview'!$J$12</definedName>
    <definedName name="Inflation">'[1]Valuation Overview'!$D$15</definedName>
    <definedName name="iVol">'[1]Valuation Overview'!$D$24</definedName>
    <definedName name="iVol2">'[1]Valuation Overview'!$D$25</definedName>
    <definedName name="LikelyCase">[3]Model!$K$22</definedName>
    <definedName name="med_best">[4]Control!$L$7</definedName>
    <definedName name="med_likely">[4]Control!$J$7</definedName>
    <definedName name="med_worst">[4]Control!$K$7</definedName>
    <definedName name="NetDrift">'[1]Valuation Overview'!$D$19</definedName>
    <definedName name="ocp_best">[4]Control!$L$5</definedName>
    <definedName name="ocp_likely">[4]Control!$J$5</definedName>
    <definedName name="ocp_worst">[4]Control!$K$5</definedName>
    <definedName name="OptionChain">'[1]Security Pricing Data'!$F$3:$I$17</definedName>
    <definedName name="OutstandingShares">'[1]Valuation Overview'!$D$17</definedName>
    <definedName name="PerpetualMultiple">'[1]Valuation Overview'!$J$22</definedName>
    <definedName name="price">'Valuation Model'!$G$2</definedName>
    <definedName name="ProfitScenario">[1]Assumptions!$BP$6</definedName>
    <definedName name="ProjectionY1">'[1]Valuation Overview'!$D$7</definedName>
    <definedName name="PSRatioData">[5]Data!$Q$2:$Q$2516</definedName>
    <definedName name="PSRHigh">'Valuation Model'!$P$21</definedName>
    <definedName name="PSRLow">'Valuation Model'!$P$22</definedName>
    <definedName name="rev_best">[4]Control!$L$4</definedName>
    <definedName name="rev_likely">[4]Control!$J$4</definedName>
    <definedName name="rev_worst">[4]Control!$K$4</definedName>
    <definedName name="RevScenario">[1]Assumptions!$BP$4</definedName>
    <definedName name="RiskFree">'[1]Valuation Overview'!$D$13</definedName>
    <definedName name="scaling">'Histogram Data'!$E$1</definedName>
    <definedName name="Scenario1">'Valuation Model'!$G$67</definedName>
    <definedName name="Scenario2">'Valuation Model'!$G$78</definedName>
    <definedName name="Scenario3">'Valuation Model'!$G$89</definedName>
    <definedName name="Scenario4">'Valuation Model'!$G$100</definedName>
    <definedName name="Scenario5">'Valuation Model'!$G$111</definedName>
    <definedName name="Scenario6">'Valuation Model'!$G$122</definedName>
    <definedName name="Scenario7">'Valuation Model'!$G$133</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[5]Data!$K$2:$K$2516</definedName>
    <definedName name="TerminalDayCount">[1]Assumptions!$Z$184</definedName>
    <definedName name="TerminalMethod">'[1]Valuation Overview'!$D$11</definedName>
    <definedName name="ticker">'Valuation Model'!$B$2</definedName>
    <definedName name="ValuationMethod">'[1]Valuation Overview'!$D$11</definedName>
    <definedName name="value1">[6]Model!$J$9</definedName>
    <definedName name="value2">[6]Model!$J$10</definedName>
    <definedName name="value3">[6]Model!$J$11</definedName>
    <definedName name="value4">[6]Model!$J$12</definedName>
    <definedName name="value5">[6]Model!$J$13</definedName>
    <definedName name="value6">[6]Model!$J$14</definedName>
    <definedName name="value7">[6]Model!$J$15</definedName>
    <definedName name="value8">[6]Model!$J$16</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#REF!</definedName>
  </definedNames>
  <calcPr calcId="171027"/>
</workbook>
</file>

<file path=xl/calcChain.xml><?xml version="1.0" encoding="utf-8"?>
<calcChain xmlns="http://schemas.openxmlformats.org/spreadsheetml/2006/main">
  <c r="B20" i="19" l="1"/>
  <c r="C20" i="19"/>
  <c r="D20" i="19"/>
  <c r="E20" i="19"/>
  <c r="F20" i="19"/>
  <c r="B18" i="19"/>
  <c r="C18" i="19"/>
  <c r="D18" i="19"/>
  <c r="E18" i="19"/>
  <c r="E19" i="19" s="1"/>
  <c r="F18" i="19"/>
  <c r="H18" i="19"/>
  <c r="I18" i="19"/>
  <c r="J18" i="19"/>
  <c r="K18" i="19"/>
  <c r="K19" i="19" s="1"/>
  <c r="G18" i="19"/>
  <c r="G19" i="19" s="1"/>
  <c r="T101" i="35"/>
  <c r="T102" i="35"/>
  <c r="T103" i="35"/>
  <c r="T104" i="35"/>
  <c r="N95" i="35"/>
  <c r="N96" i="35"/>
  <c r="N97" i="35"/>
  <c r="N98" i="35"/>
  <c r="N99" i="35"/>
  <c r="N100" i="35"/>
  <c r="N101" i="35"/>
  <c r="N102" i="35"/>
  <c r="N103" i="35"/>
  <c r="N104" i="35"/>
  <c r="F97" i="35"/>
  <c r="F98" i="35"/>
  <c r="F99" i="35"/>
  <c r="F100" i="35"/>
  <c r="O100" i="35" s="1"/>
  <c r="F101" i="35"/>
  <c r="F102" i="35"/>
  <c r="F103" i="35"/>
  <c r="F104" i="35"/>
  <c r="O104" i="35" s="1"/>
  <c r="S104" i="35" s="1"/>
  <c r="F96" i="35"/>
  <c r="O96" i="35" s="1"/>
  <c r="F95" i="35"/>
  <c r="H95" i="35" s="1"/>
  <c r="Q95" i="35" s="1"/>
  <c r="B11" i="19"/>
  <c r="C11" i="19"/>
  <c r="C13" i="19" s="1"/>
  <c r="D11" i="19"/>
  <c r="D12" i="19" s="1"/>
  <c r="E11" i="19"/>
  <c r="E12" i="19" s="1"/>
  <c r="F11" i="19"/>
  <c r="G11" i="19"/>
  <c r="G13" i="19" s="1"/>
  <c r="H11" i="19"/>
  <c r="H12" i="19" s="1"/>
  <c r="I11" i="19"/>
  <c r="I12" i="19" s="1"/>
  <c r="J11" i="19"/>
  <c r="K11" i="19"/>
  <c r="K13" i="19" s="1"/>
  <c r="B12" i="19"/>
  <c r="C12" i="19"/>
  <c r="F12" i="19"/>
  <c r="G12" i="19"/>
  <c r="J12" i="19"/>
  <c r="K12" i="19"/>
  <c r="F13" i="19"/>
  <c r="J13" i="19"/>
  <c r="G14" i="19"/>
  <c r="K14" i="19"/>
  <c r="J15" i="19"/>
  <c r="B17" i="19"/>
  <c r="C17" i="19"/>
  <c r="D17" i="19"/>
  <c r="E17" i="19"/>
  <c r="F17" i="19"/>
  <c r="G17" i="19"/>
  <c r="H17" i="19"/>
  <c r="I17" i="19"/>
  <c r="J17" i="19"/>
  <c r="K17" i="19"/>
  <c r="B19" i="19"/>
  <c r="C19" i="19"/>
  <c r="D19" i="19"/>
  <c r="F19" i="19"/>
  <c r="H19" i="19"/>
  <c r="I19" i="19"/>
  <c r="J19" i="19"/>
  <c r="M96" i="35"/>
  <c r="M97" i="35"/>
  <c r="M98" i="35"/>
  <c r="M99" i="35"/>
  <c r="M100" i="35"/>
  <c r="M101" i="35"/>
  <c r="M102" i="35"/>
  <c r="M103" i="35"/>
  <c r="M104" i="35"/>
  <c r="M95" i="35"/>
  <c r="M125" i="35"/>
  <c r="M126" i="35"/>
  <c r="M127" i="35"/>
  <c r="M128" i="35"/>
  <c r="M129" i="35"/>
  <c r="M130" i="35"/>
  <c r="M131" i="35"/>
  <c r="M132" i="35"/>
  <c r="M133" i="35"/>
  <c r="M124" i="35"/>
  <c r="L125" i="35"/>
  <c r="L126" i="35"/>
  <c r="L127" i="35"/>
  <c r="L128" i="35"/>
  <c r="L129" i="35"/>
  <c r="L130" i="35"/>
  <c r="L131" i="35"/>
  <c r="L132" i="35"/>
  <c r="L133" i="35"/>
  <c r="L124" i="35"/>
  <c r="J106" i="35"/>
  <c r="B29" i="30"/>
  <c r="L29" i="30" s="1"/>
  <c r="C34" i="30"/>
  <c r="D34" i="30"/>
  <c r="E34" i="30"/>
  <c r="F34" i="30"/>
  <c r="G34" i="30"/>
  <c r="H34" i="30"/>
  <c r="I34" i="30"/>
  <c r="J34" i="30"/>
  <c r="K34" i="30"/>
  <c r="B34" i="30"/>
  <c r="L28" i="30"/>
  <c r="B118" i="35"/>
  <c r="B117" i="35"/>
  <c r="B116" i="35"/>
  <c r="B114" i="35"/>
  <c r="B113" i="35"/>
  <c r="R96" i="35"/>
  <c r="R97" i="35"/>
  <c r="R98" i="35"/>
  <c r="R99" i="35"/>
  <c r="R100" i="35"/>
  <c r="R101" i="35"/>
  <c r="R102" i="35"/>
  <c r="R103" i="35"/>
  <c r="R104" i="35"/>
  <c r="R95" i="35"/>
  <c r="P95" i="35"/>
  <c r="P96" i="35"/>
  <c r="O97" i="35"/>
  <c r="P97" i="35"/>
  <c r="O98" i="35"/>
  <c r="P98" i="35"/>
  <c r="O99" i="35"/>
  <c r="P99" i="35"/>
  <c r="P100" i="35"/>
  <c r="O101" i="35"/>
  <c r="P101" i="35"/>
  <c r="O102" i="35"/>
  <c r="S102" i="35" s="1"/>
  <c r="P102" i="35"/>
  <c r="O103" i="35"/>
  <c r="S103" i="35" s="1"/>
  <c r="P103" i="35"/>
  <c r="P104" i="35"/>
  <c r="L96" i="35"/>
  <c r="L97" i="35"/>
  <c r="L98" i="35"/>
  <c r="L99" i="35"/>
  <c r="L100" i="35"/>
  <c r="L101" i="35"/>
  <c r="L102" i="35"/>
  <c r="L103" i="35"/>
  <c r="L104" i="35"/>
  <c r="L95" i="35"/>
  <c r="H96" i="35"/>
  <c r="Q96" i="35" s="1"/>
  <c r="H97" i="35"/>
  <c r="Q97" i="35" s="1"/>
  <c r="H98" i="35"/>
  <c r="Q98" i="35" s="1"/>
  <c r="H99" i="35"/>
  <c r="Q99" i="35" s="1"/>
  <c r="H101" i="35"/>
  <c r="Q101" i="35" s="1"/>
  <c r="H102" i="35"/>
  <c r="Q102" i="35" s="1"/>
  <c r="H103" i="35"/>
  <c r="Q103" i="35" s="1"/>
  <c r="C2" i="35"/>
  <c r="C3" i="35"/>
  <c r="C4" i="35"/>
  <c r="C5" i="35"/>
  <c r="C6" i="35"/>
  <c r="C7" i="35"/>
  <c r="C8" i="35"/>
  <c r="C9" i="35"/>
  <c r="C11" i="35"/>
  <c r="C12" i="35"/>
  <c r="C13" i="35"/>
  <c r="C14" i="35"/>
  <c r="C15" i="35"/>
  <c r="C16" i="35"/>
  <c r="C17" i="35"/>
  <c r="C18" i="35"/>
  <c r="C19" i="35"/>
  <c r="C20" i="35"/>
  <c r="C21" i="35"/>
  <c r="C22" i="35"/>
  <c r="C23" i="35"/>
  <c r="C24" i="35"/>
  <c r="C25" i="35"/>
  <c r="C26" i="35"/>
  <c r="C27" i="35"/>
  <c r="C28" i="35"/>
  <c r="C29" i="35"/>
  <c r="C30" i="35"/>
  <c r="C31" i="35"/>
  <c r="C32" i="35"/>
  <c r="C33" i="35"/>
  <c r="C34" i="35"/>
  <c r="C35" i="35"/>
  <c r="C36" i="35"/>
  <c r="C37" i="35"/>
  <c r="C38" i="35"/>
  <c r="C39" i="35"/>
  <c r="C40" i="35"/>
  <c r="C41" i="35"/>
  <c r="C42" i="35"/>
  <c r="C43" i="35"/>
  <c r="C44" i="35"/>
  <c r="C45" i="35"/>
  <c r="C46" i="35"/>
  <c r="C47" i="35"/>
  <c r="C48" i="35"/>
  <c r="C49" i="35"/>
  <c r="C50" i="35"/>
  <c r="C51" i="35"/>
  <c r="C52" i="35"/>
  <c r="C53" i="35"/>
  <c r="C54" i="35"/>
  <c r="C55" i="35"/>
  <c r="C56" i="35"/>
  <c r="C57" i="35"/>
  <c r="C58" i="35"/>
  <c r="C59" i="35"/>
  <c r="C60" i="35"/>
  <c r="C61" i="35"/>
  <c r="C62" i="35"/>
  <c r="C63" i="35"/>
  <c r="C64" i="35"/>
  <c r="C65" i="35"/>
  <c r="C66" i="35"/>
  <c r="C67" i="35"/>
  <c r="C68" i="35"/>
  <c r="C69" i="35"/>
  <c r="C70" i="35"/>
  <c r="C71" i="35"/>
  <c r="C72" i="35"/>
  <c r="C73" i="35"/>
  <c r="C74" i="35"/>
  <c r="C75" i="35"/>
  <c r="C76" i="35"/>
  <c r="C77" i="35"/>
  <c r="C78" i="35"/>
  <c r="C79" i="35"/>
  <c r="C80" i="35"/>
  <c r="C81" i="35"/>
  <c r="C82" i="35"/>
  <c r="C83" i="35"/>
  <c r="C84" i="35"/>
  <c r="C85" i="35"/>
  <c r="C86" i="35"/>
  <c r="C87" i="35"/>
  <c r="C88" i="35"/>
  <c r="C89" i="35"/>
  <c r="C90" i="35"/>
  <c r="C91" i="35"/>
  <c r="C92" i="35"/>
  <c r="C29" i="30"/>
  <c r="D29" i="30"/>
  <c r="E29" i="30"/>
  <c r="F29" i="30"/>
  <c r="G29" i="30"/>
  <c r="H29" i="30"/>
  <c r="I29" i="30"/>
  <c r="J29" i="30"/>
  <c r="K29" i="30"/>
  <c r="C28" i="30"/>
  <c r="D28" i="30"/>
  <c r="E28" i="30"/>
  <c r="F28" i="30"/>
  <c r="G28" i="30"/>
  <c r="H28" i="30"/>
  <c r="I28" i="30"/>
  <c r="J28" i="30"/>
  <c r="K28" i="30"/>
  <c r="B28" i="30"/>
  <c r="C18" i="30"/>
  <c r="D18" i="30"/>
  <c r="E18" i="30"/>
  <c r="F18" i="30"/>
  <c r="G18" i="30"/>
  <c r="H18" i="30"/>
  <c r="I18" i="30"/>
  <c r="J18" i="30"/>
  <c r="K18" i="30"/>
  <c r="C19" i="30"/>
  <c r="D19" i="30"/>
  <c r="E19" i="30"/>
  <c r="F19" i="30"/>
  <c r="G19" i="30"/>
  <c r="H19" i="30"/>
  <c r="I19" i="30"/>
  <c r="J19" i="30"/>
  <c r="K19" i="30"/>
  <c r="C20" i="30"/>
  <c r="D20" i="30"/>
  <c r="E20" i="30"/>
  <c r="F20" i="30"/>
  <c r="G20" i="30"/>
  <c r="H20" i="30"/>
  <c r="I20" i="30"/>
  <c r="J20" i="30"/>
  <c r="K20" i="30"/>
  <c r="C21" i="30"/>
  <c r="D21" i="30"/>
  <c r="E21" i="30"/>
  <c r="F21" i="30"/>
  <c r="G21" i="30"/>
  <c r="H21" i="30"/>
  <c r="I21" i="30"/>
  <c r="J21" i="30"/>
  <c r="K21" i="30"/>
  <c r="C22" i="30"/>
  <c r="D22" i="30"/>
  <c r="E22" i="30"/>
  <c r="F22" i="30"/>
  <c r="G22" i="30"/>
  <c r="H22" i="30"/>
  <c r="I22" i="30"/>
  <c r="J22" i="30"/>
  <c r="K22" i="30"/>
  <c r="B22" i="30"/>
  <c r="B21" i="30"/>
  <c r="B20" i="30"/>
  <c r="B19" i="30"/>
  <c r="B12" i="30"/>
  <c r="B18" i="30" s="1"/>
  <c r="I15" i="19" l="1"/>
  <c r="J14" i="19"/>
  <c r="F14" i="19"/>
  <c r="I13" i="19"/>
  <c r="E13" i="19"/>
  <c r="H15" i="19"/>
  <c r="I14" i="19"/>
  <c r="E14" i="19"/>
  <c r="H13" i="19"/>
  <c r="D13" i="19"/>
  <c r="K15" i="19"/>
  <c r="G15" i="19"/>
  <c r="H14" i="19"/>
  <c r="S100" i="35"/>
  <c r="T100" i="35"/>
  <c r="H104" i="35"/>
  <c r="Q104" i="35" s="1"/>
  <c r="H100" i="35"/>
  <c r="Q100" i="35" s="1"/>
  <c r="O95" i="35"/>
  <c r="S101" i="35"/>
  <c r="K106" i="35"/>
  <c r="C26" i="21" l="1"/>
  <c r="D26" i="21"/>
  <c r="E26" i="21"/>
  <c r="F26" i="21"/>
  <c r="G26" i="21"/>
  <c r="H26" i="21"/>
  <c r="I26" i="21"/>
  <c r="J26" i="21"/>
  <c r="K26" i="21"/>
  <c r="B26" i="21"/>
  <c r="G3" i="1" l="1"/>
  <c r="M34" i="21" l="1"/>
  <c r="N34" i="21"/>
  <c r="O34" i="21"/>
  <c r="P34" i="21"/>
  <c r="M35" i="21"/>
  <c r="N35" i="21"/>
  <c r="O35" i="21"/>
  <c r="P35" i="21"/>
  <c r="L35" i="21"/>
  <c r="L34" i="21"/>
  <c r="A41" i="21" l="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l="1"/>
  <c r="M15" i="21"/>
  <c r="N15" i="21"/>
  <c r="O15" i="21"/>
  <c r="P15" i="21"/>
  <c r="M14" i="21"/>
  <c r="N14" i="21"/>
  <c r="O14" i="21"/>
  <c r="P14" i="21"/>
  <c r="L14" i="21"/>
  <c r="L7" i="21"/>
  <c r="M7" i="21"/>
  <c r="N7" i="21"/>
  <c r="O7" i="21"/>
  <c r="P7" i="21"/>
  <c r="M6" i="21"/>
  <c r="N6" i="21"/>
  <c r="O6" i="21"/>
  <c r="P6" i="21"/>
  <c r="L6" i="21"/>
  <c r="C2" i="21" l="1"/>
  <c r="D2" i="21"/>
  <c r="E2" i="21"/>
  <c r="F2" i="21"/>
  <c r="G2" i="21"/>
  <c r="H2" i="21"/>
  <c r="I2" i="21"/>
  <c r="J2" i="21"/>
  <c r="K2" i="21"/>
  <c r="B2" i="21"/>
  <c r="H5" i="21" l="1"/>
  <c r="D5" i="21"/>
  <c r="I5" i="21"/>
  <c r="E5" i="21"/>
  <c r="G5" i="21"/>
  <c r="C5" i="21"/>
  <c r="L4" i="21"/>
  <c r="L12" i="21" s="1"/>
  <c r="L32" i="21" s="1"/>
  <c r="K5" i="21"/>
  <c r="J5" i="21"/>
  <c r="F5" i="21"/>
  <c r="L3" i="21"/>
  <c r="M3" i="21" s="1"/>
  <c r="C2" i="19"/>
  <c r="C1" i="21" s="1"/>
  <c r="D2" i="19"/>
  <c r="D1" i="21" s="1"/>
  <c r="E2" i="19"/>
  <c r="E1" i="21" s="1"/>
  <c r="F2" i="19"/>
  <c r="F1" i="21" s="1"/>
  <c r="G2" i="19"/>
  <c r="G1" i="21" s="1"/>
  <c r="H2" i="19"/>
  <c r="H1" i="21" s="1"/>
  <c r="I2" i="19"/>
  <c r="I1" i="21" s="1"/>
  <c r="J2" i="19"/>
  <c r="J1" i="21" s="1"/>
  <c r="K2" i="19"/>
  <c r="K1" i="21" s="1"/>
  <c r="B2" i="19"/>
  <c r="B1" i="21" s="1"/>
  <c r="M4" i="21" l="1"/>
  <c r="N4" i="21" s="1"/>
  <c r="L11" i="21"/>
  <c r="L31" i="21" s="1"/>
  <c r="K7" i="21"/>
  <c r="K6" i="21"/>
  <c r="N3" i="21"/>
  <c r="M11" i="21"/>
  <c r="M31" i="21" s="1"/>
  <c r="K29" i="21"/>
  <c r="K37" i="21"/>
  <c r="K9" i="21"/>
  <c r="K17" i="21" s="1"/>
  <c r="K21" i="21" s="1"/>
  <c r="L1" i="21"/>
  <c r="J37" i="21"/>
  <c r="J29" i="21"/>
  <c r="J9" i="21"/>
  <c r="J17" i="21" s="1"/>
  <c r="J21" i="21" s="1"/>
  <c r="F29" i="21"/>
  <c r="F37" i="21"/>
  <c r="F9" i="21"/>
  <c r="F17" i="21" s="1"/>
  <c r="F21" i="21" s="1"/>
  <c r="I37" i="21"/>
  <c r="I29" i="21"/>
  <c r="I9" i="21"/>
  <c r="I17" i="21" s="1"/>
  <c r="I21" i="21" s="1"/>
  <c r="E37" i="21"/>
  <c r="E29" i="21"/>
  <c r="E9" i="21"/>
  <c r="E17" i="21" s="1"/>
  <c r="E21" i="21" s="1"/>
  <c r="B37" i="21"/>
  <c r="B29" i="21"/>
  <c r="B9" i="21"/>
  <c r="B17" i="21" s="1"/>
  <c r="B21" i="21" s="1"/>
  <c r="H29" i="21"/>
  <c r="H37" i="21"/>
  <c r="H9" i="21"/>
  <c r="H17" i="21" s="1"/>
  <c r="H21" i="21" s="1"/>
  <c r="D37" i="21"/>
  <c r="D29" i="21"/>
  <c r="D9" i="21"/>
  <c r="D17" i="21" s="1"/>
  <c r="D21" i="21" s="1"/>
  <c r="G29" i="21"/>
  <c r="G37" i="21"/>
  <c r="G9" i="21"/>
  <c r="G17" i="21" s="1"/>
  <c r="G21" i="21" s="1"/>
  <c r="C29" i="21"/>
  <c r="C37" i="21"/>
  <c r="C9" i="21"/>
  <c r="C17" i="21" s="1"/>
  <c r="C21" i="21" s="1"/>
  <c r="K38" i="19"/>
  <c r="K39" i="19" s="1"/>
  <c r="G38" i="19"/>
  <c r="G39" i="19" s="1"/>
  <c r="C38" i="19"/>
  <c r="C39" i="19" s="1"/>
  <c r="K27" i="19"/>
  <c r="K27" i="21" s="1"/>
  <c r="J27" i="19"/>
  <c r="J27" i="21" s="1"/>
  <c r="I27" i="19"/>
  <c r="I27" i="21" s="1"/>
  <c r="H27" i="19"/>
  <c r="H27" i="21" s="1"/>
  <c r="G27" i="19"/>
  <c r="G27" i="21" s="1"/>
  <c r="F27" i="19"/>
  <c r="F27" i="21" s="1"/>
  <c r="E27" i="19"/>
  <c r="E27" i="21" s="1"/>
  <c r="D27" i="19"/>
  <c r="D27" i="21" s="1"/>
  <c r="C27" i="19"/>
  <c r="C27" i="21" s="1"/>
  <c r="B27" i="19"/>
  <c r="B27" i="21" s="1"/>
  <c r="J23" i="30"/>
  <c r="J30" i="30" s="1"/>
  <c r="I23" i="30"/>
  <c r="I30" i="30" s="1"/>
  <c r="F23" i="30"/>
  <c r="F30" i="30" s="1"/>
  <c r="E23" i="30"/>
  <c r="E30" i="30" s="1"/>
  <c r="B23" i="30"/>
  <c r="B30" i="30" s="1"/>
  <c r="K8" i="19"/>
  <c r="I8" i="19"/>
  <c r="G8" i="19"/>
  <c r="E8" i="19"/>
  <c r="C8" i="19"/>
  <c r="K6" i="19"/>
  <c r="J6" i="19"/>
  <c r="I6" i="19"/>
  <c r="H6" i="19"/>
  <c r="G6" i="19"/>
  <c r="K5" i="19"/>
  <c r="J5" i="19"/>
  <c r="I5" i="19"/>
  <c r="H5" i="19"/>
  <c r="G5" i="19"/>
  <c r="F5" i="19"/>
  <c r="E5" i="19"/>
  <c r="K4" i="19"/>
  <c r="J4" i="19"/>
  <c r="I4" i="19"/>
  <c r="H4" i="19"/>
  <c r="G4" i="19"/>
  <c r="F4" i="19"/>
  <c r="E4" i="19"/>
  <c r="D4" i="19"/>
  <c r="C4" i="19"/>
  <c r="J38" i="19"/>
  <c r="J39" i="19" s="1"/>
  <c r="I31" i="19"/>
  <c r="H31" i="19"/>
  <c r="F38" i="19"/>
  <c r="F39" i="19" s="1"/>
  <c r="E31" i="19"/>
  <c r="D31" i="19"/>
  <c r="B38" i="19"/>
  <c r="B39" i="19" s="1"/>
  <c r="C10" i="21" l="1"/>
  <c r="C38" i="21" s="1"/>
  <c r="C23" i="30"/>
  <c r="C30" i="30" s="1"/>
  <c r="G10" i="21"/>
  <c r="G38" i="21" s="1"/>
  <c r="G23" i="30"/>
  <c r="G30" i="30" s="1"/>
  <c r="K10" i="21"/>
  <c r="K38" i="21" s="1"/>
  <c r="K23" i="30"/>
  <c r="K30" i="30" s="1"/>
  <c r="D10" i="21"/>
  <c r="D38" i="21" s="1"/>
  <c r="D23" i="30"/>
  <c r="D30" i="30" s="1"/>
  <c r="H10" i="21"/>
  <c r="H38" i="21" s="1"/>
  <c r="H23" i="30"/>
  <c r="H30" i="30" s="1"/>
  <c r="B28" i="19"/>
  <c r="F28" i="19"/>
  <c r="F19" i="21" s="1"/>
  <c r="J28" i="19"/>
  <c r="C28" i="19"/>
  <c r="K28" i="19"/>
  <c r="G28" i="19"/>
  <c r="D22" i="21"/>
  <c r="D28" i="19"/>
  <c r="H22" i="21"/>
  <c r="H28" i="19"/>
  <c r="E22" i="21"/>
  <c r="E28" i="19"/>
  <c r="I22" i="21"/>
  <c r="I28" i="19"/>
  <c r="M12" i="21"/>
  <c r="M32" i="21" s="1"/>
  <c r="O4" i="21"/>
  <c r="N12" i="21"/>
  <c r="N32" i="21" s="1"/>
  <c r="O3" i="21"/>
  <c r="N11" i="21"/>
  <c r="N31" i="21" s="1"/>
  <c r="L29" i="21"/>
  <c r="L9" i="21"/>
  <c r="M1" i="21"/>
  <c r="C40" i="19"/>
  <c r="B22" i="21"/>
  <c r="F22" i="21"/>
  <c r="J22" i="21"/>
  <c r="C13" i="21"/>
  <c r="C18" i="21"/>
  <c r="K13" i="21"/>
  <c r="K15" i="21" s="1"/>
  <c r="K18" i="21"/>
  <c r="C22" i="21"/>
  <c r="G22" i="21"/>
  <c r="K22" i="21"/>
  <c r="H13" i="21"/>
  <c r="H18" i="21"/>
  <c r="I45" i="19"/>
  <c r="E10" i="21"/>
  <c r="E38" i="21" s="1"/>
  <c r="I41" i="19"/>
  <c r="I10" i="21"/>
  <c r="I38" i="21" s="1"/>
  <c r="B10" i="21"/>
  <c r="B38" i="21" s="1"/>
  <c r="B39" i="21" s="1"/>
  <c r="F10" i="21"/>
  <c r="F38" i="21" s="1"/>
  <c r="J10" i="21"/>
  <c r="J38" i="21" s="1"/>
  <c r="F43" i="19"/>
  <c r="J43" i="19"/>
  <c r="K40" i="19"/>
  <c r="G40" i="19"/>
  <c r="F41" i="19"/>
  <c r="J45" i="19"/>
  <c r="D8" i="19"/>
  <c r="H8" i="19"/>
  <c r="C41" i="19"/>
  <c r="G41" i="19"/>
  <c r="K41" i="19"/>
  <c r="H43" i="19"/>
  <c r="G45" i="19"/>
  <c r="K45" i="19"/>
  <c r="C31" i="19"/>
  <c r="G31" i="19"/>
  <c r="K31" i="19"/>
  <c r="D38" i="19"/>
  <c r="D39" i="19" s="1"/>
  <c r="D40" i="19" s="1"/>
  <c r="H38" i="19"/>
  <c r="H39" i="19" s="1"/>
  <c r="E43" i="19"/>
  <c r="I43" i="19"/>
  <c r="H45" i="19"/>
  <c r="E38" i="19"/>
  <c r="E39" i="19" s="1"/>
  <c r="I38" i="19"/>
  <c r="I39" i="19" s="1"/>
  <c r="J40" i="19" s="1"/>
  <c r="J41" i="19"/>
  <c r="G43" i="19"/>
  <c r="K43" i="19"/>
  <c r="B31" i="19"/>
  <c r="F31" i="19"/>
  <c r="J31" i="19"/>
  <c r="D41" i="19"/>
  <c r="H41" i="19"/>
  <c r="B8" i="19"/>
  <c r="F8" i="19"/>
  <c r="J8" i="19"/>
  <c r="E41" i="19"/>
  <c r="H9" i="17"/>
  <c r="H11" i="17"/>
  <c r="H6" i="17"/>
  <c r="G6" i="17"/>
  <c r="G9" i="17"/>
  <c r="G11" i="17"/>
  <c r="G7" i="17"/>
  <c r="G8" i="17"/>
  <c r="G10" i="17"/>
  <c r="G12" i="17"/>
  <c r="G5" i="17"/>
  <c r="H5" i="17"/>
  <c r="C2" i="1"/>
  <c r="H7" i="17"/>
  <c r="H10" i="17"/>
  <c r="H8" i="17"/>
  <c r="H12" i="17"/>
  <c r="J7" i="17"/>
  <c r="B24" i="30" l="1"/>
  <c r="B25" i="30"/>
  <c r="B31" i="30" s="1"/>
  <c r="B32" i="30" s="1"/>
  <c r="D25" i="30"/>
  <c r="D31" i="30" s="1"/>
  <c r="D32" i="30" s="1"/>
  <c r="D24" i="30"/>
  <c r="D18" i="21"/>
  <c r="G13" i="21"/>
  <c r="J19" i="21"/>
  <c r="J25" i="30"/>
  <c r="J31" i="30" s="1"/>
  <c r="J32" i="30" s="1"/>
  <c r="J35" i="30" s="1"/>
  <c r="J24" i="30"/>
  <c r="K19" i="21"/>
  <c r="K25" i="30"/>
  <c r="K31" i="30" s="1"/>
  <c r="K32" i="30" s="1"/>
  <c r="K35" i="30" s="1"/>
  <c r="K24" i="30"/>
  <c r="B32" i="19"/>
  <c r="G18" i="21"/>
  <c r="B19" i="21"/>
  <c r="E32" i="19"/>
  <c r="E30" i="21" s="1"/>
  <c r="E33" i="21" s="1"/>
  <c r="E24" i="30"/>
  <c r="E25" i="30"/>
  <c r="E31" i="30" s="1"/>
  <c r="C19" i="21"/>
  <c r="C25" i="30"/>
  <c r="C31" i="30" s="1"/>
  <c r="C32" i="30" s="1"/>
  <c r="C24" i="30"/>
  <c r="D13" i="21"/>
  <c r="I25" i="30"/>
  <c r="I31" i="30" s="1"/>
  <c r="I32" i="30" s="1"/>
  <c r="I35" i="30" s="1"/>
  <c r="I24" i="30"/>
  <c r="H19" i="21"/>
  <c r="H25" i="30"/>
  <c r="H31" i="30" s="1"/>
  <c r="H32" i="30" s="1"/>
  <c r="H35" i="30" s="1"/>
  <c r="H24" i="30"/>
  <c r="G19" i="21"/>
  <c r="G25" i="30"/>
  <c r="G31" i="30" s="1"/>
  <c r="G32" i="30" s="1"/>
  <c r="G35" i="30" s="1"/>
  <c r="G24" i="30"/>
  <c r="F25" i="30"/>
  <c r="F31" i="30" s="1"/>
  <c r="F32" i="30" s="1"/>
  <c r="F24" i="30"/>
  <c r="L30" i="30"/>
  <c r="B29" i="19"/>
  <c r="G29" i="19"/>
  <c r="F32" i="19"/>
  <c r="F30" i="21" s="1"/>
  <c r="F33" i="21" s="1"/>
  <c r="G32" i="19"/>
  <c r="G33" i="19" s="1"/>
  <c r="C32" i="19"/>
  <c r="C33" i="19" s="1"/>
  <c r="F29" i="19"/>
  <c r="K14" i="21"/>
  <c r="J32" i="19"/>
  <c r="J30" i="21" s="1"/>
  <c r="J33" i="21" s="1"/>
  <c r="K29" i="19"/>
  <c r="K32" i="19"/>
  <c r="K30" i="21" s="1"/>
  <c r="K33" i="21" s="1"/>
  <c r="K34" i="21" s="1"/>
  <c r="H32" i="19"/>
  <c r="H30" i="21" s="1"/>
  <c r="H33" i="21" s="1"/>
  <c r="C29" i="19"/>
  <c r="J29" i="19"/>
  <c r="G40" i="21"/>
  <c r="J40" i="21"/>
  <c r="B33" i="19"/>
  <c r="B30" i="21"/>
  <c r="B33" i="21" s="1"/>
  <c r="D40" i="21"/>
  <c r="K40" i="21"/>
  <c r="P3" i="21"/>
  <c r="P11" i="21" s="1"/>
  <c r="P31" i="21" s="1"/>
  <c r="O11" i="21"/>
  <c r="O31" i="21" s="1"/>
  <c r="P4" i="21"/>
  <c r="P12" i="21" s="1"/>
  <c r="P32" i="21" s="1"/>
  <c r="O12" i="21"/>
  <c r="O32" i="21" s="1"/>
  <c r="C40" i="21"/>
  <c r="C39" i="21"/>
  <c r="D39" i="21" s="1"/>
  <c r="N1" i="21"/>
  <c r="M29" i="21"/>
  <c r="M9" i="21"/>
  <c r="I29" i="19"/>
  <c r="I19" i="21"/>
  <c r="F13" i="21"/>
  <c r="F18" i="21"/>
  <c r="E29" i="19"/>
  <c r="E19" i="21"/>
  <c r="I32" i="19"/>
  <c r="I30" i="21" s="1"/>
  <c r="I33" i="21" s="1"/>
  <c r="H29" i="19"/>
  <c r="D29" i="19"/>
  <c r="D19" i="21"/>
  <c r="J13" i="21"/>
  <c r="J18" i="21"/>
  <c r="B13" i="21"/>
  <c r="B18" i="21"/>
  <c r="E13" i="21"/>
  <c r="E18" i="21"/>
  <c r="I13" i="21"/>
  <c r="I18" i="21"/>
  <c r="D32" i="19"/>
  <c r="J44" i="19"/>
  <c r="I42" i="19"/>
  <c r="I41" i="21" s="1"/>
  <c r="G44" i="19"/>
  <c r="K44" i="19"/>
  <c r="E42" i="19"/>
  <c r="E41" i="21" s="1"/>
  <c r="J42" i="19"/>
  <c r="J41" i="21" s="1"/>
  <c r="H40" i="19"/>
  <c r="H40" i="21" s="1"/>
  <c r="K42" i="19"/>
  <c r="K41" i="21" s="1"/>
  <c r="I40" i="19"/>
  <c r="I40" i="21" s="1"/>
  <c r="H44" i="19"/>
  <c r="F42" i="19"/>
  <c r="F41" i="21" s="1"/>
  <c r="G42" i="19"/>
  <c r="G41" i="21" s="1"/>
  <c r="E40" i="19"/>
  <c r="E40" i="21" s="1"/>
  <c r="I44" i="19"/>
  <c r="F40" i="19"/>
  <c r="F40" i="21" s="1"/>
  <c r="H42" i="19"/>
  <c r="H41" i="21" s="1"/>
  <c r="E8" i="17"/>
  <c r="E6" i="17"/>
  <c r="E7" i="17"/>
  <c r="E12" i="17"/>
  <c r="E10" i="17"/>
  <c r="E11" i="17"/>
  <c r="E9" i="17"/>
  <c r="E5" i="17"/>
  <c r="J8" i="17"/>
  <c r="E33" i="19" l="1"/>
  <c r="F34" i="19"/>
  <c r="L31" i="30"/>
  <c r="E32" i="30"/>
  <c r="L32" i="30" s="1"/>
  <c r="M29" i="30"/>
  <c r="M28" i="30"/>
  <c r="M30" i="30"/>
  <c r="C34" i="19"/>
  <c r="D34" i="19"/>
  <c r="C30" i="21"/>
  <c r="C33" i="21" s="1"/>
  <c r="E34" i="19"/>
  <c r="F33" i="19"/>
  <c r="H34" i="19"/>
  <c r="G30" i="21"/>
  <c r="G33" i="21" s="1"/>
  <c r="G34" i="19"/>
  <c r="G35" i="19"/>
  <c r="J33" i="19"/>
  <c r="H33" i="19"/>
  <c r="K35" i="19"/>
  <c r="J35" i="19"/>
  <c r="H35" i="19"/>
  <c r="H36" i="19"/>
  <c r="K33" i="19"/>
  <c r="E35" i="19"/>
  <c r="K34" i="19"/>
  <c r="J34" i="19"/>
  <c r="K35" i="21"/>
  <c r="F35" i="19"/>
  <c r="D30" i="21"/>
  <c r="D33" i="21" s="1"/>
  <c r="I35" i="19"/>
  <c r="I36" i="19"/>
  <c r="G36" i="19"/>
  <c r="I34" i="19"/>
  <c r="J36" i="19"/>
  <c r="K36" i="19"/>
  <c r="I33" i="19"/>
  <c r="O1" i="21"/>
  <c r="N29" i="21"/>
  <c r="N9" i="21"/>
  <c r="E39" i="21"/>
  <c r="F39" i="21" s="1"/>
  <c r="G39" i="21" s="1"/>
  <c r="H39" i="21" s="1"/>
  <c r="I39" i="21" s="1"/>
  <c r="J39" i="21" s="1"/>
  <c r="K39" i="21" s="1"/>
  <c r="D33" i="19"/>
  <c r="J9" i="17"/>
  <c r="P1" i="21" l="1"/>
  <c r="O29" i="21"/>
  <c r="O9" i="21"/>
  <c r="J10" i="17"/>
  <c r="P29" i="21" l="1"/>
  <c r="P9" i="21"/>
  <c r="J11" i="17"/>
  <c r="J12" i="17" l="1"/>
  <c r="J13" i="17" l="1"/>
  <c r="J14" i="17" l="1"/>
  <c r="J15" i="17" l="1"/>
  <c r="J16" i="17" l="1"/>
  <c r="J17" i="17" l="1"/>
  <c r="J18" i="17" l="1"/>
  <c r="J19" i="17" l="1"/>
  <c r="J20" i="17" l="1"/>
  <c r="J21" i="17" l="1"/>
  <c r="J22" i="17" l="1"/>
  <c r="J23" i="17" l="1"/>
  <c r="J24" i="17" l="1"/>
  <c r="J25" i="17" l="1"/>
  <c r="J26" i="17" l="1"/>
  <c r="J27" i="17" l="1"/>
  <c r="J28" i="17" l="1"/>
  <c r="J29" i="17" l="1"/>
  <c r="J30" i="17" l="1"/>
  <c r="J31" i="17" l="1"/>
  <c r="J32" i="17" l="1"/>
  <c r="J33" i="17" l="1"/>
  <c r="J34" i="17" l="1"/>
  <c r="J35" i="17" l="1"/>
  <c r="J36" i="17" l="1"/>
  <c r="J37" i="17" l="1"/>
  <c r="J38" i="17" l="1"/>
  <c r="J39" i="17" l="1"/>
  <c r="J40" i="17" l="1"/>
  <c r="J41" i="17" l="1"/>
  <c r="J42" i="17" l="1"/>
  <c r="J43" i="17" l="1"/>
  <c r="B51" i="1"/>
  <c r="J44" i="17" l="1"/>
  <c r="B45" i="1"/>
  <c r="B46" i="1"/>
  <c r="J45" i="17" l="1"/>
  <c r="C25" i="1"/>
  <c r="C42" i="1" s="1"/>
  <c r="D25" i="1"/>
  <c r="D42" i="1" s="1"/>
  <c r="E25" i="1"/>
  <c r="E42" i="1" s="1"/>
  <c r="F25" i="1"/>
  <c r="B47" i="1" s="1"/>
  <c r="B48" i="1" s="1"/>
  <c r="B25" i="1"/>
  <c r="B42" i="1" s="1"/>
  <c r="B136" i="1"/>
  <c r="B125" i="1"/>
  <c r="B114" i="1"/>
  <c r="B103" i="1"/>
  <c r="B92" i="1"/>
  <c r="B81" i="1"/>
  <c r="B70" i="1"/>
  <c r="B58" i="1"/>
  <c r="B37" i="1"/>
  <c r="B38" i="1"/>
  <c r="B36" i="1"/>
  <c r="J46" i="17" l="1"/>
  <c r="I11" i="1"/>
  <c r="B26" i="1"/>
  <c r="B27" i="1" s="1"/>
  <c r="B28" i="1" s="1"/>
  <c r="J47" i="17" l="1"/>
  <c r="I9" i="1"/>
  <c r="B12" i="17" s="1"/>
  <c r="I8" i="1"/>
  <c r="B11" i="17" s="1"/>
  <c r="I7" i="1"/>
  <c r="B8" i="17" s="1"/>
  <c r="I6" i="1"/>
  <c r="B6" i="17" s="1"/>
  <c r="I2" i="1"/>
  <c r="B5" i="17" s="1"/>
  <c r="I4" i="1"/>
  <c r="B9" i="17" s="1"/>
  <c r="I5" i="1"/>
  <c r="B10" i="17" s="1"/>
  <c r="I3" i="1"/>
  <c r="B7" i="17" s="1"/>
  <c r="J48" i="17" l="1"/>
  <c r="B137" i="1"/>
  <c r="B138" i="1" s="1"/>
  <c r="B126" i="1"/>
  <c r="B127" i="1" s="1"/>
  <c r="C114" i="1"/>
  <c r="D114" i="1" s="1"/>
  <c r="E114" i="1" s="1"/>
  <c r="F114" i="1" s="1"/>
  <c r="C103" i="1"/>
  <c r="D103" i="1" s="1"/>
  <c r="E103" i="1" s="1"/>
  <c r="F103" i="1" s="1"/>
  <c r="B93" i="1"/>
  <c r="B94" i="1" s="1"/>
  <c r="B59" i="1"/>
  <c r="B61" i="1" s="1"/>
  <c r="D18" i="1"/>
  <c r="F85" i="1" s="1"/>
  <c r="D17" i="1"/>
  <c r="E21" i="1"/>
  <c r="F118" i="1" l="1"/>
  <c r="F140" i="1"/>
  <c r="J49" i="17"/>
  <c r="F129" i="1"/>
  <c r="F107" i="1"/>
  <c r="F63" i="1"/>
  <c r="B52" i="1"/>
  <c r="B53" i="1"/>
  <c r="F74" i="1"/>
  <c r="F96" i="1"/>
  <c r="C136" i="1"/>
  <c r="C137" i="1" s="1"/>
  <c r="C138" i="1" s="1"/>
  <c r="C125" i="1"/>
  <c r="B115" i="1"/>
  <c r="B116" i="1" s="1"/>
  <c r="B104" i="1"/>
  <c r="B105" i="1" s="1"/>
  <c r="C92" i="1"/>
  <c r="C93" i="1" s="1"/>
  <c r="C94" i="1" s="1"/>
  <c r="B82" i="1"/>
  <c r="B83" i="1" s="1"/>
  <c r="B60" i="1"/>
  <c r="C81" i="1"/>
  <c r="C82" i="1" s="1"/>
  <c r="C83" i="1" s="1"/>
  <c r="C58" i="1"/>
  <c r="D58" i="1" s="1"/>
  <c r="C26" i="1"/>
  <c r="D26" i="1" s="1"/>
  <c r="E26" i="1" s="1"/>
  <c r="F26" i="1" s="1"/>
  <c r="L16" i="1" s="1"/>
  <c r="J50" i="17" l="1"/>
  <c r="B54" i="1"/>
  <c r="C126" i="1"/>
  <c r="C127" i="1" s="1"/>
  <c r="D136" i="1"/>
  <c r="D137" i="1" s="1"/>
  <c r="D138" i="1" s="1"/>
  <c r="D125" i="1"/>
  <c r="C115" i="1"/>
  <c r="C116" i="1" s="1"/>
  <c r="C104" i="1"/>
  <c r="C105" i="1" s="1"/>
  <c r="D92" i="1"/>
  <c r="D93" i="1" s="1"/>
  <c r="D94" i="1" s="1"/>
  <c r="D81" i="1"/>
  <c r="D82" i="1" s="1"/>
  <c r="D83" i="1" s="1"/>
  <c r="B71" i="1"/>
  <c r="B72" i="1" s="1"/>
  <c r="C70" i="1"/>
  <c r="C59" i="1"/>
  <c r="C61" i="1" s="1"/>
  <c r="F42" i="1"/>
  <c r="C27" i="1"/>
  <c r="C28" i="1" s="1"/>
  <c r="F27" i="1"/>
  <c r="F28" i="1" s="1"/>
  <c r="D27" i="1"/>
  <c r="D28" i="1" s="1"/>
  <c r="E27" i="1"/>
  <c r="E28" i="1" s="1"/>
  <c r="J51" i="17" l="1"/>
  <c r="B128" i="1"/>
  <c r="B62" i="1"/>
  <c r="C128" i="1"/>
  <c r="B139" i="1"/>
  <c r="B73" i="1"/>
  <c r="B117" i="1"/>
  <c r="B95" i="1"/>
  <c r="C95" i="1"/>
  <c r="C117" i="1"/>
  <c r="B84" i="1"/>
  <c r="B106" i="1"/>
  <c r="C139" i="1"/>
  <c r="D126" i="1"/>
  <c r="D127" i="1" s="1"/>
  <c r="E136" i="1"/>
  <c r="E137" i="1" s="1"/>
  <c r="E138" i="1" s="1"/>
  <c r="D139" i="1"/>
  <c r="E125" i="1"/>
  <c r="D115" i="1"/>
  <c r="D104" i="1"/>
  <c r="D105" i="1" s="1"/>
  <c r="C106" i="1"/>
  <c r="E92" i="1"/>
  <c r="E93" i="1" s="1"/>
  <c r="E94" i="1" s="1"/>
  <c r="D95" i="1"/>
  <c r="C62" i="1"/>
  <c r="C60" i="1"/>
  <c r="E81" i="1"/>
  <c r="E82" i="1" s="1"/>
  <c r="E83" i="1" s="1"/>
  <c r="C84" i="1"/>
  <c r="C71" i="1"/>
  <c r="D70" i="1"/>
  <c r="E58" i="1"/>
  <c r="D59" i="1"/>
  <c r="D61" i="1" s="1"/>
  <c r="J52" i="17" l="1"/>
  <c r="D116" i="1"/>
  <c r="D117" i="1" s="1"/>
  <c r="C72" i="1"/>
  <c r="C73" i="1" s="1"/>
  <c r="D128" i="1"/>
  <c r="E126" i="1"/>
  <c r="E127" i="1" s="1"/>
  <c r="E139" i="1"/>
  <c r="F136" i="1"/>
  <c r="F125" i="1"/>
  <c r="E115" i="1"/>
  <c r="F115" i="1"/>
  <c r="E104" i="1"/>
  <c r="E105" i="1" s="1"/>
  <c r="D106" i="1"/>
  <c r="E95" i="1"/>
  <c r="F92" i="1"/>
  <c r="D62" i="1"/>
  <c r="D60" i="1"/>
  <c r="D84" i="1"/>
  <c r="F81" i="1"/>
  <c r="F82" i="1" s="1"/>
  <c r="F83" i="1" s="1"/>
  <c r="D71" i="1"/>
  <c r="E70" i="1"/>
  <c r="F58" i="1"/>
  <c r="E59" i="1"/>
  <c r="E61" i="1" s="1"/>
  <c r="J53" i="17" l="1"/>
  <c r="D72" i="1"/>
  <c r="D73" i="1" s="1"/>
  <c r="F116" i="1"/>
  <c r="F119" i="1" s="1"/>
  <c r="F120" i="1" s="1"/>
  <c r="G120" i="1" s="1"/>
  <c r="E116" i="1"/>
  <c r="E117" i="1" s="1"/>
  <c r="E128" i="1"/>
  <c r="F137" i="1"/>
  <c r="F138" i="1" s="1"/>
  <c r="F126" i="1"/>
  <c r="F127" i="1" s="1"/>
  <c r="F93" i="1"/>
  <c r="F94" i="1" s="1"/>
  <c r="F104" i="1"/>
  <c r="F105" i="1" s="1"/>
  <c r="E106" i="1"/>
  <c r="E62" i="1"/>
  <c r="E60" i="1"/>
  <c r="E84" i="1"/>
  <c r="E71" i="1"/>
  <c r="F70" i="1"/>
  <c r="F59" i="1"/>
  <c r="F61" i="1" s="1"/>
  <c r="J54" i="17" l="1"/>
  <c r="F117" i="1"/>
  <c r="G117" i="1" s="1"/>
  <c r="E72" i="1"/>
  <c r="E73" i="1" s="1"/>
  <c r="F139" i="1"/>
  <c r="G140" i="1" s="1"/>
  <c r="F141" i="1"/>
  <c r="F142" i="1" s="1"/>
  <c r="G142" i="1" s="1"/>
  <c r="F97" i="1"/>
  <c r="F98" i="1" s="1"/>
  <c r="G98" i="1" s="1"/>
  <c r="F95" i="1"/>
  <c r="G96" i="1" s="1"/>
  <c r="F62" i="1"/>
  <c r="F60" i="1"/>
  <c r="F84" i="1"/>
  <c r="F71" i="1"/>
  <c r="F72" i="1" s="1"/>
  <c r="J55" i="17" l="1"/>
  <c r="G118" i="1"/>
  <c r="G121" i="1" s="1"/>
  <c r="G122" i="1" s="1"/>
  <c r="G139" i="1"/>
  <c r="G143" i="1" s="1"/>
  <c r="G144" i="1" s="1"/>
  <c r="F130" i="1"/>
  <c r="F131" i="1" s="1"/>
  <c r="G131" i="1" s="1"/>
  <c r="F128" i="1"/>
  <c r="G95" i="1"/>
  <c r="G99" i="1" s="1"/>
  <c r="G100" i="1" s="1"/>
  <c r="F108" i="1"/>
  <c r="F109" i="1" s="1"/>
  <c r="G109" i="1" s="1"/>
  <c r="F106" i="1"/>
  <c r="F64" i="1"/>
  <c r="F65" i="1" s="1"/>
  <c r="G65" i="1" s="1"/>
  <c r="G63" i="1"/>
  <c r="F75" i="1"/>
  <c r="F76" i="1" s="1"/>
  <c r="G76" i="1" s="1"/>
  <c r="F73" i="1"/>
  <c r="F86" i="1"/>
  <c r="F87" i="1" s="1"/>
  <c r="G87" i="1" s="1"/>
  <c r="K9" i="1" l="1"/>
  <c r="C12" i="17" s="1"/>
  <c r="K7" i="1"/>
  <c r="C8" i="17" s="1"/>
  <c r="K5" i="1"/>
  <c r="C10" i="17" s="1"/>
  <c r="G128" i="1"/>
  <c r="G129" i="1"/>
  <c r="G107" i="1"/>
  <c r="G106" i="1"/>
  <c r="G62" i="1"/>
  <c r="G66" i="1" s="1"/>
  <c r="G67" i="1" s="1"/>
  <c r="K2" i="1" s="1"/>
  <c r="C5" i="17" s="1"/>
  <c r="G85" i="1"/>
  <c r="G84" i="1"/>
  <c r="G74" i="1"/>
  <c r="G73" i="1"/>
  <c r="G132" i="1" l="1"/>
  <c r="G133" i="1" s="1"/>
  <c r="G110" i="1"/>
  <c r="G111" i="1" s="1"/>
  <c r="G88" i="1"/>
  <c r="G89" i="1" s="1"/>
  <c r="G77" i="1"/>
  <c r="G78" i="1" s="1"/>
  <c r="K8" i="1" l="1"/>
  <c r="C11" i="17" s="1"/>
  <c r="K6" i="1"/>
  <c r="C6" i="17" s="1"/>
  <c r="K4" i="1"/>
  <c r="C9" i="17" s="1"/>
  <c r="K3" i="1"/>
  <c r="C7" i="17" s="1"/>
  <c r="F29" i="1"/>
  <c r="B49" i="1" s="1"/>
  <c r="B50" i="1" s="1"/>
  <c r="D29" i="1"/>
  <c r="D43" i="1" s="1"/>
  <c r="C29" i="1"/>
  <c r="C43" i="1" s="1"/>
  <c r="B29" i="1"/>
  <c r="B43" i="1" s="1"/>
  <c r="E29" i="1"/>
  <c r="E43" i="1" s="1"/>
  <c r="B2" i="17" l="1"/>
  <c r="B1" i="17"/>
  <c r="K5" i="17" s="1"/>
  <c r="L17" i="1"/>
  <c r="F43" i="1"/>
  <c r="C21" i="1" s="1"/>
  <c r="K55" i="17" l="1"/>
  <c r="N55" i="17" s="1"/>
  <c r="O55" i="17" s="1"/>
  <c r="K53" i="17"/>
  <c r="N53" i="17" s="1"/>
  <c r="O53" i="17" s="1"/>
  <c r="K49" i="17"/>
  <c r="N49" i="17" s="1"/>
  <c r="O49" i="17" s="1"/>
  <c r="K45" i="17"/>
  <c r="N45" i="17" s="1"/>
  <c r="O45" i="17" s="1"/>
  <c r="K47" i="17"/>
  <c r="N47" i="17" s="1"/>
  <c r="O47" i="17" s="1"/>
  <c r="K51" i="17"/>
  <c r="N51" i="17" s="1"/>
  <c r="O51" i="17" s="1"/>
  <c r="K43" i="17"/>
  <c r="N43" i="17" s="1"/>
  <c r="O43" i="17" s="1"/>
  <c r="K41" i="17"/>
  <c r="N41" i="17" s="1"/>
  <c r="O41" i="17" s="1"/>
  <c r="K37" i="17"/>
  <c r="N37" i="17" s="1"/>
  <c r="O37" i="17" s="1"/>
  <c r="K39" i="17"/>
  <c r="N39" i="17" s="1"/>
  <c r="O39" i="17" s="1"/>
  <c r="K35" i="17"/>
  <c r="N35" i="17" s="1"/>
  <c r="O35" i="17" s="1"/>
  <c r="K33" i="17"/>
  <c r="N33" i="17" s="1"/>
  <c r="O33" i="17" s="1"/>
  <c r="K29" i="17"/>
  <c r="N29" i="17" s="1"/>
  <c r="O29" i="17" s="1"/>
  <c r="K25" i="17"/>
  <c r="N25" i="17" s="1"/>
  <c r="O25" i="17" s="1"/>
  <c r="K52" i="17"/>
  <c r="N52" i="17" s="1"/>
  <c r="O52" i="17" s="1"/>
  <c r="K48" i="17"/>
  <c r="N48" i="17" s="1"/>
  <c r="O48" i="17" s="1"/>
  <c r="K44" i="17"/>
  <c r="N44" i="17" s="1"/>
  <c r="O44" i="17" s="1"/>
  <c r="K40" i="17"/>
  <c r="N40" i="17" s="1"/>
  <c r="O40" i="17" s="1"/>
  <c r="K36" i="17"/>
  <c r="N36" i="17" s="1"/>
  <c r="O36" i="17" s="1"/>
  <c r="K32" i="17"/>
  <c r="N32" i="17" s="1"/>
  <c r="O32" i="17" s="1"/>
  <c r="K28" i="17"/>
  <c r="N28" i="17" s="1"/>
  <c r="O28" i="17" s="1"/>
  <c r="K24" i="17"/>
  <c r="N24" i="17" s="1"/>
  <c r="O24" i="17" s="1"/>
  <c r="K27" i="17"/>
  <c r="N27" i="17" s="1"/>
  <c r="O27" i="17" s="1"/>
  <c r="K23" i="17"/>
  <c r="N23" i="17" s="1"/>
  <c r="O23" i="17" s="1"/>
  <c r="K31" i="17"/>
  <c r="N31" i="17" s="1"/>
  <c r="O31" i="17" s="1"/>
  <c r="K54" i="17"/>
  <c r="N54" i="17" s="1"/>
  <c r="O54" i="17" s="1"/>
  <c r="K50" i="17"/>
  <c r="N50" i="17" s="1"/>
  <c r="O50" i="17" s="1"/>
  <c r="K46" i="17"/>
  <c r="N46" i="17" s="1"/>
  <c r="O46" i="17" s="1"/>
  <c r="K42" i="17"/>
  <c r="N42" i="17" s="1"/>
  <c r="O42" i="17" s="1"/>
  <c r="K38" i="17"/>
  <c r="N38" i="17" s="1"/>
  <c r="O38" i="17" s="1"/>
  <c r="K34" i="17"/>
  <c r="N34" i="17" s="1"/>
  <c r="O34" i="17" s="1"/>
  <c r="K30" i="17"/>
  <c r="N30" i="17" s="1"/>
  <c r="O30" i="17" s="1"/>
  <c r="K26" i="17"/>
  <c r="N26" i="17" s="1"/>
  <c r="O26" i="17" s="1"/>
  <c r="K20" i="17"/>
  <c r="N20" i="17" s="1"/>
  <c r="O20" i="17" s="1"/>
  <c r="K17" i="17"/>
  <c r="N17" i="17" s="1"/>
  <c r="O17" i="17" s="1"/>
  <c r="K22" i="17"/>
  <c r="N22" i="17" s="1"/>
  <c r="O22" i="17" s="1"/>
  <c r="K16" i="17"/>
  <c r="N16" i="17" s="1"/>
  <c r="O16" i="17" s="1"/>
  <c r="K21" i="17"/>
  <c r="N21" i="17" s="1"/>
  <c r="O21" i="17" s="1"/>
  <c r="K13" i="17"/>
  <c r="N13" i="17" s="1"/>
  <c r="O13" i="17" s="1"/>
  <c r="K12" i="17"/>
  <c r="N12" i="17" s="1"/>
  <c r="O12" i="17" s="1"/>
  <c r="K19" i="17"/>
  <c r="N19" i="17" s="1"/>
  <c r="O19" i="17" s="1"/>
  <c r="K15" i="17"/>
  <c r="N15" i="17" s="1"/>
  <c r="O15" i="17" s="1"/>
  <c r="K11" i="17"/>
  <c r="N11" i="17" s="1"/>
  <c r="O11" i="17" s="1"/>
  <c r="K18" i="17"/>
  <c r="N18" i="17" s="1"/>
  <c r="O18" i="17" s="1"/>
  <c r="K14" i="17"/>
  <c r="N14" i="17" s="1"/>
  <c r="O14" i="17" s="1"/>
  <c r="K8" i="17"/>
  <c r="N8" i="17" s="1"/>
  <c r="O8" i="17" s="1"/>
  <c r="K7" i="17"/>
  <c r="N7" i="17" s="1"/>
  <c r="O7" i="17" s="1"/>
  <c r="K10" i="17"/>
  <c r="N10" i="17" s="1"/>
  <c r="O10" i="17" s="1"/>
  <c r="K6" i="17"/>
  <c r="N6" i="17" s="1"/>
  <c r="O6" i="17" s="1"/>
  <c r="K9" i="17"/>
  <c r="N9" i="17" s="1"/>
  <c r="O9" i="17" s="1"/>
  <c r="N5" i="17"/>
  <c r="O5" i="17" s="1"/>
  <c r="D21" i="1"/>
  <c r="B21" i="1"/>
  <c r="D5" i="17" l="1"/>
  <c r="D12" i="17"/>
  <c r="D9" i="17"/>
  <c r="D10" i="17"/>
  <c r="D11" i="17"/>
  <c r="D8" i="17"/>
  <c r="D7" i="17"/>
  <c r="D6" i="17"/>
  <c r="F21" i="1"/>
  <c r="L18" i="1" s="1"/>
  <c r="L35" i="17" l="1"/>
  <c r="L25" i="17"/>
  <c r="M35" i="17"/>
  <c r="M51" i="17"/>
  <c r="L45" i="17"/>
  <c r="L14" i="17"/>
  <c r="M6" i="17"/>
  <c r="L27" i="17"/>
  <c r="M8" i="17"/>
  <c r="M50" i="17"/>
  <c r="M46" i="17"/>
  <c r="L36" i="17"/>
  <c r="L40" i="17"/>
  <c r="L16" i="17"/>
  <c r="L10" i="17"/>
  <c r="M53" i="17"/>
  <c r="L44" i="17"/>
  <c r="M15" i="17"/>
  <c r="M32" i="17"/>
  <c r="M30" i="17"/>
  <c r="L51" i="17"/>
  <c r="L8" i="17"/>
  <c r="L26" i="17"/>
  <c r="L42" i="17"/>
  <c r="M13" i="17"/>
  <c r="L47" i="17"/>
  <c r="L43" i="17"/>
  <c r="M7" i="17"/>
  <c r="L48" i="17"/>
  <c r="L37" i="17"/>
  <c r="L15" i="17"/>
  <c r="L24" i="17"/>
  <c r="M48" i="17"/>
  <c r="L11" i="17"/>
  <c r="M5" i="17"/>
  <c r="M28" i="17"/>
  <c r="M31" i="17"/>
  <c r="L17" i="17"/>
  <c r="M11" i="17"/>
  <c r="L23" i="17"/>
  <c r="L55" i="17"/>
  <c r="M19" i="17"/>
  <c r="M10" i="17"/>
  <c r="L49" i="17"/>
  <c r="M17" i="17"/>
  <c r="M44" i="17"/>
  <c r="M39" i="17"/>
  <c r="L54" i="17"/>
  <c r="L21" i="17"/>
  <c r="M38" i="17"/>
  <c r="M47" i="17"/>
  <c r="L19" i="17"/>
  <c r="M21" i="17"/>
  <c r="L38" i="17"/>
  <c r="M45" i="17"/>
  <c r="L53" i="17"/>
  <c r="L13" i="17"/>
  <c r="M54" i="17"/>
  <c r="L5" i="17"/>
  <c r="L9" i="17"/>
  <c r="M43" i="17"/>
  <c r="M14" i="17"/>
  <c r="M37" i="17"/>
  <c r="L50" i="17"/>
  <c r="L33" i="17"/>
  <c r="L30" i="17" s="1"/>
  <c r="L12" i="17"/>
  <c r="L39" i="17"/>
  <c r="L7" i="17"/>
  <c r="M22" i="17"/>
  <c r="L28" i="17"/>
  <c r="M29" i="17"/>
  <c r="M24" i="17"/>
  <c r="L46" i="17"/>
  <c r="M12" i="17"/>
  <c r="M23" i="17"/>
  <c r="M26" i="17"/>
  <c r="M40" i="17"/>
  <c r="M49" i="17"/>
  <c r="L32" i="17"/>
  <c r="M52" i="17"/>
  <c r="M16" i="17"/>
  <c r="M27" i="17"/>
  <c r="L18" i="17"/>
  <c r="M20" i="17"/>
  <c r="L41" i="17"/>
  <c r="M9" i="17"/>
  <c r="L22" i="17"/>
  <c r="M34" i="17"/>
  <c r="M36" i="17"/>
  <c r="L20" i="17"/>
  <c r="L31" i="17"/>
  <c r="M18" i="17"/>
  <c r="M33" i="17"/>
  <c r="M41" i="17"/>
  <c r="L52" i="17"/>
  <c r="L34" i="17"/>
  <c r="M25" i="17"/>
  <c r="M55" i="17"/>
  <c r="L6" i="17"/>
  <c r="L29" i="17"/>
  <c r="M42" i="17"/>
  <c r="D22" i="1"/>
  <c r="C22" i="1"/>
  <c r="E22" i="1"/>
  <c r="B22" i="1"/>
  <c r="I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I1" authorId="0" shapeId="0" xr:uid="{00000000-0006-0000-0000-00000100000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xr:uid="{00000000-0006-0000-0000-000002000000}">
      <text>
        <r>
          <rPr>
            <b/>
            <sz val="9"/>
            <color indexed="81"/>
            <rFont val="Tahoma"/>
            <family val="2"/>
          </rPr>
          <t>Erik Kobayashi-Solomon:</t>
        </r>
        <r>
          <rPr>
            <sz val="9"/>
            <color indexed="81"/>
            <rFont val="Tahoma"/>
            <family val="2"/>
          </rPr>
          <t xml:space="preserve">
We usually recommend 10% for a large cap firm and 12% for a small cap one.</t>
        </r>
      </text>
    </comment>
    <comment ref="A8" authorId="0" shapeId="0" xr:uid="{00000000-0006-0000-0000-00000300000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xr:uid="{00000000-0006-0000-0000-00000400000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xr:uid="{00000000-0006-0000-0000-00000500000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A10" authorId="0" shapeId="0" xr:uid="{00000000-0006-0000-0100-00000100000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xr:uid="{00000000-0006-0000-0100-00000200000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xr:uid="{00000000-0006-0000-0100-00000300000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1" authorId="0" shapeId="0" xr:uid="{00000000-0006-0000-0100-000005000000}">
      <text>
        <r>
          <rPr>
            <b/>
            <sz val="9"/>
            <color indexed="81"/>
            <rFont val="Tahoma"/>
            <family val="2"/>
          </rPr>
          <t>Erik Kobayashi-Solomon:</t>
        </r>
        <r>
          <rPr>
            <sz val="9"/>
            <color indexed="81"/>
            <rFont val="Tahoma"/>
            <family val="2"/>
          </rPr>
          <t xml:space="preserve">
Enter as a negative value.</t>
        </r>
      </text>
    </comment>
    <comment ref="A25" authorId="0" shapeId="0" xr:uid="{00000000-0006-0000-0100-000007000000}">
      <text>
        <r>
          <rPr>
            <b/>
            <sz val="9"/>
            <color indexed="81"/>
            <rFont val="Tahoma"/>
            <family val="2"/>
          </rPr>
          <t>Erik Kobayashi-Solomon:</t>
        </r>
        <r>
          <rPr>
            <sz val="9"/>
            <color indexed="81"/>
            <rFont val="Tahoma"/>
            <family val="2"/>
          </rPr>
          <t xml:space="preserve">
Make sure that you get the units right on this.</t>
        </r>
      </text>
    </comment>
  </commentList>
</comments>
</file>

<file path=xl/sharedStrings.xml><?xml version="1.0" encoding="utf-8"?>
<sst xmlns="http://schemas.openxmlformats.org/spreadsheetml/2006/main" count="443" uniqueCount="233">
  <si>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</si>
  <si>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</si>
  <si>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</si>
  <si>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</si>
  <si>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</si>
  <si>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</si>
  <si>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</si>
  <si>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</si>
  <si>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</si>
  <si>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</si>
  <si>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</si>
  <si>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</si>
  <si>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</si>
  <si>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</si>
  <si>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</si>
  <si>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</si>
  <si>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</si>
  <si>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</si>
  <si>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</si>
  <si>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</si>
  <si>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</si>
  <si>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</si>
  <si>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</si>
  <si>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</si>
  <si>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</si>
  <si>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</si>
  <si>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</si>
  <si>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</si>
  <si>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</si>
  <si>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</si>
  <si>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</si>
  <si>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</si>
  <si>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</si>
  <si>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</si>
  <si>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</si>
  <si>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</si>
  <si>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</si>
  <si>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</si>
  <si>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</si>
  <si>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</si>
  <si>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</si>
  <si>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</si>
  <si>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</si>
  <si>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</si>
  <si>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</si>
  <si>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</si>
  <si>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</si>
  <si>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</si>
  <si>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</si>
  <si>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</si>
  <si>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</si>
  <si>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</si>
  <si>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</si>
  <si>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</si>
  <si>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</si>
  <si>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</si>
  <si>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</si>
  <si>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</si>
  <si>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</si>
  <si>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</si>
  <si>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</si>
  <si>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</si>
  <si>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</si>
  <si>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</si>
  <si>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</si>
  <si>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</si>
  <si>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</si>
  <si>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</si>
  <si>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</si>
  <si>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</si>
  <si>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</si>
  <si>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</si>
  <si>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</si>
  <si>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</si>
  <si>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</si>
  <si>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</si>
  <si>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</si>
  <si>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</si>
  <si>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</si>
  <si>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</si>
  <si>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</si>
  <si>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</si>
  <si>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</si>
  <si>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</si>
  <si>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</si>
  <si>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</si>
  <si>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</si>
  <si>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</si>
  <si>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</si>
  <si>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</si>
  <si>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</si>
  <si>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</si>
  <si>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</si>
  <si>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</si>
  <si>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</si>
  <si>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</si>
  <si>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</si>
  <si>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</si>
  <si>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</si>
  <si>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</si>
  <si>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</si>
  <si>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</si>
  <si>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</si>
  <si>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</si>
  <si>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</si>
  <si>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</si>
  <si>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</si>
  <si>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</si>
  <si>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</si>
  <si>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</si>
  <si>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</si>
  <si>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</si>
  <si>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</si>
  <si>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</si>
  <si>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</si>
  <si>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</si>
  <si>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</si>
  <si>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</si>
  <si>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</si>
  <si>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</si>
  <si>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</si>
  <si>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</si>
  <si>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</si>
  <si>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</si>
  <si>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</si>
  <si>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</si>
  <si>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</si>
  <si>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</si>
  <si>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</si>
  <si>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</si>
  <si>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</si>
  <si>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</si>
  <si>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</si>
  <si>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</si>
  <si>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</si>
  <si>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</si>
  <si>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</si>
  <si>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</si>
  <si>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</si>
  <si>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</si>
  <si>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</si>
  <si>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</si>
  <si>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</si>
  <si>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</si>
  <si>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</si>
  <si>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</si>
  <si>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</si>
  <si>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</si>
  <si>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</si>
  <si>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</si>
  <si>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</si>
  <si>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</si>
  <si>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</si>
  <si>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</si>
  <si>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</si>
  <si>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</si>
  <si>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</si>
  <si>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</si>
  <si>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</si>
  <si>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</si>
  <si>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</si>
  <si>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</si>
  <si>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</si>
  <si>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</si>
  <si>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</si>
  <si>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</si>
  <si>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</si>
  <si>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</si>
  <si>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</si>
  <si>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</si>
  <si>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</si>
  <si>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</si>
  <si>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</si>
  <si>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</si>
  <si>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</si>
  <si>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</si>
  <si>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</si>
  <si>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</si>
  <si>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</si>
  <si>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</si>
  <si>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</si>
  <si>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</si>
  <si>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</si>
  <si>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</si>
  <si>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</si>
  <si>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</si>
  <si>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</si>
  <si>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</si>
  <si>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</si>
  <si>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Macquarie Infrastructure Corporation</t>
  </si>
  <si>
    <t>MIC</t>
  </si>
  <si>
    <t>LT Debt Issued</t>
  </si>
  <si>
    <t>LT Debt Redeemed</t>
  </si>
  <si>
    <t>Issuance of Shares</t>
  </si>
  <si>
    <t>Dividends Paid</t>
  </si>
  <si>
    <t>Contributions from Non-Controlling</t>
  </si>
  <si>
    <t>Purchase of Non-Controlling</t>
  </si>
  <si>
    <t>Distributions to Non-Controlling</t>
  </si>
  <si>
    <t>Offering Costs</t>
  </si>
  <si>
    <t>Debt finance Costs</t>
  </si>
  <si>
    <t>Proceeds from Convertibles</t>
  </si>
  <si>
    <t>Change in Restricted Cash</t>
  </si>
  <si>
    <t>Capital Lease Obligations</t>
  </si>
  <si>
    <t>Net (payments) proceeds ST Debt</t>
  </si>
  <si>
    <t>Distributions to LLC Holders</t>
  </si>
  <si>
    <t>Debt Funding (Net)</t>
  </si>
  <si>
    <t>Equity Funding (incl. LLC)</t>
  </si>
  <si>
    <t>Dividends</t>
  </si>
  <si>
    <t>Non-Controlling (Net)</t>
  </si>
  <si>
    <t>Capital Leases</t>
  </si>
  <si>
    <t>OCP</t>
  </si>
  <si>
    <t>Debt Funding</t>
  </si>
  <si>
    <t>Net ECF (ex-ADSB)</t>
  </si>
  <si>
    <t>Net ECF</t>
  </si>
  <si>
    <t>Equity Funding</t>
  </si>
  <si>
    <t>Net Funding / Investment</t>
  </si>
  <si>
    <t>Macquarie Infrastructure Shares Outstanding</t>
  </si>
  <si>
    <t>ECF</t>
  </si>
  <si>
    <t>Shares Out</t>
  </si>
  <si>
    <t>Div/Share</t>
  </si>
  <si>
    <t>OCF</t>
  </si>
  <si>
    <t>MAINX</t>
  </si>
  <si>
    <t>Book Value</t>
  </si>
  <si>
    <t>Long Term Debt</t>
  </si>
  <si>
    <t>Macquarie Infrastructure Interest Expense (Annual)</t>
  </si>
  <si>
    <t>Interest Expense</t>
  </si>
  <si>
    <t>Int / Share</t>
  </si>
  <si>
    <t>OCP / Share</t>
  </si>
  <si>
    <t>Revenues per Share</t>
  </si>
  <si>
    <t>Maint</t>
  </si>
  <si>
    <t>CFO</t>
  </si>
  <si>
    <t>Per Share Values</t>
  </si>
  <si>
    <t>Cash added (subtracted) to back into dividend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</si>
</sst>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s>
  <fonts count="53">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70">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167" fontId="0" fillId="0" borderId="0" xfId="3" applyNumberFormat="1" applyFont="1"/>
    <xf numFmtId="43" fontId="0" fillId="0" borderId="0" xfId="1" applyFont="1"/>
    <xf numFmtId="14" fontId="0" fillId="0" borderId="6" xfId="0" applyNumberFormat="1" applyBorder="1"/>
    <xf numFmtId="165" fontId="0" fillId="0" borderId="6" xfId="1" applyNumberFormat="1" applyFont="1" applyBorder="1"/>
    <xf numFmtId="43" fontId="0" fillId="2" borderId="1" xfId="1" applyNumberFormat="1" applyFont="1" applyFill="1" applyBorder="1" applyProtection="1">
      <protection locked="0"/>
    </xf>
    <xf numFmtId="43" fontId="0" fillId="2" borderId="0" xfId="1" applyNumberFormat="1" applyFont="1" applyFill="1" applyProtection="1">
      <protection locked="0"/>
    </xf>
    <xf numFmtId="43" fontId="0" fillId="0" borderId="0" xfId="1" applyNumberFormat="1" applyFont="1" applyFill="1" applyProtection="1">
      <protection locked="0"/>
    </xf>
    <xf numFmtId="43" fontId="0" fillId="0" borderId="2" xfId="1" applyNumberFormat="1" applyFont="1" applyBorder="1"/>
    <xf numFmtId="0" fontId="0" fillId="9" borderId="2" xfId="0" applyFill="1" applyBorder="1"/>
    <xf numFmtId="0" fontId="0" fillId="9" borderId="0" xfId="0" applyFill="1" applyAlignment="1">
      <alignment horizontal="left" indent="1"/>
    </xf>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cellXfs>
  <cellStyles count="127">
    <cellStyle name="$(0)" xfId="8" xr:uid="{00000000-0005-0000-0000-000000000000}"/>
    <cellStyle name="(0)" xfId="9" xr:uid="{00000000-0005-0000-0000-000001000000}"/>
    <cellStyle name="(0.0%)" xfId="10" xr:uid="{00000000-0005-0000-0000-000002000000}"/>
    <cellStyle name="75" xfId="11" xr:uid="{00000000-0005-0000-0000-000003000000}"/>
    <cellStyle name="AcNote" xfId="12" xr:uid="{00000000-0005-0000-0000-000004000000}"/>
    <cellStyle name="ÅëÈ­ [0]_±âÅ¸" xfId="13" xr:uid="{00000000-0005-0000-0000-000005000000}"/>
    <cellStyle name="ÅëÈ­_±âÅ¸" xfId="14" xr:uid="{00000000-0005-0000-0000-000006000000}"/>
    <cellStyle name="args.style" xfId="15" xr:uid="{00000000-0005-0000-0000-000007000000}"/>
    <cellStyle name="ÄÞ¸¶ [0]_±âÅ¸" xfId="16" xr:uid="{00000000-0005-0000-0000-000008000000}"/>
    <cellStyle name="ÄÞ¸¶_±âÅ¸" xfId="17" xr:uid="{00000000-0005-0000-0000-000009000000}"/>
    <cellStyle name="Body" xfId="18" xr:uid="{00000000-0005-0000-0000-00000A000000}"/>
    <cellStyle name="Ç¥ÁØ_¿¬°£´©°è¿¹»ó" xfId="19" xr:uid="{00000000-0005-0000-0000-00000B000000}"/>
    <cellStyle name="Calc Currency (0)" xfId="20" xr:uid="{00000000-0005-0000-0000-00000C000000}"/>
    <cellStyle name="Calc Currency (2)" xfId="21" xr:uid="{00000000-0005-0000-0000-00000D000000}"/>
    <cellStyle name="Calc Percent (0)" xfId="22" xr:uid="{00000000-0005-0000-0000-00000E000000}"/>
    <cellStyle name="Calc Percent (1)" xfId="23" xr:uid="{00000000-0005-0000-0000-00000F000000}"/>
    <cellStyle name="Calc Percent (2)" xfId="24" xr:uid="{00000000-0005-0000-0000-000010000000}"/>
    <cellStyle name="Calc Units (0)" xfId="25" xr:uid="{00000000-0005-0000-0000-000011000000}"/>
    <cellStyle name="Calc Units (1)" xfId="26" xr:uid="{00000000-0005-0000-0000-000012000000}"/>
    <cellStyle name="Calc Units (2)" xfId="27" xr:uid="{00000000-0005-0000-0000-000013000000}"/>
    <cellStyle name="Comma" xfId="1" builtinId="3"/>
    <cellStyle name="Comma  - Style1" xfId="28" xr:uid="{00000000-0005-0000-0000-000015000000}"/>
    <cellStyle name="Comma  - Style2" xfId="29" xr:uid="{00000000-0005-0000-0000-000016000000}"/>
    <cellStyle name="Comma  - Style3" xfId="30" xr:uid="{00000000-0005-0000-0000-000017000000}"/>
    <cellStyle name="Comma  - Style4" xfId="31" xr:uid="{00000000-0005-0000-0000-000018000000}"/>
    <cellStyle name="Comma  - Style5" xfId="32" xr:uid="{00000000-0005-0000-0000-000019000000}"/>
    <cellStyle name="Comma  - Style6" xfId="33" xr:uid="{00000000-0005-0000-0000-00001A000000}"/>
    <cellStyle name="Comma  - Style7" xfId="34" xr:uid="{00000000-0005-0000-0000-00001B000000}"/>
    <cellStyle name="Comma  - Style8" xfId="35" xr:uid="{00000000-0005-0000-0000-00001C000000}"/>
    <cellStyle name="Comma [00]" xfId="36" xr:uid="{00000000-0005-0000-0000-00001D000000}"/>
    <cellStyle name="Comma 2" xfId="6" xr:uid="{00000000-0005-0000-0000-00001E000000}"/>
    <cellStyle name="Comma0" xfId="37" xr:uid="{00000000-0005-0000-0000-00001F000000}"/>
    <cellStyle name="Copied" xfId="38" xr:uid="{00000000-0005-0000-0000-000020000000}"/>
    <cellStyle name="Currency" xfId="2" builtinId="4"/>
    <cellStyle name="Currency [00]" xfId="39" xr:uid="{00000000-0005-0000-0000-000022000000}"/>
    <cellStyle name="Currency 2" xfId="40" xr:uid="{00000000-0005-0000-0000-000023000000}"/>
    <cellStyle name="Currency M*" xfId="41" xr:uid="{00000000-0005-0000-0000-000024000000}"/>
    <cellStyle name="Currency0" xfId="42" xr:uid="{00000000-0005-0000-0000-000025000000}"/>
    <cellStyle name="Currwncy [0]_laroux_1¿ùÈ¸ºñ³»¿ª (2)_±¸¹Ì´ëÃ¥" xfId="43" xr:uid="{00000000-0005-0000-0000-000026000000}"/>
    <cellStyle name="Date" xfId="44" xr:uid="{00000000-0005-0000-0000-000027000000}"/>
    <cellStyle name="Date Short" xfId="45" xr:uid="{00000000-0005-0000-0000-000028000000}"/>
    <cellStyle name="Date_BRANCHWISE FOR BDTEAM FY 07-08(BEFORE AUDIT)" xfId="46" xr:uid="{00000000-0005-0000-0000-000029000000}"/>
    <cellStyle name="DELTA" xfId="47" xr:uid="{00000000-0005-0000-0000-00002A000000}"/>
    <cellStyle name="Dollar" xfId="48" xr:uid="{00000000-0005-0000-0000-00002B000000}"/>
    <cellStyle name="Dollar0Decimals" xfId="49" xr:uid="{00000000-0005-0000-0000-00002C000000}"/>
    <cellStyle name="Dollar2Decimals" xfId="50" xr:uid="{00000000-0005-0000-0000-00002D000000}"/>
    <cellStyle name="Enter Currency (0)" xfId="51" xr:uid="{00000000-0005-0000-0000-00002E000000}"/>
    <cellStyle name="Enter Currency (2)" xfId="52" xr:uid="{00000000-0005-0000-0000-00002F000000}"/>
    <cellStyle name="Enter Units (0)" xfId="53" xr:uid="{00000000-0005-0000-0000-000030000000}"/>
    <cellStyle name="Enter Units (1)" xfId="54" xr:uid="{00000000-0005-0000-0000-000031000000}"/>
    <cellStyle name="Enter Units (2)" xfId="55" xr:uid="{00000000-0005-0000-0000-000032000000}"/>
    <cellStyle name="Entered" xfId="56" xr:uid="{00000000-0005-0000-0000-000033000000}"/>
    <cellStyle name="Euro" xfId="57" xr:uid="{00000000-0005-0000-0000-000034000000}"/>
    <cellStyle name="Fixed" xfId="58" xr:uid="{00000000-0005-0000-0000-000035000000}"/>
    <cellStyle name="Formula" xfId="59" xr:uid="{00000000-0005-0000-0000-000036000000}"/>
    <cellStyle name="Grey" xfId="60" xr:uid="{00000000-0005-0000-0000-000037000000}"/>
    <cellStyle name="Header" xfId="61" xr:uid="{00000000-0005-0000-0000-000038000000}"/>
    <cellStyle name="Header1" xfId="62" xr:uid="{00000000-0005-0000-0000-000039000000}"/>
    <cellStyle name="Header2" xfId="63" xr:uid="{00000000-0005-0000-0000-00003A000000}"/>
    <cellStyle name="HEADINGS" xfId="64" xr:uid="{00000000-0005-0000-0000-00003B000000}"/>
    <cellStyle name="HEADINGSTOP" xfId="65" xr:uid="{00000000-0005-0000-0000-00003C000000}"/>
    <cellStyle name="Hypertextový odkaz" xfId="66" xr:uid="{00000000-0005-0000-0000-00003D000000}"/>
    <cellStyle name="Input [yellow]" xfId="67" xr:uid="{00000000-0005-0000-0000-00003E000000}"/>
    <cellStyle name="Inputs" xfId="68" xr:uid="{00000000-0005-0000-0000-00003F000000}"/>
    <cellStyle name="Link Currency (0)" xfId="69" xr:uid="{00000000-0005-0000-0000-000040000000}"/>
    <cellStyle name="Link Currency (2)" xfId="70" xr:uid="{00000000-0005-0000-0000-000041000000}"/>
    <cellStyle name="Link Units (0)" xfId="71" xr:uid="{00000000-0005-0000-0000-000042000000}"/>
    <cellStyle name="Link Units (1)" xfId="72" xr:uid="{00000000-0005-0000-0000-000043000000}"/>
    <cellStyle name="Link Units (2)" xfId="73" xr:uid="{00000000-0005-0000-0000-000044000000}"/>
    <cellStyle name="Multiple" xfId="74" xr:uid="{00000000-0005-0000-0000-000045000000}"/>
    <cellStyle name="Name" xfId="75" xr:uid="{00000000-0005-0000-0000-000046000000}"/>
    <cellStyle name="New Times Roman" xfId="76" xr:uid="{00000000-0005-0000-0000-000047000000}"/>
    <cellStyle name="NewAcct" xfId="77" xr:uid="{00000000-0005-0000-0000-000048000000}"/>
    <cellStyle name="no dec" xfId="78" xr:uid="{00000000-0005-0000-0000-000049000000}"/>
    <cellStyle name="Normal" xfId="0" builtinId="0"/>
    <cellStyle name="Normal - Style1" xfId="79" xr:uid="{00000000-0005-0000-0000-00004B000000}"/>
    <cellStyle name="Normal 2" xfId="5" xr:uid="{00000000-0005-0000-0000-00004C000000}"/>
    <cellStyle name="Normal 3" xfId="80" xr:uid="{00000000-0005-0000-0000-00004D000000}"/>
    <cellStyle name="Normal 4" xfId="81" xr:uid="{00000000-0005-0000-0000-00004E000000}"/>
    <cellStyle name="Normal 5" xfId="82" xr:uid="{00000000-0005-0000-0000-00004F000000}"/>
    <cellStyle name="Normal 6" xfId="83" xr:uid="{00000000-0005-0000-0000-000050000000}"/>
    <cellStyle name="Normal 6 2" xfId="84" xr:uid="{00000000-0005-0000-0000-000051000000}"/>
    <cellStyle name="Normal 6 3" xfId="4" xr:uid="{00000000-0005-0000-0000-000052000000}"/>
    <cellStyle name="per.style" xfId="85" xr:uid="{00000000-0005-0000-0000-000053000000}"/>
    <cellStyle name="Percent" xfId="3" builtinId="5"/>
    <cellStyle name="Percent [0]" xfId="86" xr:uid="{00000000-0005-0000-0000-000055000000}"/>
    <cellStyle name="Percent [00]" xfId="87" xr:uid="{00000000-0005-0000-0000-000056000000}"/>
    <cellStyle name="Percent [2]" xfId="88" xr:uid="{00000000-0005-0000-0000-000057000000}"/>
    <cellStyle name="Percent 2" xfId="7" xr:uid="{00000000-0005-0000-0000-000058000000}"/>
    <cellStyle name="Plain2Decimals" xfId="89" xr:uid="{00000000-0005-0000-0000-000059000000}"/>
    <cellStyle name="PlainDollar" xfId="90" xr:uid="{00000000-0005-0000-0000-00005A000000}"/>
    <cellStyle name="PlainDollarBoldwBorders" xfId="91" xr:uid="{00000000-0005-0000-0000-00005B000000}"/>
    <cellStyle name="PlainDollardBLUndLine" xfId="92" xr:uid="{00000000-0005-0000-0000-00005C000000}"/>
    <cellStyle name="PlainDollarSS" xfId="93" xr:uid="{00000000-0005-0000-0000-00005D000000}"/>
    <cellStyle name="PlainDollarUndLine" xfId="94" xr:uid="{00000000-0005-0000-0000-00005E000000}"/>
    <cellStyle name="Popis" xfId="95" xr:uid="{00000000-0005-0000-0000-00005F000000}"/>
    <cellStyle name="PrePop Currency (0)" xfId="96" xr:uid="{00000000-0005-0000-0000-000060000000}"/>
    <cellStyle name="PrePop Currency (2)" xfId="97" xr:uid="{00000000-0005-0000-0000-000061000000}"/>
    <cellStyle name="PrePop Units (0)" xfId="98" xr:uid="{00000000-0005-0000-0000-000062000000}"/>
    <cellStyle name="PrePop Units (1)" xfId="99" xr:uid="{00000000-0005-0000-0000-000063000000}"/>
    <cellStyle name="PrePop Units (2)" xfId="100" xr:uid="{00000000-0005-0000-0000-000064000000}"/>
    <cellStyle name="R(0)" xfId="101" xr:uid="{00000000-0005-0000-0000-000065000000}"/>
    <cellStyle name="regstoresfromspecstores" xfId="102" xr:uid="{00000000-0005-0000-0000-000066000000}"/>
    <cellStyle name="RevList" xfId="103" xr:uid="{00000000-0005-0000-0000-000067000000}"/>
    <cellStyle name="Row head" xfId="104" xr:uid="{00000000-0005-0000-0000-000068000000}"/>
    <cellStyle name="SCH1" xfId="105" xr:uid="{00000000-0005-0000-0000-000069000000}"/>
    <cellStyle name="ScratchPad" xfId="106" xr:uid="{00000000-0005-0000-0000-00006A000000}"/>
    <cellStyle name="SHADEDSTORES" xfId="107" xr:uid="{00000000-0005-0000-0000-00006B000000}"/>
    <cellStyle name="Sledovaný hypertextový odkaz" xfId="108" xr:uid="{00000000-0005-0000-0000-00006C000000}"/>
    <cellStyle name="specstores" xfId="109" xr:uid="{00000000-0005-0000-0000-00006D000000}"/>
    <cellStyle name="SSComma0" xfId="110" xr:uid="{00000000-0005-0000-0000-00006E000000}"/>
    <cellStyle name="SSComma2" xfId="111" xr:uid="{00000000-0005-0000-0000-00006F000000}"/>
    <cellStyle name="SSDecs3" xfId="112" xr:uid="{00000000-0005-0000-0000-000070000000}"/>
    <cellStyle name="SSDflt" xfId="113" xr:uid="{00000000-0005-0000-0000-000071000000}"/>
    <cellStyle name="SSDfltPct" xfId="114" xr:uid="{00000000-0005-0000-0000-000072000000}"/>
    <cellStyle name="SSDfltPct0" xfId="115" xr:uid="{00000000-0005-0000-0000-000073000000}"/>
    <cellStyle name="SSFixed2" xfId="116" xr:uid="{00000000-0005-0000-0000-000074000000}"/>
    <cellStyle name="Standard_Balance Sheet" xfId="117" xr:uid="{00000000-0005-0000-0000-000075000000}"/>
    <cellStyle name="Subtotal" xfId="118" xr:uid="{00000000-0005-0000-0000-000076000000}"/>
    <cellStyle name="Text Indent A" xfId="119" xr:uid="{00000000-0005-0000-0000-000077000000}"/>
    <cellStyle name="Text Indent B" xfId="120" xr:uid="{00000000-0005-0000-0000-000078000000}"/>
    <cellStyle name="Text Indent C" xfId="121" xr:uid="{00000000-0005-0000-0000-000079000000}"/>
    <cellStyle name="桁区切り [0.00]_PERSONAL" xfId="122" xr:uid="{00000000-0005-0000-0000-00007A000000}"/>
    <cellStyle name="桁区切り_PERSONAL" xfId="123" xr:uid="{00000000-0005-0000-0000-00007B000000}"/>
    <cellStyle name="標準_PERSONAL" xfId="124" xr:uid="{00000000-0005-0000-0000-00007C000000}"/>
    <cellStyle name="通貨 [0.00]_PERSONAL" xfId="125" xr:uid="{00000000-0005-0000-0000-00007D000000}"/>
    <cellStyle name="通貨_PERSONAL" xfId="126" xr:uid="{00000000-0005-0000-0000-00007E000000}"/>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575A5D"/>
      <color rgb="FF0049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chartsheet" Target="chartsheets/sheet8.xml"/><Relationship Id="rId18" Type="http://schemas.openxmlformats.org/officeDocument/2006/relationships/worksheet" Target="worksheets/sheet10.xml"/><Relationship Id="rId26" Type="http://schemas.openxmlformats.org/officeDocument/2006/relationships/theme" Target="theme/theme1.xml"/><Relationship Id="rId3" Type="http://schemas.openxmlformats.org/officeDocument/2006/relationships/chartsheet" Target="chartsheets/sheet1.xml"/><Relationship Id="rId21" Type="http://schemas.openxmlformats.org/officeDocument/2006/relationships/externalLink" Target="externalLinks/externalLink2.xml"/><Relationship Id="rId7" Type="http://schemas.openxmlformats.org/officeDocument/2006/relationships/chartsheet" Target="chartsheets/sheet2.xml"/><Relationship Id="rId12" Type="http://schemas.openxmlformats.org/officeDocument/2006/relationships/chartsheet" Target="chartsheets/sheet7.xml"/><Relationship Id="rId17" Type="http://schemas.openxmlformats.org/officeDocument/2006/relationships/worksheet" Target="worksheets/sheet9.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8.xml"/><Relationship Id="rId20" Type="http://schemas.openxmlformats.org/officeDocument/2006/relationships/externalLink" Target="externalLinks/externalLink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chartsheet" Target="chartsheets/sheet6.xml"/><Relationship Id="rId24" Type="http://schemas.openxmlformats.org/officeDocument/2006/relationships/externalLink" Target="externalLinks/externalLink5.xml"/><Relationship Id="rId5" Type="http://schemas.openxmlformats.org/officeDocument/2006/relationships/worksheet" Target="worksheets/sheet4.xml"/><Relationship Id="rId15" Type="http://schemas.openxmlformats.org/officeDocument/2006/relationships/worksheet" Target="worksheets/sheet7.xml"/><Relationship Id="rId23" Type="http://schemas.openxmlformats.org/officeDocument/2006/relationships/externalLink" Target="externalLinks/externalLink4.xml"/><Relationship Id="rId28" Type="http://schemas.openxmlformats.org/officeDocument/2006/relationships/sharedStrings" Target="sharedStrings.xml"/><Relationship Id="rId10" Type="http://schemas.openxmlformats.org/officeDocument/2006/relationships/chartsheet" Target="chartsheets/sheet5.xml"/><Relationship Id="rId19" Type="http://schemas.openxmlformats.org/officeDocument/2006/relationships/worksheet" Target="worksheets/sheet11.xml"/><Relationship Id="rId4" Type="http://schemas.openxmlformats.org/officeDocument/2006/relationships/worksheet" Target="worksheets/sheet3.xml"/><Relationship Id="rId9" Type="http://schemas.openxmlformats.org/officeDocument/2006/relationships/chartsheet" Target="chartsheets/sheet4.xml"/><Relationship Id="rId14" Type="http://schemas.openxmlformats.org/officeDocument/2006/relationships/worksheet" Target="worksheets/sheet6.xml"/><Relationship Id="rId22" Type="http://schemas.openxmlformats.org/officeDocument/2006/relationships/externalLink" Target="externalLinks/externalLink3.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t>Macquarie Infrastructure Investments vs Funding Sources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Funding!$A$28</c:f>
              <c:strCache>
                <c:ptCount val="1"/>
                <c:pt idx="0">
                  <c:v>Debt Funding</c:v>
                </c:pt>
              </c:strCache>
            </c:strRef>
          </c:tx>
          <c:spPr>
            <a:solidFill>
              <a:srgbClr val="575A5D"/>
            </a:solidFill>
            <a:ln>
              <a:noFill/>
            </a:ln>
            <a:effectLst/>
          </c:spPr>
          <c:invertIfNegative val="0"/>
          <c:cat>
            <c:numRef>
              <c:f>Funding!$B$27:$K$27</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Funding!$B$28:$K$28</c:f>
              <c:numCache>
                <c:formatCode>_(* #,##0_);_(* \(#,##0\);_(* "-"??_);_(@_)</c:formatCode>
                <c:ptCount val="10"/>
                <c:pt idx="0">
                  <c:v>422756</c:v>
                </c:pt>
                <c:pt idx="1">
                  <c:v>99271</c:v>
                </c:pt>
                <c:pt idx="2">
                  <c:v>-117021</c:v>
                </c:pt>
                <c:pt idx="3">
                  <c:v>-74081</c:v>
                </c:pt>
                <c:pt idx="4">
                  <c:v>-18328</c:v>
                </c:pt>
                <c:pt idx="5">
                  <c:v>-47612</c:v>
                </c:pt>
                <c:pt idx="6">
                  <c:v>-237114</c:v>
                </c:pt>
                <c:pt idx="7">
                  <c:v>199311</c:v>
                </c:pt>
                <c:pt idx="8">
                  <c:v>-91799</c:v>
                </c:pt>
                <c:pt idx="9">
                  <c:v>219880</c:v>
                </c:pt>
              </c:numCache>
            </c:numRef>
          </c:val>
          <c:extLst>
            <c:ext xmlns:c16="http://schemas.microsoft.com/office/drawing/2014/chart" uri="{C3380CC4-5D6E-409C-BE32-E72D297353CC}">
              <c16:uniqueId val="{00000000-EE27-4DC3-9A6B-414850B330B7}"/>
            </c:ext>
          </c:extLst>
        </c:ser>
        <c:ser>
          <c:idx val="1"/>
          <c:order val="1"/>
          <c:tx>
            <c:strRef>
              <c:f>Funding!$A$29</c:f>
              <c:strCache>
                <c:ptCount val="1"/>
                <c:pt idx="0">
                  <c:v>Equity Funding</c:v>
                </c:pt>
              </c:strCache>
            </c:strRef>
          </c:tx>
          <c:spPr>
            <a:solidFill>
              <a:srgbClr val="00B050"/>
            </a:solidFill>
            <a:ln>
              <a:noFill/>
            </a:ln>
            <a:effectLst/>
          </c:spPr>
          <c:invertIfNegative val="0"/>
          <c:cat>
            <c:numRef>
              <c:f>Funding!$B$27:$K$27</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Funding!$B$29:$K$29</c:f>
              <c:numCache>
                <c:formatCode>_(* #,##0_);_(* \(#,##0\);_(* "-"??_);_(@_)</c:formatCode>
                <c:ptCount val="10"/>
                <c:pt idx="0">
                  <c:v>143434</c:v>
                </c:pt>
                <c:pt idx="1">
                  <c:v>-95574</c:v>
                </c:pt>
                <c:pt idx="2">
                  <c:v>0</c:v>
                </c:pt>
                <c:pt idx="3">
                  <c:v>0</c:v>
                </c:pt>
                <c:pt idx="4">
                  <c:v>-27618</c:v>
                </c:pt>
                <c:pt idx="5">
                  <c:v>-112487</c:v>
                </c:pt>
                <c:pt idx="6">
                  <c:v>339554</c:v>
                </c:pt>
                <c:pt idx="7">
                  <c:v>739452</c:v>
                </c:pt>
                <c:pt idx="8">
                  <c:v>475449</c:v>
                </c:pt>
                <c:pt idx="9">
                  <c:v>11022</c:v>
                </c:pt>
              </c:numCache>
            </c:numRef>
          </c:val>
          <c:extLst>
            <c:ext xmlns:c16="http://schemas.microsoft.com/office/drawing/2014/chart" uri="{C3380CC4-5D6E-409C-BE32-E72D297353CC}">
              <c16:uniqueId val="{00000001-EE27-4DC3-9A6B-414850B330B7}"/>
            </c:ext>
          </c:extLst>
        </c:ser>
        <c:ser>
          <c:idx val="2"/>
          <c:order val="2"/>
          <c:tx>
            <c:strRef>
              <c:f>Funding!$A$30</c:f>
              <c:strCache>
                <c:ptCount val="1"/>
                <c:pt idx="0">
                  <c:v>OCP</c:v>
                </c:pt>
              </c:strCache>
            </c:strRef>
          </c:tx>
          <c:spPr>
            <a:solidFill>
              <a:srgbClr val="0049AA"/>
            </a:solidFill>
            <a:ln>
              <a:noFill/>
            </a:ln>
            <a:effectLst/>
          </c:spPr>
          <c:invertIfNegative val="0"/>
          <c:cat>
            <c:numRef>
              <c:f>Funding!$B$27:$K$27</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Funding!$B$30:$K$30</c:f>
              <c:numCache>
                <c:formatCode>_(* #,##0_);_(* \(#,##0\);_(* "-"??_);_(@_)</c:formatCode>
                <c:ptCount val="10"/>
                <c:pt idx="0">
                  <c:v>991.62070534334964</c:v>
                </c:pt>
                <c:pt idx="1">
                  <c:v>797.13921894659313</c:v>
                </c:pt>
                <c:pt idx="2">
                  <c:v>744.33243488493781</c:v>
                </c:pt>
                <c:pt idx="3">
                  <c:v>611.88496241233167</c:v>
                </c:pt>
                <c:pt idx="4">
                  <c:v>-46.472647004397906</c:v>
                </c:pt>
                <c:pt idx="5">
                  <c:v>2447.9173489814466</c:v>
                </c:pt>
                <c:pt idx="6">
                  <c:v>351.97092659106534</c:v>
                </c:pt>
                <c:pt idx="7">
                  <c:v>2002.9438458309135</c:v>
                </c:pt>
                <c:pt idx="8">
                  <c:v>3023.2234465028841</c:v>
                </c:pt>
                <c:pt idx="9">
                  <c:v>5287.4249672445849</c:v>
                </c:pt>
              </c:numCache>
            </c:numRef>
          </c:val>
          <c:extLst>
            <c:ext xmlns:c16="http://schemas.microsoft.com/office/drawing/2014/chart" uri="{C3380CC4-5D6E-409C-BE32-E72D297353CC}">
              <c16:uniqueId val="{00000002-EE27-4DC3-9A6B-414850B330B7}"/>
            </c:ext>
          </c:extLst>
        </c:ser>
        <c:ser>
          <c:idx val="3"/>
          <c:order val="3"/>
          <c:tx>
            <c:strRef>
              <c:f>Funding!$A$31</c:f>
              <c:strCache>
                <c:ptCount val="1"/>
                <c:pt idx="0">
                  <c:v>Net ECF (ex-ADSB)</c:v>
                </c:pt>
              </c:strCache>
            </c:strRef>
          </c:tx>
          <c:spPr>
            <a:solidFill>
              <a:srgbClr val="FF0000"/>
            </a:solidFill>
            <a:ln>
              <a:noFill/>
            </a:ln>
            <a:effectLst/>
          </c:spPr>
          <c:invertIfNegative val="0"/>
          <c:cat>
            <c:numRef>
              <c:f>Funding!$B$27:$K$27</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Funding!$B$31:$K$31</c:f>
              <c:numCache>
                <c:formatCode>_(* #,##0_);_(* \(#,##0\);_(* "-"??_);_(@_)</c:formatCode>
                <c:ptCount val="10"/>
                <c:pt idx="0">
                  <c:v>-991.62070534334964</c:v>
                </c:pt>
                <c:pt idx="1">
                  <c:v>-797.13921894659313</c:v>
                </c:pt>
                <c:pt idx="2">
                  <c:v>-744.33243488493781</c:v>
                </c:pt>
                <c:pt idx="3">
                  <c:v>-611.88496241233167</c:v>
                </c:pt>
                <c:pt idx="4">
                  <c:v>46.472647004397906</c:v>
                </c:pt>
                <c:pt idx="5">
                  <c:v>-77.469398444188982</c:v>
                </c:pt>
                <c:pt idx="6">
                  <c:v>1938.9718824384145</c:v>
                </c:pt>
                <c:pt idx="7">
                  <c:v>1380.6031146246244</c:v>
                </c:pt>
                <c:pt idx="8">
                  <c:v>1245.913676841632</c:v>
                </c:pt>
                <c:pt idx="9">
                  <c:v>-459.81900728236712</c:v>
                </c:pt>
              </c:numCache>
            </c:numRef>
          </c:val>
          <c:extLst>
            <c:ext xmlns:c16="http://schemas.microsoft.com/office/drawing/2014/chart" uri="{C3380CC4-5D6E-409C-BE32-E72D297353CC}">
              <c16:uniqueId val="{00000003-EE27-4DC3-9A6B-414850B330B7}"/>
            </c:ext>
          </c:extLst>
        </c:ser>
        <c:dLbls>
          <c:showLegendKey val="0"/>
          <c:showVal val="0"/>
          <c:showCatName val="0"/>
          <c:showSerName val="0"/>
          <c:showPercent val="0"/>
          <c:showBubbleSize val="0"/>
        </c:dLbls>
        <c:gapWidth val="150"/>
        <c:overlap val="100"/>
        <c:axId val="720868080"/>
        <c:axId val="720860536"/>
      </c:barChart>
      <c:lineChart>
        <c:grouping val="standard"/>
        <c:varyColors val="0"/>
        <c:ser>
          <c:idx val="4"/>
          <c:order val="4"/>
          <c:tx>
            <c:strRef>
              <c:f>Funding!$A$32</c:f>
              <c:strCache>
                <c:ptCount val="1"/>
                <c:pt idx="0">
                  <c:v>Net Funding / Investment</c:v>
                </c:pt>
              </c:strCache>
            </c:strRef>
          </c:tx>
          <c:spPr>
            <a:ln w="28575" cap="rnd">
              <a:solidFill>
                <a:schemeClr val="accent5"/>
              </a:solidFill>
              <a:round/>
            </a:ln>
            <a:effectLst/>
          </c:spPr>
          <c:marker>
            <c:symbol val="none"/>
          </c:marker>
          <c:cat>
            <c:numRef>
              <c:f>Funding!$B$27:$K$27</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Funding!$B$32:$K$32</c:f>
              <c:numCache>
                <c:formatCode>_(* #,##0_);_(* \(#,##0\);_(* "-"??_);_(@_)</c:formatCode>
                <c:ptCount val="10"/>
                <c:pt idx="0">
                  <c:v>566190</c:v>
                </c:pt>
                <c:pt idx="1">
                  <c:v>3697</c:v>
                </c:pt>
                <c:pt idx="2">
                  <c:v>-117021</c:v>
                </c:pt>
                <c:pt idx="3">
                  <c:v>-74081</c:v>
                </c:pt>
                <c:pt idx="4">
                  <c:v>-45946</c:v>
                </c:pt>
                <c:pt idx="5">
                  <c:v>-157728.55204946274</c:v>
                </c:pt>
                <c:pt idx="6">
                  <c:v>104730.94280902948</c:v>
                </c:pt>
                <c:pt idx="7">
                  <c:v>942146.54696045548</c:v>
                </c:pt>
                <c:pt idx="8">
                  <c:v>387919.13712334452</c:v>
                </c:pt>
                <c:pt idx="9">
                  <c:v>235729.60595996221</c:v>
                </c:pt>
              </c:numCache>
            </c:numRef>
          </c:val>
          <c:smooth val="0"/>
          <c:extLst>
            <c:ext xmlns:c16="http://schemas.microsoft.com/office/drawing/2014/chart" uri="{C3380CC4-5D6E-409C-BE32-E72D297353CC}">
              <c16:uniqueId val="{00000004-EE27-4DC3-9A6B-414850B330B7}"/>
            </c:ext>
          </c:extLst>
        </c:ser>
        <c:dLbls>
          <c:showLegendKey val="0"/>
          <c:showVal val="0"/>
          <c:showCatName val="0"/>
          <c:showSerName val="0"/>
          <c:showPercent val="0"/>
          <c:showBubbleSize val="0"/>
        </c:dLbls>
        <c:marker val="1"/>
        <c:smooth val="0"/>
        <c:axId val="720868080"/>
        <c:axId val="720860536"/>
      </c:lineChart>
      <c:catAx>
        <c:axId val="7208680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720860536"/>
        <c:crosses val="autoZero"/>
        <c:auto val="1"/>
        <c:lblAlgn val="ctr"/>
        <c:lblOffset val="100"/>
        <c:noMultiLvlLbl val="0"/>
      </c:catAx>
      <c:valAx>
        <c:axId val="720860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7208680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Macquarie Infrastructure Corporation (MIC)</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2.62</c:v>
                </c:pt>
                <c:pt idx="2">
                  <c:v>5.24</c:v>
                </c:pt>
                <c:pt idx="3">
                  <c:v>7.8599999999999994</c:v>
                </c:pt>
                <c:pt idx="4">
                  <c:v>10.48</c:v>
                </c:pt>
                <c:pt idx="5">
                  <c:v>13.100000000000001</c:v>
                </c:pt>
                <c:pt idx="6">
                  <c:v>15.72</c:v>
                </c:pt>
                <c:pt idx="7">
                  <c:v>18.340000000000003</c:v>
                </c:pt>
                <c:pt idx="8">
                  <c:v>20.96</c:v>
                </c:pt>
                <c:pt idx="9">
                  <c:v>23.58</c:v>
                </c:pt>
                <c:pt idx="10">
                  <c:v>26.2</c:v>
                </c:pt>
                <c:pt idx="11">
                  <c:v>28.819999999999997</c:v>
                </c:pt>
                <c:pt idx="12">
                  <c:v>31.439999999999994</c:v>
                </c:pt>
                <c:pt idx="13">
                  <c:v>34.059999999999995</c:v>
                </c:pt>
                <c:pt idx="14">
                  <c:v>36.68</c:v>
                </c:pt>
                <c:pt idx="15">
                  <c:v>39.299999999999997</c:v>
                </c:pt>
                <c:pt idx="16">
                  <c:v>41.92</c:v>
                </c:pt>
                <c:pt idx="17">
                  <c:v>44.540000000000006</c:v>
                </c:pt>
                <c:pt idx="18">
                  <c:v>47.160000000000004</c:v>
                </c:pt>
                <c:pt idx="19">
                  <c:v>49.780000000000008</c:v>
                </c:pt>
                <c:pt idx="20">
                  <c:v>52.400000000000013</c:v>
                </c:pt>
                <c:pt idx="21">
                  <c:v>55.02000000000001</c:v>
                </c:pt>
                <c:pt idx="22">
                  <c:v>57.640000000000015</c:v>
                </c:pt>
                <c:pt idx="23">
                  <c:v>60.260000000000019</c:v>
                </c:pt>
                <c:pt idx="24">
                  <c:v>62.880000000000017</c:v>
                </c:pt>
                <c:pt idx="25">
                  <c:v>65.500000000000014</c:v>
                </c:pt>
                <c:pt idx="26">
                  <c:v>68.120000000000019</c:v>
                </c:pt>
                <c:pt idx="27">
                  <c:v>70.740000000000023</c:v>
                </c:pt>
                <c:pt idx="28">
                  <c:v>73.360000000000028</c:v>
                </c:pt>
                <c:pt idx="29">
                  <c:v>75.980000000000018</c:v>
                </c:pt>
                <c:pt idx="30">
                  <c:v>78.600000000000023</c:v>
                </c:pt>
                <c:pt idx="31">
                  <c:v>81.220000000000027</c:v>
                </c:pt>
                <c:pt idx="32">
                  <c:v>83.840000000000032</c:v>
                </c:pt>
                <c:pt idx="33">
                  <c:v>86.460000000000036</c:v>
                </c:pt>
                <c:pt idx="34">
                  <c:v>89.080000000000041</c:v>
                </c:pt>
                <c:pt idx="35">
                  <c:v>91.700000000000031</c:v>
                </c:pt>
                <c:pt idx="36">
                  <c:v>94.320000000000036</c:v>
                </c:pt>
                <c:pt idx="37">
                  <c:v>96.94000000000004</c:v>
                </c:pt>
                <c:pt idx="38">
                  <c:v>99.560000000000045</c:v>
                </c:pt>
                <c:pt idx="39">
                  <c:v>102.18000000000005</c:v>
                </c:pt>
                <c:pt idx="40">
                  <c:v>104.80000000000005</c:v>
                </c:pt>
                <c:pt idx="41">
                  <c:v>107.42000000000006</c:v>
                </c:pt>
                <c:pt idx="42">
                  <c:v>110.04000000000005</c:v>
                </c:pt>
                <c:pt idx="43">
                  <c:v>112.66000000000005</c:v>
                </c:pt>
                <c:pt idx="44">
                  <c:v>115.28000000000006</c:v>
                </c:pt>
                <c:pt idx="45">
                  <c:v>117.90000000000006</c:v>
                </c:pt>
                <c:pt idx="46">
                  <c:v>120.52000000000007</c:v>
                </c:pt>
                <c:pt idx="47">
                  <c:v>123.14000000000007</c:v>
                </c:pt>
                <c:pt idx="48">
                  <c:v>125.76000000000006</c:v>
                </c:pt>
                <c:pt idx="49">
                  <c:v>128.38000000000008</c:v>
                </c:pt>
                <c:pt idx="50">
                  <c:v>131.00000000000006</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6.25E-2</c:v>
                </c:pt>
                <c:pt idx="26">
                  <c:v>6.25E-2</c:v>
                </c:pt>
                <c:pt idx="27">
                  <c:v>0</c:v>
                </c:pt>
                <c:pt idx="28">
                  <c:v>6.25E-2</c:v>
                </c:pt>
                <c:pt idx="29">
                  <c:v>0</c:v>
                </c:pt>
                <c:pt idx="30">
                  <c:v>0</c:v>
                </c:pt>
                <c:pt idx="31">
                  <c:v>6.25E-2</c:v>
                </c:pt>
                <c:pt idx="32">
                  <c:v>0</c:v>
                </c:pt>
                <c:pt idx="33">
                  <c:v>0</c:v>
                </c:pt>
                <c:pt idx="34">
                  <c:v>0</c:v>
                </c:pt>
                <c:pt idx="35">
                  <c:v>0</c:v>
                </c:pt>
                <c:pt idx="36">
                  <c:v>0</c:v>
                </c:pt>
                <c:pt idx="37">
                  <c:v>6.25E-2</c:v>
                </c:pt>
                <c:pt idx="38">
                  <c:v>0</c:v>
                </c:pt>
                <c:pt idx="39">
                  <c:v>0</c:v>
                </c:pt>
                <c:pt idx="40">
                  <c:v>0</c:v>
                </c:pt>
                <c:pt idx="41">
                  <c:v>6.25E-2</c:v>
                </c:pt>
                <c:pt idx="42">
                  <c:v>6.25E-2</c:v>
                </c:pt>
                <c:pt idx="43">
                  <c:v>0</c:v>
                </c:pt>
                <c:pt idx="44">
                  <c:v>0</c:v>
                </c:pt>
                <c:pt idx="45">
                  <c:v>0</c:v>
                </c:pt>
                <c:pt idx="46">
                  <c:v>6.25E-2</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2.62</c:v>
                </c:pt>
                <c:pt idx="2">
                  <c:v>5.24</c:v>
                </c:pt>
                <c:pt idx="3">
                  <c:v>7.8599999999999994</c:v>
                </c:pt>
                <c:pt idx="4">
                  <c:v>10.48</c:v>
                </c:pt>
                <c:pt idx="5">
                  <c:v>13.100000000000001</c:v>
                </c:pt>
                <c:pt idx="6">
                  <c:v>15.72</c:v>
                </c:pt>
                <c:pt idx="7">
                  <c:v>18.340000000000003</c:v>
                </c:pt>
                <c:pt idx="8">
                  <c:v>20.96</c:v>
                </c:pt>
                <c:pt idx="9">
                  <c:v>23.58</c:v>
                </c:pt>
                <c:pt idx="10">
                  <c:v>26.2</c:v>
                </c:pt>
                <c:pt idx="11">
                  <c:v>28.819999999999997</c:v>
                </c:pt>
                <c:pt idx="12">
                  <c:v>31.439999999999994</c:v>
                </c:pt>
                <c:pt idx="13">
                  <c:v>34.059999999999995</c:v>
                </c:pt>
                <c:pt idx="14">
                  <c:v>36.68</c:v>
                </c:pt>
                <c:pt idx="15">
                  <c:v>39.299999999999997</c:v>
                </c:pt>
                <c:pt idx="16">
                  <c:v>41.92</c:v>
                </c:pt>
                <c:pt idx="17">
                  <c:v>44.540000000000006</c:v>
                </c:pt>
                <c:pt idx="18">
                  <c:v>47.160000000000004</c:v>
                </c:pt>
                <c:pt idx="19">
                  <c:v>49.780000000000008</c:v>
                </c:pt>
                <c:pt idx="20">
                  <c:v>52.400000000000013</c:v>
                </c:pt>
                <c:pt idx="21">
                  <c:v>55.02000000000001</c:v>
                </c:pt>
                <c:pt idx="22">
                  <c:v>57.640000000000015</c:v>
                </c:pt>
                <c:pt idx="23">
                  <c:v>60.260000000000019</c:v>
                </c:pt>
                <c:pt idx="24">
                  <c:v>62.880000000000017</c:v>
                </c:pt>
                <c:pt idx="25">
                  <c:v>65.500000000000014</c:v>
                </c:pt>
                <c:pt idx="26">
                  <c:v>68.120000000000019</c:v>
                </c:pt>
                <c:pt idx="27">
                  <c:v>70.740000000000023</c:v>
                </c:pt>
                <c:pt idx="28">
                  <c:v>73.360000000000028</c:v>
                </c:pt>
                <c:pt idx="29">
                  <c:v>75.980000000000018</c:v>
                </c:pt>
                <c:pt idx="30">
                  <c:v>78.600000000000023</c:v>
                </c:pt>
                <c:pt idx="31">
                  <c:v>81.220000000000027</c:v>
                </c:pt>
                <c:pt idx="32">
                  <c:v>83.840000000000032</c:v>
                </c:pt>
                <c:pt idx="33">
                  <c:v>86.460000000000036</c:v>
                </c:pt>
                <c:pt idx="34">
                  <c:v>89.080000000000041</c:v>
                </c:pt>
                <c:pt idx="35">
                  <c:v>91.700000000000031</c:v>
                </c:pt>
                <c:pt idx="36">
                  <c:v>94.320000000000036</c:v>
                </c:pt>
                <c:pt idx="37">
                  <c:v>96.94000000000004</c:v>
                </c:pt>
                <c:pt idx="38">
                  <c:v>99.560000000000045</c:v>
                </c:pt>
                <c:pt idx="39">
                  <c:v>102.18000000000005</c:v>
                </c:pt>
                <c:pt idx="40">
                  <c:v>104.80000000000005</c:v>
                </c:pt>
                <c:pt idx="41">
                  <c:v>107.42000000000006</c:v>
                </c:pt>
                <c:pt idx="42">
                  <c:v>110.04000000000005</c:v>
                </c:pt>
                <c:pt idx="43">
                  <c:v>112.66000000000005</c:v>
                </c:pt>
                <c:pt idx="44">
                  <c:v>115.28000000000006</c:v>
                </c:pt>
                <c:pt idx="45">
                  <c:v>117.90000000000006</c:v>
                </c:pt>
                <c:pt idx="46">
                  <c:v>120.52000000000007</c:v>
                </c:pt>
                <c:pt idx="47">
                  <c:v>123.14000000000007</c:v>
                </c:pt>
                <c:pt idx="48">
                  <c:v>125.76000000000006</c:v>
                </c:pt>
                <c:pt idx="49">
                  <c:v>128.38000000000008</c:v>
                </c:pt>
                <c:pt idx="50">
                  <c:v>131.00000000000006</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0</c:v>
                </c:pt>
                <c:pt idx="1">
                  <c:v>1.4983337149249496E-85</c:v>
                </c:pt>
                <c:pt idx="2">
                  <c:v>2.4524601893447664E-54</c:v>
                </c:pt>
                <c:pt idx="3">
                  <c:v>2.1685866823799947E-39</c:v>
                </c:pt>
                <c:pt idx="4">
                  <c:v>2.8266604889620866E-30</c:v>
                </c:pt>
                <c:pt idx="5">
                  <c:v>4.6598470453671624E-24</c:v>
                </c:pt>
                <c:pt idx="6">
                  <c:v>1.56414946110489E-19</c:v>
                </c:pt>
                <c:pt idx="7">
                  <c:v>4.2860296131313886E-16</c:v>
                </c:pt>
                <c:pt idx="8">
                  <c:v>2.0984453120867788E-13</c:v>
                </c:pt>
                <c:pt idx="9">
                  <c:v>2.9678776096723999E-11</c:v>
                </c:pt>
                <c:pt idx="10">
                  <c:v>1.6586814105812844E-9</c:v>
                </c:pt>
                <c:pt idx="11">
                  <c:v>4.5379959935010465E-8</c:v>
                </c:pt>
                <c:pt idx="12">
                  <c:v>7.075530512029139E-7</c:v>
                </c:pt>
                <c:pt idx="13">
                  <c:v>7.0264862580660706E-6</c:v>
                </c:pt>
                <c:pt idx="14">
                  <c:v>4.8309415292168487E-5</c:v>
                </c:pt>
                <c:pt idx="15">
                  <c:v>2.451352495998975E-4</c:v>
                </c:pt>
                <c:pt idx="16">
                  <c:v>9.6500577751284296E-4</c:v>
                </c:pt>
                <c:pt idx="17">
                  <c:v>3.0660853454657078E-3</c:v>
                </c:pt>
                <c:pt idx="18">
                  <c:v>8.1166647041340124E-3</c:v>
                </c:pt>
                <c:pt idx="19">
                  <c:v>1.8371488598026755E-2</c:v>
                </c:pt>
                <c:pt idx="20">
                  <c:v>3.6318087379727491E-2</c:v>
                </c:pt>
                <c:pt idx="21">
                  <c:v>6.3823995055812002E-2</c:v>
                </c:pt>
                <c:pt idx="22">
                  <c:v>0.10119317722862206</c:v>
                </c:pt>
                <c:pt idx="23">
                  <c:v>0.14657050940738284</c:v>
                </c:pt>
                <c:pt idx="24">
                  <c:v>0.19601026296257804</c:v>
                </c:pt>
                <c:pt idx="25">
                  <c:v>0.24422536870074124</c:v>
                </c:pt>
                <c:pt idx="26">
                  <c:v>0.28574309442199602</c:v>
                </c:pt>
                <c:pt idx="27">
                  <c:v>0.31606023388180393</c:v>
                </c:pt>
                <c:pt idx="28">
                  <c:v>0.33245009241825552</c:v>
                </c:pt>
                <c:pt idx="29">
                  <c:v>0.33425375857748146</c:v>
                </c:pt>
                <c:pt idx="30">
                  <c:v>0.32268343980168551</c:v>
                </c:pt>
                <c:pt idx="31">
                  <c:v>0.30029756704040056</c:v>
                </c:pt>
                <c:pt idx="32">
                  <c:v>0.27034992678694714</c:v>
                </c:pt>
                <c:pt idx="33">
                  <c:v>0.23618520419302705</c:v>
                </c:pt>
                <c:pt idx="34">
                  <c:v>0.20078681707135856</c:v>
                </c:pt>
                <c:pt idx="35">
                  <c:v>0.16651327243857378</c:v>
                </c:pt>
                <c:pt idx="36">
                  <c:v>0.13500700461372869</c:v>
                </c:pt>
                <c:pt idx="37">
                  <c:v>0.10723135506558802</c:v>
                </c:pt>
                <c:pt idx="38">
                  <c:v>8.3584016898368182E-2</c:v>
                </c:pt>
                <c:pt idx="39">
                  <c:v>6.4041645530840477E-2</c:v>
                </c:pt>
                <c:pt idx="40">
                  <c:v>4.8303007816018761E-2</c:v>
                </c:pt>
                <c:pt idx="41">
                  <c:v>3.5911489839348235E-2</c:v>
                </c:pt>
                <c:pt idx="42">
                  <c:v>2.6348896048579235E-2</c:v>
                </c:pt>
                <c:pt idx="43">
                  <c:v>1.9100126324634516E-2</c:v>
                </c:pt>
                <c:pt idx="44">
                  <c:v>1.3692660121982501E-2</c:v>
                </c:pt>
                <c:pt idx="45">
                  <c:v>9.7165581619502849E-3</c:v>
                </c:pt>
                <c:pt idx="46">
                  <c:v>6.8307998097817619E-3</c:v>
                </c:pt>
                <c:pt idx="47">
                  <c:v>4.760977798339304E-3</c:v>
                </c:pt>
                <c:pt idx="48">
                  <c:v>3.2922276275894591E-3</c:v>
                </c:pt>
                <c:pt idx="49">
                  <c:v>2.2601200297434516E-3</c:v>
                </c:pt>
                <c:pt idx="50">
                  <c:v>1.5412658566797753E-3</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'Shares Out'!$G$109</c:f>
              <c:strCache>
                <c:ptCount val="1"/>
                <c:pt idx="0">
                  <c:v>Book Value</c:v>
                </c:pt>
              </c:strCache>
            </c:strRef>
          </c:tx>
          <c:spPr>
            <a:ln w="28575" cap="rnd">
              <a:solidFill>
                <a:schemeClr val="accent1"/>
              </a:solidFill>
              <a:round/>
            </a:ln>
            <a:effectLst/>
          </c:spPr>
          <c:marker>
            <c:symbol val="none"/>
          </c:marker>
          <c:cat>
            <c:numRef>
              <c:f>'Shares Out'!$F$110:$F$119</c:f>
              <c:numCache>
                <c:formatCode>m/d/yyyy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'Shares Out'!$G$110:$G$119</c:f>
              <c:numCache>
                <c:formatCode>General</c:formatCode>
                <c:ptCount val="10"/>
                <c:pt idx="0">
                  <c:v>973.72400000000005</c:v>
                </c:pt>
                <c:pt idx="1">
                  <c:v>628.83799999999997</c:v>
                </c:pt>
                <c:pt idx="2">
                  <c:v>578.52599999999995</c:v>
                </c:pt>
                <c:pt idx="3">
                  <c:v>691.149</c:v>
                </c:pt>
                <c:pt idx="4">
                  <c:v>703.68200000000002</c:v>
                </c:pt>
                <c:pt idx="5">
                  <c:v>655.02800000000002</c:v>
                </c:pt>
                <c:pt idx="6">
                  <c:v>1042.2280000000001</c:v>
                </c:pt>
                <c:pt idx="7">
                  <c:v>2787.163</c:v>
                </c:pt>
                <c:pt idx="8">
                  <c:v>3030.19</c:v>
                </c:pt>
                <c:pt idx="9">
                  <c:v>2952.8939999999998</c:v>
                </c:pt>
              </c:numCache>
            </c:numRef>
          </c:val>
          <c:smooth val="0"/>
          <c:extLst>
            <c:ext xmlns:c16="http://schemas.microsoft.com/office/drawing/2014/chart" uri="{C3380CC4-5D6E-409C-BE32-E72D297353CC}">
              <c16:uniqueId val="{00000000-6D9A-4CBF-81C6-4508965ECD81}"/>
            </c:ext>
          </c:extLst>
        </c:ser>
        <c:ser>
          <c:idx val="1"/>
          <c:order val="1"/>
          <c:tx>
            <c:strRef>
              <c:f>'Shares Out'!$H$109</c:f>
              <c:strCache>
                <c:ptCount val="1"/>
                <c:pt idx="0">
                  <c:v>Long Term Debt</c:v>
                </c:pt>
              </c:strCache>
            </c:strRef>
          </c:tx>
          <c:spPr>
            <a:ln w="28575" cap="rnd">
              <a:solidFill>
                <a:schemeClr val="accent2"/>
              </a:solidFill>
              <a:round/>
            </a:ln>
            <a:effectLst/>
          </c:spPr>
          <c:marker>
            <c:symbol val="none"/>
          </c:marker>
          <c:cat>
            <c:numRef>
              <c:f>'Shares Out'!$F$110:$F$119</c:f>
              <c:numCache>
                <c:formatCode>m/d/yyyy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'Shares Out'!$H$110:$H$119</c:f>
              <c:numCache>
                <c:formatCode>General</c:formatCode>
                <c:ptCount val="10"/>
                <c:pt idx="0">
                  <c:v>1434.7139999999999</c:v>
                </c:pt>
                <c:pt idx="1">
                  <c:v>1331.336</c:v>
                </c:pt>
                <c:pt idx="2">
                  <c:v>1214.0119999999999</c:v>
                </c:pt>
                <c:pt idx="3">
                  <c:v>1140.3789999999999</c:v>
                </c:pt>
                <c:pt idx="4">
                  <c:v>1124.566</c:v>
                </c:pt>
                <c:pt idx="5">
                  <c:v>1163.134</c:v>
                </c:pt>
                <c:pt idx="6">
                  <c:v>994.11</c:v>
                </c:pt>
                <c:pt idx="7">
                  <c:v>2392.5210000000002</c:v>
                </c:pt>
                <c:pt idx="8">
                  <c:v>2786.6239999999998</c:v>
                </c:pt>
                <c:pt idx="9">
                  <c:v>3079.982</c:v>
                </c:pt>
              </c:numCache>
            </c:numRef>
          </c:val>
          <c:smooth val="0"/>
          <c:extLst>
            <c:ext xmlns:c16="http://schemas.microsoft.com/office/drawing/2014/chart" uri="{C3380CC4-5D6E-409C-BE32-E72D297353CC}">
              <c16:uniqueId val="{00000001-6D9A-4CBF-81C6-4508965ECD81}"/>
            </c:ext>
          </c:extLst>
        </c:ser>
        <c:ser>
          <c:idx val="2"/>
          <c:order val="2"/>
          <c:tx>
            <c:strRef>
              <c:f>'Shares Out'!$I$109</c:f>
              <c:strCache>
                <c:ptCount val="1"/>
                <c:pt idx="0">
                  <c:v>OCP</c:v>
                </c:pt>
              </c:strCache>
            </c:strRef>
          </c:tx>
          <c:spPr>
            <a:ln w="28575" cap="rnd">
              <a:solidFill>
                <a:schemeClr val="accent3"/>
              </a:solidFill>
              <a:round/>
            </a:ln>
            <a:effectLst/>
          </c:spPr>
          <c:marker>
            <c:symbol val="none"/>
          </c:marker>
          <c:cat>
            <c:numRef>
              <c:f>'Shares Out'!$F$110:$F$119</c:f>
              <c:numCache>
                <c:formatCode>m/d/yyyy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'Shares Out'!$I$110:$I$119</c:f>
              <c:numCache>
                <c:formatCode>General</c:formatCode>
                <c:ptCount val="10"/>
                <c:pt idx="0">
                  <c:v>44.561847905001585</c:v>
                </c:pt>
                <c:pt idx="1">
                  <c:v>35.830371610664734</c:v>
                </c:pt>
                <c:pt idx="2">
                  <c:v>33.712974539999998</c:v>
                </c:pt>
                <c:pt idx="3">
                  <c:v>27.972565810664705</c:v>
                </c:pt>
                <c:pt idx="4">
                  <c:v>-2.153458811419199</c:v>
                </c:pt>
                <c:pt idx="5">
                  <c:v>116.16322508683069</c:v>
                </c:pt>
                <c:pt idx="6">
                  <c:v>19.814414494999994</c:v>
                </c:pt>
                <c:pt idx="7">
                  <c:v>142.38847682258131</c:v>
                </c:pt>
                <c:pt idx="8">
                  <c:v>241.87843363966692</c:v>
                </c:pt>
                <c:pt idx="9">
                  <c:v>433.82000000000005</c:v>
                </c:pt>
              </c:numCache>
            </c:numRef>
          </c:val>
          <c:smooth val="0"/>
          <c:extLst>
            <c:ext xmlns:c16="http://schemas.microsoft.com/office/drawing/2014/chart" uri="{C3380CC4-5D6E-409C-BE32-E72D297353CC}">
              <c16:uniqueId val="{00000002-6D9A-4CBF-81C6-4508965ECD81}"/>
            </c:ext>
          </c:extLst>
        </c:ser>
        <c:dLbls>
          <c:showLegendKey val="0"/>
          <c:showVal val="0"/>
          <c:showCatName val="0"/>
          <c:showSerName val="0"/>
          <c:showPercent val="0"/>
          <c:showBubbleSize val="0"/>
        </c:dLbls>
        <c:smooth val="0"/>
        <c:axId val="650037200"/>
        <c:axId val="650039496"/>
      </c:lineChart>
      <c:dateAx>
        <c:axId val="650037200"/>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0039496"/>
        <c:crosses val="autoZero"/>
        <c:auto val="1"/>
        <c:lblOffset val="100"/>
        <c:baseTimeUnit val="years"/>
      </c:dateAx>
      <c:valAx>
        <c:axId val="6500394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0037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'Shares Out'!$L$109</c:f>
              <c:strCache>
                <c:ptCount val="1"/>
                <c:pt idx="0">
                  <c:v>Macquarie Infrastructure Interest Expense (Annual)</c:v>
                </c:pt>
              </c:strCache>
            </c:strRef>
          </c:tx>
          <c:spPr>
            <a:ln w="28575" cap="rnd">
              <a:solidFill>
                <a:schemeClr val="accent1"/>
              </a:solidFill>
              <a:round/>
            </a:ln>
            <a:effectLst/>
          </c:spPr>
          <c:marker>
            <c:symbol val="none"/>
          </c:marker>
          <c:cat>
            <c:numRef>
              <c:f>'Shares Out'!$K$110:$K$119</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'Shares Out'!$L$110:$L$119</c:f>
              <c:numCache>
                <c:formatCode>General</c:formatCode>
                <c:ptCount val="10"/>
                <c:pt idx="0">
                  <c:v>59.651000000000003</c:v>
                </c:pt>
                <c:pt idx="1">
                  <c:v>87.561999999999998</c:v>
                </c:pt>
                <c:pt idx="2">
                  <c:v>95.337000000000003</c:v>
                </c:pt>
                <c:pt idx="3">
                  <c:v>106.80500000000001</c:v>
                </c:pt>
                <c:pt idx="4">
                  <c:v>59.249000000000002</c:v>
                </c:pt>
                <c:pt idx="5">
                  <c:v>46.401000000000003</c:v>
                </c:pt>
                <c:pt idx="6">
                  <c:v>36.840000000000003</c:v>
                </c:pt>
                <c:pt idx="7">
                  <c:v>73.084000000000003</c:v>
                </c:pt>
                <c:pt idx="8">
                  <c:v>123.024</c:v>
                </c:pt>
                <c:pt idx="9">
                  <c:v>116.801</c:v>
                </c:pt>
              </c:numCache>
            </c:numRef>
          </c:val>
          <c:smooth val="0"/>
          <c:extLst>
            <c:ext xmlns:c16="http://schemas.microsoft.com/office/drawing/2014/chart" uri="{C3380CC4-5D6E-409C-BE32-E72D297353CC}">
              <c16:uniqueId val="{00000000-6CF5-4F63-AF09-AB2817D7A26D}"/>
            </c:ext>
          </c:extLst>
        </c:ser>
        <c:ser>
          <c:idx val="1"/>
          <c:order val="1"/>
          <c:tx>
            <c:strRef>
              <c:f>'Shares Out'!$M$109</c:f>
              <c:strCache>
                <c:ptCount val="1"/>
                <c:pt idx="0">
                  <c:v>OCP</c:v>
                </c:pt>
              </c:strCache>
            </c:strRef>
          </c:tx>
          <c:spPr>
            <a:ln w="28575" cap="rnd">
              <a:solidFill>
                <a:schemeClr val="accent2"/>
              </a:solidFill>
              <a:round/>
            </a:ln>
            <a:effectLst/>
          </c:spPr>
          <c:marker>
            <c:symbol val="none"/>
          </c:marker>
          <c:cat>
            <c:numRef>
              <c:f>'Shares Out'!$K$110:$K$119</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'Shares Out'!$M$110:$M$119</c:f>
              <c:numCache>
                <c:formatCode>General</c:formatCode>
                <c:ptCount val="10"/>
                <c:pt idx="0">
                  <c:v>44.561847905001585</c:v>
                </c:pt>
                <c:pt idx="1">
                  <c:v>35.830371610664734</c:v>
                </c:pt>
                <c:pt idx="2">
                  <c:v>33.712974539999998</c:v>
                </c:pt>
                <c:pt idx="3">
                  <c:v>27.972565810664705</c:v>
                </c:pt>
                <c:pt idx="4">
                  <c:v>-2.153458811419199</c:v>
                </c:pt>
                <c:pt idx="5">
                  <c:v>116.16322508683069</c:v>
                </c:pt>
                <c:pt idx="6">
                  <c:v>19.814414494999994</c:v>
                </c:pt>
                <c:pt idx="7">
                  <c:v>142.38847682258131</c:v>
                </c:pt>
                <c:pt idx="8">
                  <c:v>241.87843363966692</c:v>
                </c:pt>
                <c:pt idx="9">
                  <c:v>433.82000000000005</c:v>
                </c:pt>
              </c:numCache>
            </c:numRef>
          </c:val>
          <c:smooth val="0"/>
          <c:extLst>
            <c:ext xmlns:c16="http://schemas.microsoft.com/office/drawing/2014/chart" uri="{C3380CC4-5D6E-409C-BE32-E72D297353CC}">
              <c16:uniqueId val="{00000001-6CF5-4F63-AF09-AB2817D7A26D}"/>
            </c:ext>
          </c:extLst>
        </c:ser>
        <c:dLbls>
          <c:showLegendKey val="0"/>
          <c:showVal val="0"/>
          <c:showCatName val="0"/>
          <c:showSerName val="0"/>
          <c:showPercent val="0"/>
          <c:showBubbleSize val="0"/>
        </c:dLbls>
        <c:smooth val="0"/>
        <c:axId val="720882512"/>
        <c:axId val="720882840"/>
      </c:lineChart>
      <c:catAx>
        <c:axId val="720882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882840"/>
        <c:crosses val="autoZero"/>
        <c:auto val="1"/>
        <c:lblAlgn val="ctr"/>
        <c:lblOffset val="100"/>
        <c:noMultiLvlLbl val="0"/>
      </c:catAx>
      <c:valAx>
        <c:axId val="720882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882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Data'!$B$2:$P$2</c:f>
              <c:numCache>
                <c:formatCode>_(* #,##0_);_(* \(#,##0\);_(* "-"??_);_(@_)</c:formatCode>
                <c:ptCount val="15"/>
                <c:pt idx="0">
                  <c:v>16.783285564239048</c:v>
                </c:pt>
                <c:pt idx="1">
                  <c:v>21.743921403733587</c:v>
                </c:pt>
                <c:pt idx="2">
                  <c:v>15.677424055425906</c:v>
                </c:pt>
                <c:pt idx="3">
                  <c:v>18.391854823538676</c:v>
                </c:pt>
                <c:pt idx="4">
                  <c:v>21.338571632044406</c:v>
                </c:pt>
                <c:pt idx="5">
                  <c:v>21.790537764019398</c:v>
                </c:pt>
                <c:pt idx="6">
                  <c:v>18.492013585431188</c:v>
                </c:pt>
                <c:pt idx="7">
                  <c:v>19.003032792419706</c:v>
                </c:pt>
                <c:pt idx="8">
                  <c:v>20.488883444907184</c:v>
                </c:pt>
                <c:pt idx="9">
                  <c:v>20.131399494195435</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Data'!$B$3:$P$3</c:f>
              <c:numCache>
                <c:formatCode>General</c:formatCode>
                <c:ptCount val="15"/>
                <c:pt idx="10" formatCode="_(* #,##0_);_(* \(#,##0\);_(* &quot;-&quot;??_);_(@_)">
                  <c:v>21.74191145373107</c:v>
                </c:pt>
                <c:pt idx="11" formatCode="_(* #,##0_);_(* \(#,##0\);_(* &quot;-&quot;??_);_(@_)">
                  <c:v>22.829007026417624</c:v>
                </c:pt>
                <c:pt idx="12" formatCode="_(* #,##0_);_(* \(#,##0\);_(* &quot;-&quot;??_);_(@_)">
                  <c:v>23.970457377738505</c:v>
                </c:pt>
                <c:pt idx="13" formatCode="_(* #,##0_);_(* \(#,##0\);_(* &quot;-&quot;??_);_(@_)">
                  <c:v>25.168980246625431</c:v>
                </c:pt>
                <c:pt idx="14" formatCode="_(* #,##0_);_(* \(#,##0\);_(* &quot;-&quot;??_);_(@_)">
                  <c:v>26.427429258956703</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Data'!$B$4:$P$4</c:f>
              <c:numCache>
                <c:formatCode>General</c:formatCode>
                <c:ptCount val="15"/>
                <c:pt idx="10" formatCode="_(* #,##0_);_(* \(#,##0\);_(* &quot;-&quot;??_);_(@_)">
                  <c:v>21.540597458789115</c:v>
                </c:pt>
                <c:pt idx="11" formatCode="_(* #,##0_);_(* \(#,##0\);_(* &quot;-&quot;??_);_(@_)">
                  <c:v>21.971409407964899</c:v>
                </c:pt>
                <c:pt idx="12" formatCode="_(* #,##0_);_(* \(#,##0\);_(* &quot;-&quot;??_);_(@_)">
                  <c:v>22.410837596124196</c:v>
                </c:pt>
                <c:pt idx="13" formatCode="_(* #,##0_);_(* \(#,##0\);_(* &quot;-&quot;??_);_(@_)">
                  <c:v>22.85905434804668</c:v>
                </c:pt>
                <c:pt idx="14" formatCode="_(* #,##0_);_(* \(#,##0\);_(* &quot;-&quot;??_);_(@_)">
                  <c:v>23.316235435007613</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Data'!$B$5:$P$5</c:f>
              <c:numCache>
                <c:formatCode>0%</c:formatCode>
                <c:ptCount val="15"/>
                <c:pt idx="1">
                  <c:v>0.29557000746411677</c:v>
                </c:pt>
                <c:pt idx="2">
                  <c:v>-0.27899739130155332</c:v>
                </c:pt>
                <c:pt idx="3">
                  <c:v>0.17314265140218077</c:v>
                </c:pt>
                <c:pt idx="4">
                  <c:v>0.16021857701564701</c:v>
                </c:pt>
                <c:pt idx="5">
                  <c:v>2.118071161315549E-2</c:v>
                </c:pt>
                <c:pt idx="6">
                  <c:v>-0.15137415213472805</c:v>
                </c:pt>
                <c:pt idx="7">
                  <c:v>2.7634589636637674E-2</c:v>
                </c:pt>
                <c:pt idx="8">
                  <c:v>7.8190185151929104E-2</c:v>
                </c:pt>
                <c:pt idx="9">
                  <c:v>-1.7447702881076554E-2</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Data'!$B$6:$P$6</c:f>
              <c:numCache>
                <c:formatCode>General</c:formatCode>
                <c:ptCount val="15"/>
                <c:pt idx="9" formatCode="0%">
                  <c:v>-1.7447702881076554E-2</c:v>
                </c:pt>
                <c:pt idx="10" formatCode="0%">
                  <c:v>0.08</c:v>
                </c:pt>
                <c:pt idx="11" formatCode="0%">
                  <c:v>0.05</c:v>
                </c:pt>
                <c:pt idx="12" formatCode="0%">
                  <c:v>0.05</c:v>
                </c:pt>
                <c:pt idx="13" formatCode="0%">
                  <c:v>0.05</c:v>
                </c:pt>
                <c:pt idx="14" formatCode="0%">
                  <c:v>0.05</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Data'!$B$7:$P$7</c:f>
              <c:numCache>
                <c:formatCode>General</c:formatCode>
                <c:ptCount val="15"/>
                <c:pt idx="9" formatCode="0%">
                  <c:v>-1.7447702881076554E-2</c:v>
                </c:pt>
                <c:pt idx="10" formatCode="0%">
                  <c:v>7.0000000000000007E-2</c:v>
                </c:pt>
                <c:pt idx="11" formatCode="0%">
                  <c:v>0.02</c:v>
                </c:pt>
                <c:pt idx="12" formatCode="0%">
                  <c:v>0.02</c:v>
                </c:pt>
                <c:pt idx="13" formatCode="0%">
                  <c:v>0.02</c:v>
                </c:pt>
                <c:pt idx="14" formatCode="0%">
                  <c:v>0.02</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Data'!$B$10:$P$10</c:f>
              <c:numCache>
                <c:formatCode>_(* #,##0_);_(* \(#,##0\);_(* "-"??_);_(@_)</c:formatCode>
                <c:ptCount val="15"/>
                <c:pt idx="0">
                  <c:v>0.99162070534334967</c:v>
                </c:pt>
                <c:pt idx="1">
                  <c:v>0.79713921894659312</c:v>
                </c:pt>
                <c:pt idx="2">
                  <c:v>0.74433243488493783</c:v>
                </c:pt>
                <c:pt idx="3">
                  <c:v>0.6118849624123317</c:v>
                </c:pt>
                <c:pt idx="4">
                  <c:v>-4.6472647004397905E-2</c:v>
                </c:pt>
                <c:pt idx="5">
                  <c:v>2.4479173489814468</c:v>
                </c:pt>
                <c:pt idx="6">
                  <c:v>0.35197092659106533</c:v>
                </c:pt>
                <c:pt idx="7">
                  <c:v>2.0029438458309134</c:v>
                </c:pt>
                <c:pt idx="8">
                  <c:v>3.0232234465028842</c:v>
                </c:pt>
                <c:pt idx="9">
                  <c:v>5.2874249672445846</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Data'!$B$11:$P$11</c:f>
              <c:numCache>
                <c:formatCode>General</c:formatCode>
                <c:ptCount val="15"/>
                <c:pt idx="10" formatCode="_(* #,##0_);_(* \(#,##0\);_(* &quot;-&quot;??_);_(@_)">
                  <c:v>6.5225734361193206</c:v>
                </c:pt>
                <c:pt idx="11" formatCode="_(* #,##0_);_(* \(#,##0\);_(* &quot;-&quot;??_);_(@_)">
                  <c:v>6.8487021079252868</c:v>
                </c:pt>
                <c:pt idx="12" formatCode="_(* #,##0_);_(* \(#,##0\);_(* &quot;-&quot;??_);_(@_)">
                  <c:v>7.191137213321551</c:v>
                </c:pt>
                <c:pt idx="13" formatCode="_(* #,##0_);_(* \(#,##0\);_(* &quot;-&quot;??_);_(@_)">
                  <c:v>7.5506940739876285</c:v>
                </c:pt>
                <c:pt idx="14" formatCode="_(* #,##0_);_(* \(#,##0\);_(* &quot;-&quot;??_);_(@_)">
                  <c:v>7.9282287776870106</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Data'!$B$12:$P$12</c:f>
              <c:numCache>
                <c:formatCode>General</c:formatCode>
                <c:ptCount val="15"/>
                <c:pt idx="10" formatCode="_(* #,##0_);_(* \(#,##0\);_(* &quot;-&quot;??_);_(@_)">
                  <c:v>6.4621792376367342</c:v>
                </c:pt>
                <c:pt idx="11" formatCode="_(* #,##0_);_(* \(#,##0\);_(* &quot;-&quot;??_);_(@_)">
                  <c:v>4.3942818815929803</c:v>
                </c:pt>
                <c:pt idx="12" formatCode="_(* #,##0_);_(* \(#,##0\);_(* &quot;-&quot;??_);_(@_)">
                  <c:v>4.4821675192248396</c:v>
                </c:pt>
                <c:pt idx="13" formatCode="_(* #,##0_);_(* \(#,##0\);_(* &quot;-&quot;??_);_(@_)">
                  <c:v>4.5718108696093358</c:v>
                </c:pt>
                <c:pt idx="14" formatCode="_(* #,##0_);_(* \(#,##0\);_(* &quot;-&quot;??_);_(@_)">
                  <c:v>4.6632470870015226</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Data'!$B$13:$P$13</c:f>
              <c:numCache>
                <c:formatCode>0%</c:formatCode>
                <c:ptCount val="15"/>
                <c:pt idx="0">
                  <c:v>5.908382488922452E-2</c:v>
                </c:pt>
                <c:pt idx="1">
                  <c:v>3.6660324701583889E-2</c:v>
                </c:pt>
                <c:pt idx="2">
                  <c:v>4.7477980582360198E-2</c:v>
                </c:pt>
                <c:pt idx="3">
                  <c:v>3.3269344950962496E-2</c:v>
                </c:pt>
                <c:pt idx="4">
                  <c:v>-2.1778705625548683E-3</c:v>
                </c:pt>
                <c:pt idx="5">
                  <c:v>0.11233854691844528</c:v>
                </c:pt>
                <c:pt idx="6">
                  <c:v>1.9033672291283808E-2</c:v>
                </c:pt>
                <c:pt idx="7">
                  <c:v>0.10540127292891302</c:v>
                </c:pt>
                <c:pt idx="8">
                  <c:v>0.14755432889410824</c:v>
                </c:pt>
                <c:pt idx="9">
                  <c:v>0.26264567293342567</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Data'!$B$14:$P$14</c:f>
              <c:numCache>
                <c:formatCode>General</c:formatCode>
                <c:ptCount val="15"/>
                <c:pt idx="9" formatCode="0%">
                  <c:v>0.26264567293342567</c:v>
                </c:pt>
                <c:pt idx="10" formatCode="0%">
                  <c:v>0.3</c:v>
                </c:pt>
                <c:pt idx="11" formatCode="0%">
                  <c:v>0.3</c:v>
                </c:pt>
                <c:pt idx="12" formatCode="0%">
                  <c:v>0.3</c:v>
                </c:pt>
                <c:pt idx="13" formatCode="0%">
                  <c:v>0.3</c:v>
                </c:pt>
                <c:pt idx="14" formatCode="0%">
                  <c:v>0.3</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Data'!$B$15:$P$15</c:f>
              <c:numCache>
                <c:formatCode>General</c:formatCode>
                <c:ptCount val="15"/>
                <c:pt idx="9" formatCode="0%">
                  <c:v>0.26264567293342567</c:v>
                </c:pt>
                <c:pt idx="10" formatCode="0%">
                  <c:v>0.3</c:v>
                </c:pt>
                <c:pt idx="11" formatCode="0%">
                  <c:v>0.2</c:v>
                </c:pt>
                <c:pt idx="12" formatCode="0%">
                  <c:v>0.2</c:v>
                </c:pt>
                <c:pt idx="13" formatCode="0%">
                  <c:v>0.2</c:v>
                </c:pt>
                <c:pt idx="14" formatCode="0%">
                  <c:v>0.2</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Data'!$B$18:$K$18</c:f>
              <c:numCache>
                <c:formatCode>_(* #,##0_);_(* \(#,##0\);_(* "-"??_);_(@_)</c:formatCode>
                <c:ptCount val="10"/>
                <c:pt idx="0">
                  <c:v>0.99162070534334967</c:v>
                </c:pt>
                <c:pt idx="1">
                  <c:v>0.79713921894659312</c:v>
                </c:pt>
                <c:pt idx="2">
                  <c:v>0.74433243488493783</c:v>
                </c:pt>
                <c:pt idx="3">
                  <c:v>0.6118849624123317</c:v>
                </c:pt>
                <c:pt idx="4">
                  <c:v>-4.6472647004397905E-2</c:v>
                </c:pt>
                <c:pt idx="5">
                  <c:v>2.4479173489814468</c:v>
                </c:pt>
                <c:pt idx="6">
                  <c:v>0.35197092659106533</c:v>
                </c:pt>
                <c:pt idx="7">
                  <c:v>2.0029438458309134</c:v>
                </c:pt>
                <c:pt idx="8">
                  <c:v>3.0232234465028842</c:v>
                </c:pt>
                <c:pt idx="9">
                  <c:v>5.2874249672445846</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Data'!$B$19:$K$19</c:f>
              <c:numCache>
                <c:formatCode>_(* #,##0_);_(* \(#,##0\);_(* "-"??_);_(@_)</c:formatCode>
                <c:ptCount val="10"/>
                <c:pt idx="0">
                  <c:v>0.99162070534334967</c:v>
                </c:pt>
                <c:pt idx="1">
                  <c:v>0.79713921894659312</c:v>
                </c:pt>
                <c:pt idx="2">
                  <c:v>0.74433243488493783</c:v>
                </c:pt>
                <c:pt idx="3">
                  <c:v>0.6118849624123317</c:v>
                </c:pt>
                <c:pt idx="4">
                  <c:v>-4.6472647004397905E-2</c:v>
                </c:pt>
                <c:pt idx="5">
                  <c:v>7.7469398444188986E-2</c:v>
                </c:pt>
                <c:pt idx="6">
                  <c:v>-1.9389718824384146</c:v>
                </c:pt>
                <c:pt idx="7">
                  <c:v>-1.3806031146246243</c:v>
                </c:pt>
                <c:pt idx="8">
                  <c:v>-1.2459136768416319</c:v>
                </c:pt>
                <c:pt idx="9">
                  <c:v>0.45981900728236713</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Breakdown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Data'!$B$22:$K$22</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Data'!$B$24:$K$24</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Data'!$B$27:$K$27</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Data'!$B$25:$K$25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Data'!$B$23:$K$23</c:f>
              <c:numCache>
                <c:formatCode>_(* #,##0_);_(* \(#,##0\);_(* "-"??_);_(@_)</c:formatCode>
                <c:ptCount val="10"/>
                <c:pt idx="0">
                  <c:v>0.99162070534334967</c:v>
                </c:pt>
                <c:pt idx="1">
                  <c:v>0.79713921894659312</c:v>
                </c:pt>
                <c:pt idx="2">
                  <c:v>0.74433243488493783</c:v>
                </c:pt>
                <c:pt idx="3">
                  <c:v>0.6118849624123317</c:v>
                </c:pt>
                <c:pt idx="4">
                  <c:v>-4.6472647004397905E-2</c:v>
                </c:pt>
                <c:pt idx="5">
                  <c:v>7.7469398444188986E-2</c:v>
                </c:pt>
                <c:pt idx="6">
                  <c:v>-1.9389718824384146</c:v>
                </c:pt>
                <c:pt idx="7">
                  <c:v>-1.3806031146246243</c:v>
                </c:pt>
                <c:pt idx="8">
                  <c:v>-1.2459136768416319</c:v>
                </c:pt>
                <c:pt idx="9">
                  <c:v>0.45981900728236713</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Data'!$B$26:$K$26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latin typeface="Arial Narrow" panose="020B0606020202030204" pitchFamily="34" charset="0"/>
              </a:rPr>
              <a:t>Free Cash Flow History &amp;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#,##0_);_(* \(#,##0\);_(* "-"??_);_(@_)</c:formatCode>
                <c:ptCount val="15"/>
                <c:pt idx="0">
                  <c:v>0</c:v>
                </c:pt>
                <c:pt idx="1">
                  <c:v>0</c:v>
                </c:pt>
                <c:pt idx="2">
                  <c:v>0</c:v>
                </c:pt>
                <c:pt idx="3">
                  <c:v>0</c:v>
                </c:pt>
                <c:pt idx="4">
                  <c:v>0</c:v>
                </c:pt>
                <c:pt idx="5">
                  <c:v>2.3704479505372578</c:v>
                </c:pt>
                <c:pt idx="6">
                  <c:v>2.2909428090294801</c:v>
                </c:pt>
                <c:pt idx="7">
                  <c:v>3.3835469604555377</c:v>
                </c:pt>
                <c:pt idx="8">
                  <c:v>4.2691371233445157</c:v>
                </c:pt>
                <c:pt idx="9">
                  <c:v>4.8276059599622174</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General</c:formatCode>
                <c:ptCount val="15"/>
                <c:pt idx="10" formatCode="_(* #,##0_);_(* \(#,##0\);_(* &quot;-&quot;??_);_(@_)">
                  <c:v>5.8159613138730606</c:v>
                </c:pt>
                <c:pt idx="11" formatCode="_(* #,##0_);_(* \(#,##0\);_(* &quot;-&quot;??_);_(@_)">
                  <c:v>3.9548536934336824</c:v>
                </c:pt>
                <c:pt idx="12" formatCode="_(* #,##0_);_(* \(#,##0\);_(* &quot;-&quot;??_);_(@_)">
                  <c:v>4.0339507673023558</c:v>
                </c:pt>
                <c:pt idx="13" formatCode="_(* #,##0_);_(* \(#,##0\);_(* &quot;-&quot;??_);_(@_)">
                  <c:v>4.114629782648402</c:v>
                </c:pt>
                <c:pt idx="14" formatCode="_(* #,##0_);_(* \(#,##0\);_(* &quot;-&quot;??_);_(@_)">
                  <c:v>4.1969223783013705</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5.8703160925073883</c:v>
                </c:pt>
                <c:pt idx="11" formatCode="_(* #,##0_);_(* \(#,##0\);_(* &quot;-&quot;??_);_(@_)">
                  <c:v>6.1638318971327584</c:v>
                </c:pt>
                <c:pt idx="12" formatCode="_(* #,##0_);_(* \(#,##0\);_(* &quot;-&quot;??_);_(@_)">
                  <c:v>6.472023491989396</c:v>
                </c:pt>
                <c:pt idx="13" formatCode="_(* #,##0_);_(* \(#,##0\);_(* &quot;-&quot;??_);_(@_)">
                  <c:v>6.795624666588866</c:v>
                </c:pt>
                <c:pt idx="14" formatCode="_(* #,##0_);_(* \(#,##0\);_(* &quot;-&quot;??_);_(@_)">
                  <c:v>7.1354058999183101</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Data'!$B$33:$P$33</c:f>
              <c:numCache>
                <c:formatCode>0%</c:formatCode>
                <c:ptCount val="15"/>
                <c:pt idx="0">
                  <c:v>0</c:v>
                </c:pt>
                <c:pt idx="1">
                  <c:v>0</c:v>
                </c:pt>
                <c:pt idx="2">
                  <c:v>0</c:v>
                </c:pt>
                <c:pt idx="3">
                  <c:v>0</c:v>
                </c:pt>
                <c:pt idx="4">
                  <c:v>0</c:v>
                </c:pt>
                <c:pt idx="5">
                  <c:v>0.1087833616686298</c:v>
                </c:pt>
                <c:pt idx="6">
                  <c:v>0.12388822874510456</c:v>
                </c:pt>
                <c:pt idx="7">
                  <c:v>0.17805299803541</c:v>
                </c:pt>
                <c:pt idx="8">
                  <c:v>0.20836358090590207</c:v>
                </c:pt>
                <c:pt idx="9">
                  <c:v>0.23980478661476962</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Data'!$B$35:$P$35</c:f>
              <c:numCache>
                <c:formatCode>General</c:formatCode>
                <c:ptCount val="15"/>
                <c:pt idx="9" formatCode="0%">
                  <c:v>0.23980478661476962</c:v>
                </c:pt>
                <c:pt idx="10" formatCode="0.0%">
                  <c:v>0.27</c:v>
                </c:pt>
                <c:pt idx="11" formatCode="0.0%">
                  <c:v>0.18000000000000002</c:v>
                </c:pt>
                <c:pt idx="12" formatCode="0.0%">
                  <c:v>0.18000000000000002</c:v>
                </c:pt>
                <c:pt idx="13" formatCode="0.0%">
                  <c:v>0.18000000000000002</c:v>
                </c:pt>
                <c:pt idx="14" formatCode="0.0%">
                  <c:v>0.18000000000000002</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Data'!$B$34:$P$34</c:f>
              <c:numCache>
                <c:formatCode>General</c:formatCode>
                <c:ptCount val="15"/>
                <c:pt idx="9" formatCode="0%">
                  <c:v>0.23980478661476962</c:v>
                </c:pt>
                <c:pt idx="10" formatCode="0.0%">
                  <c:v>0.27</c:v>
                </c:pt>
                <c:pt idx="11" formatCode="0.0%">
                  <c:v>0.27</c:v>
                </c:pt>
                <c:pt idx="12" formatCode="0.0%">
                  <c:v>0.27</c:v>
                </c:pt>
                <c:pt idx="13" formatCode="0.0%">
                  <c:v>0.27</c:v>
                </c:pt>
                <c:pt idx="14" formatCode="0.0%">
                  <c:v>0.27</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Historical Investment Efficacy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MIC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0.99162070534334967</c:v>
                </c:pt>
                <c:pt idx="1">
                  <c:v>0.79713921894659312</c:v>
                </c:pt>
                <c:pt idx="2">
                  <c:v>0.74433243488493783</c:v>
                </c:pt>
                <c:pt idx="3">
                  <c:v>0.6118849624123317</c:v>
                </c:pt>
                <c:pt idx="4">
                  <c:v>-4.6472647004397905E-2</c:v>
                </c:pt>
                <c:pt idx="5">
                  <c:v>2.4479173489814468</c:v>
                </c:pt>
                <c:pt idx="6">
                  <c:v>0.35197092659106533</c:v>
                </c:pt>
                <c:pt idx="7">
                  <c:v>2.0029438458309134</c:v>
                </c:pt>
                <c:pt idx="8">
                  <c:v>3.0232234465028842</c:v>
                </c:pt>
                <c:pt idx="9">
                  <c:v>5.2874249672445846</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MIC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0.99162070534334967</c:v>
                </c:pt>
                <c:pt idx="1">
                  <c:v>0.98216351944691649</c:v>
                </c:pt>
                <c:pt idx="2">
                  <c:v>0.9832840710948878</c:v>
                </c:pt>
                <c:pt idx="3">
                  <c:v>1.0280858860803461</c:v>
                </c:pt>
                <c:pt idx="4">
                  <c:v>1.0655568631760637</c:v>
                </c:pt>
                <c:pt idx="5">
                  <c:v>1.1024945656923253</c:v>
                </c:pt>
                <c:pt idx="6">
                  <c:v>1.1528383861174492</c:v>
                </c:pt>
                <c:pt idx="7">
                  <c:v>1.1950548319392145</c:v>
                </c:pt>
                <c:pt idx="8">
                  <c:v>1.1924424615309919</c:v>
                </c:pt>
                <c:pt idx="9">
                  <c:v>1.1924424615309919</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MIC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Data'!$B$40:$K$40</c:f>
              <c:numCache>
                <c:formatCode>0%</c:formatCode>
                <c:ptCount val="10"/>
                <c:pt idx="1">
                  <c:v>-0.18658777444169894</c:v>
                </c:pt>
                <c:pt idx="2">
                  <c:v>-6.7386273270323316E-2</c:v>
                </c:pt>
                <c:pt idx="3">
                  <c:v>-0.22350473879787025</c:v>
                </c:pt>
                <c:pt idx="4">
                  <c:v>-1.1123972957983197</c:v>
                </c:pt>
                <c:pt idx="5">
                  <c:v>-53.709033996717146</c:v>
                </c:pt>
                <c:pt idx="6">
                  <c:v>-0.9018797264562386</c:v>
                </c:pt>
                <c:pt idx="7">
                  <c:v>4.6540318291880309</c:v>
                </c:pt>
                <c:pt idx="8">
                  <c:v>0.51157600121724489</c:v>
                </c:pt>
                <c:pt idx="9">
                  <c:v>0.74893621355074402</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MIC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Data'!$B$41:$K$41</c:f>
              <c:numCache>
                <c:formatCode>0%</c:formatCode>
                <c:ptCount val="10"/>
                <c:pt idx="3">
                  <c:v>-0.16224147910565401</c:v>
                </c:pt>
                <c:pt idx="4">
                  <c:v>-0.4196238094279291</c:v>
                </c:pt>
                <c:pt idx="5">
                  <c:v>1.2619565733186355</c:v>
                </c:pt>
                <c:pt idx="6">
                  <c:v>-0.12528703461695234</c:v>
                </c:pt>
                <c:pt idx="7">
                  <c:v>0.70532292243875272</c:v>
                </c:pt>
                <c:pt idx="8">
                  <c:v>9.3715837254104262E-2</c:v>
                </c:pt>
                <c:pt idx="9">
                  <c:v>0.90650167983848395</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A7CCF49-A383-4B00-9151-EC8EB4A03FCF}">
  <sheetPr/>
  <sheetViews>
    <sheetView zoomScale="137" workbookViewId="0" zoomToFit="1"/>
  </sheetViews>
  <pageMargins left="0.7" right="0.7" top="0.75" bottom="0.75" header="0.3" footer="0.3"/>
  <pageSetup paperSize="5" orientation="landscape" horizontalDpi="0" verticalDpi="0"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37" workbookViewId="0" zoomToFit="1"/>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134"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22"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122"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122"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122" workbookViewId="0" zoomToFit="1"/>
  </sheetViews>
  <pageMargins left="0.7" right="0.7" top="0.75" bottom="0.75" header="0.3" footer="0.3"/>
  <pageSetup paperSize="5"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13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11402190" cy="6285109"/>
    <xdr:graphicFrame macro="">
      <xdr:nvGraphicFramePr>
        <xdr:cNvPr id="2" name="Chart 1">
          <a:extLst>
            <a:ext uri="{FF2B5EF4-FFF2-40B4-BE49-F238E27FC236}">
              <a16:creationId xmlns:a16="http://schemas.microsoft.com/office/drawing/2014/main" id="{2666BC3C-72E8-46C6-8B5D-A1A3C8032B4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64907" cy="6290765"/>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20</xdr:col>
      <xdr:colOff>240505</xdr:colOff>
      <xdr:row>121</xdr:row>
      <xdr:rowOff>73818</xdr:rowOff>
    </xdr:from>
    <xdr:to>
      <xdr:col>27</xdr:col>
      <xdr:colOff>278605</xdr:colOff>
      <xdr:row>136</xdr:row>
      <xdr:rowOff>104775</xdr:rowOff>
    </xdr:to>
    <xdr:graphicFrame macro="">
      <xdr:nvGraphicFramePr>
        <xdr:cNvPr id="2" name="Chart 1">
          <a:extLst>
            <a:ext uri="{FF2B5EF4-FFF2-40B4-BE49-F238E27FC236}">
              <a16:creationId xmlns:a16="http://schemas.microsoft.com/office/drawing/2014/main" id="{865CC9B8-F187-415C-BA27-4E25DBD15A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202405</xdr:colOff>
      <xdr:row>105</xdr:row>
      <xdr:rowOff>140493</xdr:rowOff>
    </xdr:from>
    <xdr:to>
      <xdr:col>24</xdr:col>
      <xdr:colOff>240505</xdr:colOff>
      <xdr:row>120</xdr:row>
      <xdr:rowOff>169068</xdr:rowOff>
    </xdr:to>
    <xdr:graphicFrame macro="">
      <xdr:nvGraphicFramePr>
        <xdr:cNvPr id="3" name="Chart 2">
          <a:extLst>
            <a:ext uri="{FF2B5EF4-FFF2-40B4-BE49-F238E27FC236}">
              <a16:creationId xmlns:a16="http://schemas.microsoft.com/office/drawing/2014/main" id="{B06601BD-B3F7-480D-8912-96F25D5FD9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11402190" cy="6285109"/>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45"/>
  <sheetViews>
    <sheetView showGridLines="0" tabSelected="1" zoomScale="90" zoomScaleNormal="90" workbookViewId="0">
      <selection activeCell="G158" sqref="G158"/>
    </sheetView>
  </sheetViews>
  <sheetFormatPr defaultRowHeight="15"/>
  <cols>
    <col min="1" max="1" width="38.7109375" bestFit="1" customWidth="1"/>
    <col min="2" max="7" width="11.7109375" customWidth="1"/>
    <col min="8" max="9" width="10.5703125" bestFit="1" customWidth="1"/>
    <col min="10" max="10" width="11.42578125" customWidth="1"/>
    <col min="11" max="11" width="10.5703125" bestFit="1" customWidth="1"/>
    <col min="12" max="13" width="9.5703125" bestFit="1" customWidth="1"/>
    <col min="14" max="14" width="10.5703125" bestFit="1" customWidth="1"/>
    <col min="15" max="15" width="11.5703125" bestFit="1" customWidth="1"/>
  </cols>
  <sheetData>
    <row r="1" spans="1:13" ht="15.75" thickBot="1">
      <c r="A1" s="156" t="s">
        <v>61</v>
      </c>
      <c r="B1" s="156"/>
      <c r="C1" s="156"/>
      <c r="D1" s="156"/>
      <c r="E1" s="156"/>
      <c r="F1" s="156"/>
      <c r="G1" s="156"/>
      <c r="I1" s="165" t="s">
        <v>51</v>
      </c>
      <c r="J1" s="166"/>
      <c r="K1" s="91" t="s">
        <v>58</v>
      </c>
      <c r="L1" s="63" t="s">
        <v>108</v>
      </c>
    </row>
    <row r="2" spans="1:13">
      <c r="A2" s="51" t="s">
        <v>189</v>
      </c>
      <c r="B2" s="44" t="s">
        <v>190</v>
      </c>
      <c r="C2" s="98" t="str">
        <f>A2&amp;" ("&amp;ticker&amp;")"</f>
        <v>Macquarie Infrastructure Corporation (MIC)</v>
      </c>
      <c r="E2" s="3" t="s">
        <v>57</v>
      </c>
      <c r="F2" s="3"/>
      <c r="G2" s="50">
        <v>75</v>
      </c>
      <c r="I2" s="161" t="str">
        <f>(ROUND(AVERAGE(C9:G9)*100,0)&amp;"% | "&amp;ROUND(AVERAGE(C11:G11)*100,0)&amp;"% | "&amp;ROUND(C18*100,0)&amp;"%")</f>
        <v>3% | 22% | 2%</v>
      </c>
      <c r="J2" s="162"/>
      <c r="K2" s="92">
        <f ca="1">TRUNC(Scenario1)+B13/G4</f>
        <v>67</v>
      </c>
      <c r="L2" s="94" t="s">
        <v>53</v>
      </c>
      <c r="M2" s="45"/>
    </row>
    <row r="3" spans="1:13">
      <c r="A3" t="s">
        <v>0</v>
      </c>
      <c r="B3" s="13">
        <v>42735</v>
      </c>
      <c r="E3" t="s">
        <v>60</v>
      </c>
      <c r="G3" s="31">
        <f>'Company Analysis'!K3</f>
        <v>20.131399494195435</v>
      </c>
      <c r="I3" s="161" t="str">
        <f>(ROUND(AVERAGE(C9:G9)*100,0)&amp;"% | "&amp;ROUND(AVERAGE(C11:G11)*100,0)&amp;"% | "&amp;ROUND(C17*100,0)&amp;"%")</f>
        <v>3% | 22% | 5%</v>
      </c>
      <c r="J3" s="162"/>
      <c r="K3" s="92">
        <f ca="1">TRUNC(Scenario2)+B13/G4</f>
        <v>74</v>
      </c>
      <c r="L3" s="94" t="s">
        <v>53</v>
      </c>
      <c r="M3" s="46"/>
    </row>
    <row r="4" spans="1:13" ht="15.75" thickBot="1">
      <c r="A4" s="68" t="s">
        <v>1</v>
      </c>
      <c r="B4" s="52">
        <v>0.1</v>
      </c>
      <c r="C4" s="12"/>
      <c r="D4" s="12"/>
      <c r="E4" s="12" t="s">
        <v>6</v>
      </c>
      <c r="F4" s="12"/>
      <c r="G4" s="53">
        <v>1</v>
      </c>
      <c r="I4" s="161" t="str">
        <f>(ROUND(AVERAGE(C9:G9)*100,0)&amp;"% | "&amp;ROUND(AVERAGE(C10:G10)*100,0)&amp;"% | "&amp;ROUND(C18*100,0)&amp;"%")</f>
        <v>3% | 30% | 2%</v>
      </c>
      <c r="J4" s="162"/>
      <c r="K4" s="92">
        <f ca="1">TRUNC(Scenario3)+B13/G4</f>
        <v>98</v>
      </c>
      <c r="L4" s="95" t="s">
        <v>53</v>
      </c>
      <c r="M4" s="47"/>
    </row>
    <row r="5" spans="1:13">
      <c r="B5" s="2"/>
      <c r="I5" s="161" t="str">
        <f>(ROUND(AVERAGE(C9:G9)*100,0)&amp;"% | "&amp;ROUND(AVERAGE(C10:G10)*100,0)&amp;"% | "&amp;ROUND(C17*100,0)&amp;"%")</f>
        <v>3% | 30% | 5%</v>
      </c>
      <c r="J5" s="162"/>
      <c r="K5" s="92">
        <f ca="1">TRUNC(Scenario4)+B13/G4</f>
        <v>108</v>
      </c>
      <c r="L5" s="95" t="s">
        <v>53</v>
      </c>
      <c r="M5" s="47"/>
    </row>
    <row r="6" spans="1:13" s="9" customFormat="1" ht="15.75" thickBot="1">
      <c r="A6" s="156" t="s">
        <v>96</v>
      </c>
      <c r="B6" s="156"/>
      <c r="C6" s="156"/>
      <c r="D6" s="156"/>
      <c r="E6" s="156"/>
      <c r="F6" s="156"/>
      <c r="G6" s="156"/>
      <c r="H6" s="8"/>
      <c r="I6" s="161" t="str">
        <f>(ROUND(AVERAGE(C8:G8)*100,0)&amp;"% | "&amp;ROUND(AVERAGE(C11:G11)*100,0)&amp;"% | "&amp;ROUND(C18*100,0)&amp;"%")</f>
        <v>6% | 22% | 2%</v>
      </c>
      <c r="J6" s="162"/>
      <c r="K6" s="92">
        <f ca="1">TRUNC(Scenario5)+B13/G4</f>
        <v>74</v>
      </c>
      <c r="L6" s="94" t="s">
        <v>53</v>
      </c>
      <c r="M6" s="48"/>
    </row>
    <row r="7" spans="1:13">
      <c r="A7" s="7"/>
      <c r="B7" s="7" t="s">
        <v>2</v>
      </c>
      <c r="C7" s="40">
        <v>1</v>
      </c>
      <c r="D7" s="40">
        <v>2</v>
      </c>
      <c r="E7" s="40">
        <v>3</v>
      </c>
      <c r="F7" s="40">
        <v>4</v>
      </c>
      <c r="G7" s="40">
        <v>5</v>
      </c>
      <c r="I7" s="161" t="str">
        <f>(ROUND(AVERAGE(C8:G8)*100,0)&amp;"% | "&amp;ROUND(AVERAGE(C11:G11)*100,0)&amp;"% | "&amp;ROUND(C17*100,0)&amp;"%")</f>
        <v>6% | 22% | 5%</v>
      </c>
      <c r="J7" s="162"/>
      <c r="K7" s="92">
        <f ca="1">TRUNC(Scenario6)+B13/G4</f>
        <v>82</v>
      </c>
      <c r="L7" s="96" t="s">
        <v>53</v>
      </c>
    </row>
    <row r="8" spans="1:13">
      <c r="A8" s="159" t="s">
        <v>5</v>
      </c>
      <c r="B8" s="22" t="s">
        <v>3</v>
      </c>
      <c r="C8" s="23">
        <v>0.08</v>
      </c>
      <c r="D8" s="23">
        <v>0.05</v>
      </c>
      <c r="E8" s="23">
        <v>0.05</v>
      </c>
      <c r="F8" s="23">
        <v>0.05</v>
      </c>
      <c r="G8" s="23">
        <v>0.05</v>
      </c>
      <c r="I8" s="161" t="str">
        <f>(ROUND(AVERAGE(C8:G8)*100,0)&amp;"% | "&amp;ROUND(AVERAGE(C10:G10)*100,0)&amp;"% | "&amp;ROUND(C18*100,0)&amp;"%")</f>
        <v>6% | 30% | 2%</v>
      </c>
      <c r="J8" s="162"/>
      <c r="K8" s="92">
        <f ca="1">TRUNC(Scenario7)+B13/G4</f>
        <v>109</v>
      </c>
      <c r="L8" s="96" t="s">
        <v>53</v>
      </c>
    </row>
    <row r="9" spans="1:13">
      <c r="A9" s="160"/>
      <c r="B9" s="14" t="s">
        <v>4</v>
      </c>
      <c r="C9" s="24">
        <v>7.0000000000000007E-2</v>
      </c>
      <c r="D9" s="24">
        <v>0.02</v>
      </c>
      <c r="E9" s="24">
        <v>0.02</v>
      </c>
      <c r="F9" s="24">
        <v>0.02</v>
      </c>
      <c r="G9" s="24">
        <v>0.02</v>
      </c>
      <c r="I9" s="163" t="str">
        <f>(ROUND(AVERAGE(C8:G8)*100,0)&amp;"% | "&amp;ROUND(AVERAGE(C10:G10)*100,0)&amp;"% | "&amp;ROUND(C17*100,0)&amp;"%")</f>
        <v>6% | 30% | 5%</v>
      </c>
      <c r="J9" s="164"/>
      <c r="K9" s="93">
        <f ca="1">TRUNC(Scenario8)+B13/G4</f>
        <v>121</v>
      </c>
      <c r="L9" s="97" t="s">
        <v>53</v>
      </c>
    </row>
    <row r="10" spans="1:13">
      <c r="A10" s="157" t="s">
        <v>124</v>
      </c>
      <c r="B10" s="22" t="s">
        <v>3</v>
      </c>
      <c r="C10" s="135">
        <v>0.3</v>
      </c>
      <c r="D10" s="135">
        <v>0.3</v>
      </c>
      <c r="E10" s="135">
        <v>0.3</v>
      </c>
      <c r="F10" s="135">
        <v>0.3</v>
      </c>
      <c r="G10" s="135">
        <v>0.3</v>
      </c>
    </row>
    <row r="11" spans="1:13">
      <c r="A11" s="158"/>
      <c r="B11" s="14" t="s">
        <v>4</v>
      </c>
      <c r="C11" s="136">
        <v>0.3</v>
      </c>
      <c r="D11" s="136">
        <v>0.2</v>
      </c>
      <c r="E11" s="136">
        <v>0.2</v>
      </c>
      <c r="F11" s="136">
        <v>0.2</v>
      </c>
      <c r="G11" s="136">
        <v>0.2</v>
      </c>
      <c r="I11" s="167" t="str">
        <f>A2&amp;" ("&amp;B2&amp;")"</f>
        <v>Macquarie Infrastructure Corporation (MIC)</v>
      </c>
      <c r="J11" s="168"/>
      <c r="K11" s="168"/>
      <c r="L11" s="169"/>
    </row>
    <row r="12" spans="1:13">
      <c r="A12" s="1" t="s">
        <v>62</v>
      </c>
      <c r="B12" s="14"/>
      <c r="C12" s="25">
        <v>0.1</v>
      </c>
      <c r="D12" s="25">
        <v>0.1</v>
      </c>
      <c r="E12" s="25">
        <v>0.1</v>
      </c>
      <c r="F12" s="25">
        <v>0.1</v>
      </c>
      <c r="G12" s="25">
        <v>0.1</v>
      </c>
      <c r="I12" s="147" t="str">
        <f ca="1">"$"&amp;ROUND(F21/G4,0)&amp;" Scenario"</f>
        <v>$98 Scenario</v>
      </c>
      <c r="J12" s="148"/>
      <c r="K12" s="148"/>
      <c r="L12" s="149"/>
    </row>
    <row r="13" spans="1:13">
      <c r="A13" s="67" t="s">
        <v>10</v>
      </c>
      <c r="B13" s="26">
        <v>0</v>
      </c>
      <c r="I13" s="73" t="s">
        <v>16</v>
      </c>
      <c r="K13" s="74"/>
      <c r="L13" s="65" t="s">
        <v>4</v>
      </c>
    </row>
    <row r="14" spans="1:13">
      <c r="B14" s="2"/>
      <c r="I14" s="71" t="s">
        <v>17</v>
      </c>
      <c r="K14" s="72"/>
      <c r="L14" s="65" t="s">
        <v>3</v>
      </c>
    </row>
    <row r="15" spans="1:13" ht="15.75" thickBot="1">
      <c r="A15" s="156" t="s">
        <v>97</v>
      </c>
      <c r="B15" s="156"/>
      <c r="C15" s="156"/>
      <c r="D15" s="3"/>
      <c r="E15" s="156" t="s">
        <v>98</v>
      </c>
      <c r="F15" s="156"/>
      <c r="G15" s="156"/>
      <c r="I15" s="75" t="s">
        <v>118</v>
      </c>
      <c r="J15" s="76"/>
      <c r="K15" s="76"/>
      <c r="L15" s="66" t="s">
        <v>4</v>
      </c>
    </row>
    <row r="16" spans="1:13">
      <c r="A16" s="67" t="s">
        <v>11</v>
      </c>
      <c r="B16" s="27">
        <v>5</v>
      </c>
      <c r="C16" t="s">
        <v>12</v>
      </c>
      <c r="E16" s="28" t="s">
        <v>14</v>
      </c>
      <c r="G16" s="32">
        <v>2.5000000000000001E-2</v>
      </c>
      <c r="I16" s="49" t="s">
        <v>117</v>
      </c>
      <c r="K16" s="3"/>
      <c r="L16" s="57">
        <f>(F26/G3)^0.2-1</f>
        <v>2.9809497788074957E-2</v>
      </c>
    </row>
    <row r="17" spans="1:12">
      <c r="A17" s="154" t="s">
        <v>59</v>
      </c>
      <c r="B17" s="21" t="s">
        <v>3</v>
      </c>
      <c r="C17" s="23">
        <v>0.05</v>
      </c>
      <c r="D17" s="37">
        <f>IF(C17=B$4,C17-0.0001,C17)</f>
        <v>0.05</v>
      </c>
      <c r="E17" s="28" t="s">
        <v>15</v>
      </c>
      <c r="G17" s="32">
        <v>2.5000000000000001E-2</v>
      </c>
      <c r="I17" s="71" t="s">
        <v>116</v>
      </c>
      <c r="K17" s="72"/>
      <c r="L17" s="54">
        <f>SUM(B29:F29)/SUM(B26:F26)</f>
        <v>0.27</v>
      </c>
    </row>
    <row r="18" spans="1:12">
      <c r="A18" s="155"/>
      <c r="B18" s="15" t="s">
        <v>4</v>
      </c>
      <c r="C18" s="24">
        <v>0.02</v>
      </c>
      <c r="D18" s="37">
        <f>IF(C18=B$4,C18-0.0001,C18)</f>
        <v>0.02</v>
      </c>
      <c r="G18" s="11"/>
      <c r="I18" s="75" t="s">
        <v>119</v>
      </c>
      <c r="K18" s="28"/>
      <c r="L18" s="56">
        <f ca="1">(F21/G4)/G2-1</f>
        <v>0.30716402390250819</v>
      </c>
    </row>
    <row r="19" spans="1:12">
      <c r="C19" s="3"/>
      <c r="D19" s="3"/>
      <c r="E19" s="3"/>
      <c r="F19" s="3"/>
      <c r="J19" s="55"/>
      <c r="K19" s="55"/>
      <c r="L19" s="55"/>
    </row>
    <row r="20" spans="1:12" ht="15.75" thickBot="1">
      <c r="A20" s="59" t="s">
        <v>7</v>
      </c>
      <c r="B20" s="64" t="s">
        <v>92</v>
      </c>
      <c r="C20" s="64" t="s">
        <v>93</v>
      </c>
      <c r="D20" s="64" t="s">
        <v>94</v>
      </c>
      <c r="E20" s="64" t="s">
        <v>95</v>
      </c>
      <c r="F20" s="64" t="s">
        <v>8</v>
      </c>
      <c r="I20" s="150" t="s">
        <v>123</v>
      </c>
      <c r="J20" s="151"/>
      <c r="K20" s="151"/>
      <c r="L20" s="152"/>
    </row>
    <row r="21" spans="1:12">
      <c r="A21" s="16" t="s">
        <v>13</v>
      </c>
      <c r="B21" s="17">
        <f ca="1">SUM(B43:F43)</f>
        <v>24.138176751041897</v>
      </c>
      <c r="C21" s="17">
        <f ca="1">B54*F43</f>
        <v>16.380958231575534</v>
      </c>
      <c r="D21" s="17">
        <f ca="1">B51*B50</f>
        <v>57.518166810070674</v>
      </c>
      <c r="E21" s="17">
        <f>B13</f>
        <v>0</v>
      </c>
      <c r="F21" s="17">
        <f ca="1">B21+C21+D21+E21</f>
        <v>98.037301792688112</v>
      </c>
      <c r="I21" s="101"/>
      <c r="J21" s="102"/>
      <c r="K21" s="69" t="s">
        <v>120</v>
      </c>
      <c r="L21" s="70" t="s">
        <v>121</v>
      </c>
    </row>
    <row r="22" spans="1:12">
      <c r="A22" s="16" t="s">
        <v>9</v>
      </c>
      <c r="B22" s="60">
        <f ca="1">IFERROR(B21/$F21,"")</f>
        <v>0.24621420938414879</v>
      </c>
      <c r="C22" s="60">
        <f ca="1">IFERROR(C21/$F21,"")</f>
        <v>0.1670890358265375</v>
      </c>
      <c r="D22" s="60">
        <f ca="1">IFERROR(D21/$F21,"")</f>
        <v>0.5866967547893136</v>
      </c>
      <c r="E22" s="60">
        <f ca="1">IFERROR(E21/$F21,"")</f>
        <v>0</v>
      </c>
      <c r="F22" s="60">
        <v>1</v>
      </c>
      <c r="I22" s="100" t="s">
        <v>122</v>
      </c>
      <c r="J22" s="15"/>
      <c r="K22" s="103">
        <v>0.17</v>
      </c>
      <c r="L22" s="104">
        <v>0.17</v>
      </c>
    </row>
    <row r="23" spans="1:12">
      <c r="A23" s="16"/>
      <c r="B23" s="20"/>
      <c r="C23" s="20"/>
      <c r="D23" s="20"/>
      <c r="E23" s="20"/>
      <c r="F23" s="20"/>
    </row>
    <row r="24" spans="1:12" ht="15.75" hidden="1" customHeight="1" thickBot="1">
      <c r="A24" s="59" t="s">
        <v>74</v>
      </c>
      <c r="B24" s="61">
        <v>1</v>
      </c>
      <c r="C24" s="61">
        <v>2</v>
      </c>
      <c r="D24" s="61">
        <v>3</v>
      </c>
      <c r="E24" s="61">
        <v>4</v>
      </c>
      <c r="F24" s="61">
        <v>5</v>
      </c>
      <c r="I24" t="s">
        <v>115</v>
      </c>
      <c r="K24" s="99">
        <v>0.25</v>
      </c>
      <c r="L24" s="99">
        <v>0.25</v>
      </c>
    </row>
    <row r="25" spans="1:12" s="9" customFormat="1" ht="12" hidden="1" customHeight="1">
      <c r="B25" s="33">
        <f>DATE(YEAR($B$3)+B24,MONTH($B$3),DAY($B$3))</f>
        <v>43100</v>
      </c>
      <c r="C25" s="33">
        <f t="shared" ref="C25:F25" si="0">DATE(YEAR($B$3)+C24,MONTH($B$3),DAY($B$3))</f>
        <v>43465</v>
      </c>
      <c r="D25" s="33">
        <f t="shared" si="0"/>
        <v>43830</v>
      </c>
      <c r="E25" s="33">
        <f t="shared" si="0"/>
        <v>44196</v>
      </c>
      <c r="F25" s="33">
        <f t="shared" si="0"/>
        <v>44561</v>
      </c>
      <c r="I25" s="9" t="s">
        <v>57</v>
      </c>
      <c r="L25" s="9">
        <v>26.29</v>
      </c>
    </row>
    <row r="26" spans="1:12" hidden="1">
      <c r="A26" t="s">
        <v>37</v>
      </c>
      <c r="B26" s="30">
        <f>(CHOOSE($B36,C8,C9)+1)*G3</f>
        <v>21.540597458789115</v>
      </c>
      <c r="C26" s="30">
        <f>(CHOOSE($B36,D8,D9)+1)*B26</f>
        <v>21.971409407964899</v>
      </c>
      <c r="D26" s="30">
        <f>(CHOOSE($B36,E8,E9)+1)*C26</f>
        <v>22.410837596124196</v>
      </c>
      <c r="E26" s="30">
        <f>(CHOOSE($B36,F8,F9)+1)*D26</f>
        <v>22.85905434804668</v>
      </c>
      <c r="F26" s="30">
        <f>(CHOOSE($B36,G8,G9)+1)*E26</f>
        <v>23.316235435007613</v>
      </c>
    </row>
    <row r="27" spans="1:12" hidden="1">
      <c r="A27" t="s">
        <v>71</v>
      </c>
      <c r="B27" s="58">
        <f>CHOOSE($B37,C10,C11)*B26</f>
        <v>6.4621792376367342</v>
      </c>
      <c r="C27" s="5">
        <f>CHOOSE($B37,D10,D11)*C26</f>
        <v>6.5914228223894691</v>
      </c>
      <c r="D27" s="5">
        <f>CHOOSE($B37,E10,E11)*D26</f>
        <v>6.7232512788372585</v>
      </c>
      <c r="E27" s="5">
        <f>CHOOSE($B37,F10,F11)*E26</f>
        <v>6.8577163044140041</v>
      </c>
      <c r="F27" s="5">
        <f>CHOOSE($B37,G10,G11)*F26</f>
        <v>6.9948706305022839</v>
      </c>
    </row>
    <row r="28" spans="1:12" hidden="1">
      <c r="A28" t="s">
        <v>72</v>
      </c>
      <c r="B28" s="58">
        <f>-C12*B27</f>
        <v>-0.64621792376367349</v>
      </c>
      <c r="C28" s="58">
        <f t="shared" ref="C28:E28" si="1">-D12*C27</f>
        <v>-0.659142282238947</v>
      </c>
      <c r="D28" s="58">
        <f t="shared" si="1"/>
        <v>-0.67232512788372589</v>
      </c>
      <c r="E28" s="58">
        <f t="shared" si="1"/>
        <v>-0.68577163044140044</v>
      </c>
      <c r="F28" s="58">
        <f>-G12*F27</f>
        <v>-0.69948706305022845</v>
      </c>
    </row>
    <row r="29" spans="1:12" ht="15.75" hidden="1" thickBot="1">
      <c r="A29" t="s">
        <v>73</v>
      </c>
      <c r="B29" s="4">
        <f>B27+B28</f>
        <v>5.8159613138730606</v>
      </c>
      <c r="C29" s="4">
        <f>C27+C28</f>
        <v>5.9322805401505221</v>
      </c>
      <c r="D29" s="4">
        <f>D27+D28</f>
        <v>6.0509261509535328</v>
      </c>
      <c r="E29" s="4">
        <f>E27+E28</f>
        <v>6.1719446739726038</v>
      </c>
      <c r="F29" s="4">
        <f>F27+F28</f>
        <v>6.2953835674520553</v>
      </c>
    </row>
    <row r="30" spans="1:12" ht="15.75" hidden="1" thickTop="1">
      <c r="B30" s="62"/>
      <c r="C30" s="62"/>
      <c r="D30" s="62"/>
      <c r="E30" s="62"/>
      <c r="F30" s="62"/>
    </row>
    <row r="31" spans="1:12" hidden="1">
      <c r="B31" s="35" t="s">
        <v>20</v>
      </c>
      <c r="E31" s="35"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53" t="s">
        <v>35</v>
      </c>
      <c r="B41" s="153"/>
      <c r="C41" s="153"/>
      <c r="D41" s="153"/>
      <c r="E41" s="153"/>
      <c r="F41" s="153"/>
    </row>
    <row r="42" spans="1:16" hidden="1">
      <c r="A42" t="s">
        <v>21</v>
      </c>
      <c r="B42" s="19">
        <f ca="1">B25-TODAY()</f>
        <v>118</v>
      </c>
      <c r="C42" s="19">
        <f ca="1">C25-TODAY()</f>
        <v>483</v>
      </c>
      <c r="D42" s="19">
        <f ca="1">D25-TODAY()</f>
        <v>848</v>
      </c>
      <c r="E42" s="19">
        <f ca="1">E25-TODAY()</f>
        <v>1214</v>
      </c>
      <c r="F42" s="19">
        <f ca="1">F25-TODAY()</f>
        <v>1579</v>
      </c>
      <c r="P42" s="38"/>
    </row>
    <row r="43" spans="1:16" hidden="1">
      <c r="A43" t="s">
        <v>22</v>
      </c>
      <c r="B43" s="17">
        <f ca="1">B29*EXP(-$B$4*B42/365.25)</f>
        <v>5.6310698415910361</v>
      </c>
      <c r="C43" s="17">
        <f ca="1">C29*EXP(-$B$4*C42/365.25)</f>
        <v>5.1974624849146904</v>
      </c>
      <c r="D43" s="17">
        <f ca="1">D29*EXP(-$B$4*D42/365.25)</f>
        <v>4.7972440481155516</v>
      </c>
      <c r="E43" s="17">
        <f ca="1">E29*EXP(-$B$4*E42/365.25)</f>
        <v>4.4266313840038389</v>
      </c>
      <c r="F43" s="17">
        <f ca="1">F29*EXP(-$B$4*F42/365.25)</f>
        <v>4.0857689924167824</v>
      </c>
      <c r="O43" s="39"/>
    </row>
    <row r="44" spans="1:16" hidden="1"/>
    <row r="45" spans="1:16" hidden="1">
      <c r="A45" s="6" t="s">
        <v>26</v>
      </c>
      <c r="B45">
        <f>MONTH(B3)</f>
        <v>12</v>
      </c>
    </row>
    <row r="46" spans="1:16" hidden="1">
      <c r="A46" s="6" t="s">
        <v>27</v>
      </c>
      <c r="B46">
        <f>DAY(B3)</f>
        <v>31</v>
      </c>
    </row>
    <row r="47" spans="1:16" hidden="1">
      <c r="A47" s="6" t="s">
        <v>23</v>
      </c>
      <c r="B47">
        <f>YEAR(F25)+B16</f>
        <v>2026</v>
      </c>
    </row>
    <row r="48" spans="1:16" hidden="1">
      <c r="A48" s="6" t="s">
        <v>28</v>
      </c>
      <c r="B48">
        <f ca="1">DATE(B47,B45,B46)-TODAY()</f>
        <v>3405</v>
      </c>
      <c r="C48" s="34"/>
    </row>
    <row r="49" spans="1:7" hidden="1">
      <c r="A49" s="6" t="s">
        <v>24</v>
      </c>
      <c r="B49" s="17">
        <f>F29*EXP(CHOOSE(B38,C17,C18)*B16)</f>
        <v>6.9574748368793342</v>
      </c>
    </row>
    <row r="50" spans="1:7" hidden="1">
      <c r="A50" s="6" t="s">
        <v>29</v>
      </c>
      <c r="B50" s="17">
        <f ca="1">B49*EXP(-B4*B48/365.25)</f>
        <v>2.7389603242890797</v>
      </c>
    </row>
    <row r="51" spans="1:7" hidden="1">
      <c r="A51" s="6" t="s">
        <v>31</v>
      </c>
      <c r="B51" s="17">
        <f>(1+SUM(G16,G17))/(B4-SUM(G16,G17))</f>
        <v>21</v>
      </c>
    </row>
    <row r="52" spans="1:7" hidden="1">
      <c r="A52" s="6" t="s">
        <v>32</v>
      </c>
      <c r="B52" s="18">
        <f>(1+CHOOSE(B38,D17,D18))/(B4-(CHOOSE(B38,D17,D18)))</f>
        <v>12.75</v>
      </c>
      <c r="F52" s="38"/>
    </row>
    <row r="53" spans="1:7" hidden="1">
      <c r="A53" s="6" t="s">
        <v>33</v>
      </c>
      <c r="B53" s="38">
        <f>1-(((1+CHOOSE(B38,D17,D18))/(1+B4))^B16)</f>
        <v>0.31445268691284145</v>
      </c>
      <c r="F53" s="39"/>
    </row>
    <row r="54" spans="1:7" hidden="1">
      <c r="A54" s="6" t="s">
        <v>30</v>
      </c>
      <c r="B54" s="36">
        <f>B52*B53</f>
        <v>4.0092717581387287</v>
      </c>
    </row>
    <row r="55" spans="1:7" hidden="1"/>
    <row r="56" spans="1:7" hidden="1"/>
    <row r="57" spans="1:7" hidden="1">
      <c r="A57" s="41" t="s">
        <v>36</v>
      </c>
    </row>
    <row r="58" spans="1:7" hidden="1">
      <c r="A58" t="s">
        <v>37</v>
      </c>
      <c r="B58" s="18">
        <f>$G$3*(1+C$9)</f>
        <v>21.540597458789115</v>
      </c>
      <c r="C58" s="18">
        <f>B58*(1+D$9)</f>
        <v>21.971409407964899</v>
      </c>
      <c r="D58" s="18">
        <f>C58*(1+E$9)</f>
        <v>22.410837596124196</v>
      </c>
      <c r="E58" s="18">
        <f>D58*(1+F$9)</f>
        <v>22.85905434804668</v>
      </c>
      <c r="F58" s="18">
        <f>E58*(1+G$9)</f>
        <v>23.316235435007613</v>
      </c>
    </row>
    <row r="59" spans="1:7" hidden="1">
      <c r="A59" t="s">
        <v>38</v>
      </c>
      <c r="B59" s="18">
        <f>B58*C$11</f>
        <v>6.4621792376367342</v>
      </c>
      <c r="C59" s="18">
        <f>C58*D$11</f>
        <v>4.3942818815929803</v>
      </c>
      <c r="D59" s="18">
        <f>D58*E$11</f>
        <v>4.4821675192248396</v>
      </c>
      <c r="E59" s="18">
        <f>E58*F$11</f>
        <v>4.5718108696093358</v>
      </c>
      <c r="F59" s="18">
        <f>F58*G$11</f>
        <v>4.6632470870015226</v>
      </c>
    </row>
    <row r="60" spans="1:7" hidden="1">
      <c r="B60" s="20">
        <f>B59/B58</f>
        <v>0.3</v>
      </c>
      <c r="C60" s="20">
        <f>C59/C58</f>
        <v>0.2</v>
      </c>
      <c r="D60" s="20">
        <f>D59/D58</f>
        <v>0.2</v>
      </c>
      <c r="E60" s="20">
        <f>E59/E58</f>
        <v>0.19999999999999998</v>
      </c>
      <c r="F60" s="20">
        <f>F59/F58</f>
        <v>0.2</v>
      </c>
    </row>
    <row r="61" spans="1:7" hidden="1">
      <c r="A61" t="s">
        <v>39</v>
      </c>
      <c r="B61" s="38">
        <f t="shared" ref="B61:E61" si="2">B59-(C$12*B59)</f>
        <v>5.8159613138730606</v>
      </c>
      <c r="C61" s="38">
        <f t="shared" si="2"/>
        <v>3.954853693433682</v>
      </c>
      <c r="D61" s="38">
        <f t="shared" si="2"/>
        <v>4.0339507673023558</v>
      </c>
      <c r="E61" s="38">
        <f t="shared" si="2"/>
        <v>4.114629782648402</v>
      </c>
      <c r="F61" s="38">
        <f>F59-(G$12*F59)</f>
        <v>4.1969223783013705</v>
      </c>
    </row>
    <row r="62" spans="1:7" hidden="1">
      <c r="A62" t="s">
        <v>42</v>
      </c>
      <c r="B62" s="18">
        <f ca="1">B61*EXP(-$B$4*B$42/365.25)</f>
        <v>5.6310698415910361</v>
      </c>
      <c r="C62" s="18">
        <f ca="1">C61*EXP(-$B$4*C$42/365.25)</f>
        <v>3.4649749899431272</v>
      </c>
      <c r="D62" s="18">
        <f ca="1">D61*EXP(-$B$4*D$42/365.25)</f>
        <v>3.1981626987437015</v>
      </c>
      <c r="E62" s="18">
        <f ca="1">E61*EXP(-$B$4*E$42/365.25)</f>
        <v>2.9510875893358923</v>
      </c>
      <c r="F62" s="18">
        <f ca="1">F61*EXP(-$B$4*F$42/365.25)</f>
        <v>2.7238459949445217</v>
      </c>
      <c r="G62" s="18">
        <f ca="1">SUM(B62:F62)</f>
        <v>17.96914111455828</v>
      </c>
    </row>
    <row r="63" spans="1:7" hidden="1">
      <c r="A63" t="s">
        <v>41</v>
      </c>
      <c r="F63" s="38">
        <f>((1+$D$18)/($B$4-$D$18)*(1-(((1+$D$18)/(1+$B$4))^$B$16)))</f>
        <v>4.0092717581387287</v>
      </c>
      <c r="G63" s="18">
        <f ca="1">F63*F62</f>
        <v>10.920638821050357</v>
      </c>
    </row>
    <row r="64" spans="1:7" hidden="1">
      <c r="A64" t="s">
        <v>40</v>
      </c>
      <c r="B64" s="38"/>
      <c r="F64" s="18">
        <f>F61*EXP($C$18*$B$16)</f>
        <v>4.6383165579195564</v>
      </c>
    </row>
    <row r="65" spans="1:7" hidden="1">
      <c r="A65" t="s">
        <v>43</v>
      </c>
      <c r="F65" s="18">
        <f ca="1">F64*EXP(-$B$4*B$48/365.25)</f>
        <v>1.8259735495260532</v>
      </c>
      <c r="G65" s="42">
        <f ca="1">F65*B$51</f>
        <v>38.345444540047119</v>
      </c>
    </row>
    <row r="66" spans="1:7" hidden="1">
      <c r="A66" t="s">
        <v>44</v>
      </c>
      <c r="G66" s="18">
        <f ca="1">SUM(G62:G63,G65)</f>
        <v>67.235224475655755</v>
      </c>
    </row>
    <row r="67" spans="1:7" hidden="1">
      <c r="A67" t="s">
        <v>25</v>
      </c>
      <c r="G67" s="43">
        <f ca="1">G66/$G$4</f>
        <v>67.235224475655755</v>
      </c>
    </row>
    <row r="68" spans="1:7" hidden="1">
      <c r="G68" s="38"/>
    </row>
    <row r="69" spans="1:7" hidden="1">
      <c r="A69" s="41" t="s">
        <v>45</v>
      </c>
    </row>
    <row r="70" spans="1:7" hidden="1">
      <c r="A70" t="s">
        <v>37</v>
      </c>
      <c r="B70" s="18">
        <f>$G$3*(1+C$9)</f>
        <v>21.540597458789115</v>
      </c>
      <c r="C70" s="18">
        <f>B70*(1+D$9)</f>
        <v>21.971409407964899</v>
      </c>
      <c r="D70" s="18">
        <f>C70*(1+E$9)</f>
        <v>22.410837596124196</v>
      </c>
      <c r="E70" s="18">
        <f>D70*(1+F$9)</f>
        <v>22.85905434804668</v>
      </c>
      <c r="F70" s="18">
        <f>E70*(1+G$9)</f>
        <v>23.316235435007613</v>
      </c>
    </row>
    <row r="71" spans="1:7" hidden="1">
      <c r="A71" t="s">
        <v>38</v>
      </c>
      <c r="B71" s="18">
        <f>B70*C$11</f>
        <v>6.4621792376367342</v>
      </c>
      <c r="C71" s="18">
        <f>C70*D$11</f>
        <v>4.3942818815929803</v>
      </c>
      <c r="D71" s="18">
        <f>D70*E$11</f>
        <v>4.4821675192248396</v>
      </c>
      <c r="E71" s="18">
        <f>E70*F$11</f>
        <v>4.5718108696093358</v>
      </c>
      <c r="F71" s="18">
        <f>F70*G$11</f>
        <v>4.6632470870015226</v>
      </c>
    </row>
    <row r="72" spans="1:7" hidden="1">
      <c r="A72" t="s">
        <v>39</v>
      </c>
      <c r="B72" s="38">
        <f t="shared" ref="B72:E72" si="3">B71-(C$12*B71)</f>
        <v>5.8159613138730606</v>
      </c>
      <c r="C72" s="38">
        <f t="shared" si="3"/>
        <v>3.954853693433682</v>
      </c>
      <c r="D72" s="38">
        <f t="shared" si="3"/>
        <v>4.0339507673023558</v>
      </c>
      <c r="E72" s="38">
        <f t="shared" si="3"/>
        <v>4.114629782648402</v>
      </c>
      <c r="F72" s="38">
        <f>F71-(G$12*F71)</f>
        <v>4.1969223783013705</v>
      </c>
    </row>
    <row r="73" spans="1:7" hidden="1">
      <c r="A73" t="s">
        <v>42</v>
      </c>
      <c r="B73" s="18">
        <f ca="1">B72*EXP(-$B$4*B$42/365.25)</f>
        <v>5.6310698415910361</v>
      </c>
      <c r="C73" s="18">
        <f ca="1">C72*EXP(-$B$4*C$42/365.25)</f>
        <v>3.4649749899431272</v>
      </c>
      <c r="D73" s="18">
        <f ca="1">D72*EXP(-$B$4*D$42/365.25)</f>
        <v>3.1981626987437015</v>
      </c>
      <c r="E73" s="18">
        <f ca="1">E72*EXP(-$B$4*E$42/365.25)</f>
        <v>2.9510875893358923</v>
      </c>
      <c r="F73" s="18">
        <f ca="1">F72*EXP(-$B$4*F$42/365.25)</f>
        <v>2.7238459949445217</v>
      </c>
      <c r="G73" s="18">
        <f ca="1">SUM(B73:F73)</f>
        <v>17.96914111455828</v>
      </c>
    </row>
    <row r="74" spans="1:7" hidden="1">
      <c r="A74" t="s">
        <v>41</v>
      </c>
      <c r="F74" s="38">
        <f>((1+$D$17)/($B$4-$D$17)*(1-(((1+$D$17)/(1+$B$4))^$B$16)))</f>
        <v>4.358120835946381</v>
      </c>
      <c r="G74" s="18">
        <f ca="1">F74*F73</f>
        <v>11.870849984476822</v>
      </c>
    </row>
    <row r="75" spans="1:7" hidden="1">
      <c r="A75" t="s">
        <v>40</v>
      </c>
      <c r="B75" s="38"/>
      <c r="F75" s="18">
        <f>F72*EXP($C$17*$B$16)</f>
        <v>5.3889550056045241</v>
      </c>
    </row>
    <row r="76" spans="1:7" hidden="1">
      <c r="A76" t="s">
        <v>43</v>
      </c>
      <c r="F76" s="18">
        <f ca="1">F75*EXP(-$B$4*B$48/365.25)</f>
        <v>2.1214785961554772</v>
      </c>
      <c r="G76" s="42">
        <f ca="1">F76*B$51</f>
        <v>44.551050519265019</v>
      </c>
    </row>
    <row r="77" spans="1:7" hidden="1">
      <c r="A77" t="s">
        <v>44</v>
      </c>
      <c r="G77" s="18">
        <f ca="1">SUM(G73:G74,G76)</f>
        <v>74.391041618300122</v>
      </c>
    </row>
    <row r="78" spans="1:7" hidden="1">
      <c r="A78" t="s">
        <v>25</v>
      </c>
      <c r="G78" s="43">
        <f ca="1">G77/$G$4</f>
        <v>74.391041618300122</v>
      </c>
    </row>
    <row r="79" spans="1:7" hidden="1"/>
    <row r="80" spans="1:7" hidden="1">
      <c r="A80" s="41" t="s">
        <v>46</v>
      </c>
    </row>
    <row r="81" spans="1:7" hidden="1">
      <c r="A81" t="s">
        <v>37</v>
      </c>
      <c r="B81" s="18">
        <f>$G$3*(1+C$9)</f>
        <v>21.540597458789115</v>
      </c>
      <c r="C81" s="18">
        <f>B81*(1+D$9)</f>
        <v>21.971409407964899</v>
      </c>
      <c r="D81" s="18">
        <f>C81*(1+E$9)</f>
        <v>22.410837596124196</v>
      </c>
      <c r="E81" s="18">
        <f>D81*(1+F$9)</f>
        <v>22.85905434804668</v>
      </c>
      <c r="F81" s="18">
        <f>E81*(1+G$9)</f>
        <v>23.316235435007613</v>
      </c>
    </row>
    <row r="82" spans="1:7" hidden="1">
      <c r="A82" t="s">
        <v>38</v>
      </c>
      <c r="B82" s="18">
        <f>B81*C$10</f>
        <v>6.4621792376367342</v>
      </c>
      <c r="C82" s="18">
        <f>C81*D$10</f>
        <v>6.5914228223894691</v>
      </c>
      <c r="D82" s="18">
        <f>D81*E$10</f>
        <v>6.7232512788372585</v>
      </c>
      <c r="E82" s="18">
        <f>E81*F$10</f>
        <v>6.8577163044140041</v>
      </c>
      <c r="F82" s="18">
        <f>F81*G$10</f>
        <v>6.9948706305022839</v>
      </c>
    </row>
    <row r="83" spans="1:7" hidden="1">
      <c r="A83" t="s">
        <v>39</v>
      </c>
      <c r="B83" s="38">
        <f>B82-(C$12*B82)</f>
        <v>5.8159613138730606</v>
      </c>
      <c r="C83" s="38">
        <f t="shared" ref="C83:F83" si="4">C82-(D$12*C82)</f>
        <v>5.9322805401505221</v>
      </c>
      <c r="D83" s="38">
        <f t="shared" si="4"/>
        <v>6.0509261509535328</v>
      </c>
      <c r="E83" s="38">
        <f t="shared" si="4"/>
        <v>6.1719446739726038</v>
      </c>
      <c r="F83" s="38">
        <f t="shared" si="4"/>
        <v>6.2953835674520553</v>
      </c>
    </row>
    <row r="84" spans="1:7" hidden="1">
      <c r="A84" t="s">
        <v>42</v>
      </c>
      <c r="B84" s="18">
        <f ca="1">B83*EXP(-$B$4*B$42/365.25)</f>
        <v>5.6310698415910361</v>
      </c>
      <c r="C84" s="18">
        <f ca="1">C83*EXP(-$B$4*C$42/365.25)</f>
        <v>5.1974624849146904</v>
      </c>
      <c r="D84" s="18">
        <f ca="1">D83*EXP(-$B$4*D$42/365.25)</f>
        <v>4.7972440481155516</v>
      </c>
      <c r="E84" s="18">
        <f ca="1">E83*EXP(-$B$4*E$42/365.25)</f>
        <v>4.4266313840038389</v>
      </c>
      <c r="F84" s="18">
        <f ca="1">F83*EXP(-$B$4*F$42/365.25)</f>
        <v>4.0857689924167824</v>
      </c>
      <c r="G84" s="18">
        <f ca="1">SUM(B84:F84)</f>
        <v>24.138176751041897</v>
      </c>
    </row>
    <row r="85" spans="1:7" hidden="1">
      <c r="A85" t="s">
        <v>41</v>
      </c>
      <c r="F85" s="38">
        <f>((1+$D$18)/($B$4-$D$18)*(1-(((1+$D$18)/(1+$B$4))^$B$16)))</f>
        <v>4.0092717581387287</v>
      </c>
      <c r="G85" s="18">
        <f ca="1">F85*F84</f>
        <v>16.380958231575534</v>
      </c>
    </row>
    <row r="86" spans="1:7" hidden="1">
      <c r="A86" t="s">
        <v>40</v>
      </c>
      <c r="B86" s="38"/>
      <c r="F86" s="18">
        <f>F83*EXP($C$18*$B$16)</f>
        <v>6.9574748368793342</v>
      </c>
    </row>
    <row r="87" spans="1:7" hidden="1">
      <c r="A87" t="s">
        <v>43</v>
      </c>
      <c r="F87" s="18">
        <f ca="1">F86*EXP(-$B$4*B$48/365.25)</f>
        <v>2.7389603242890797</v>
      </c>
      <c r="G87" s="42">
        <f ca="1">F87*B$51</f>
        <v>57.518166810070674</v>
      </c>
    </row>
    <row r="88" spans="1:7" hidden="1">
      <c r="A88" t="s">
        <v>44</v>
      </c>
      <c r="G88" s="18">
        <f ca="1">SUM(G84:G85,G87)</f>
        <v>98.037301792688112</v>
      </c>
    </row>
    <row r="89" spans="1:7" hidden="1">
      <c r="A89" t="s">
        <v>25</v>
      </c>
      <c r="G89" s="43">
        <f ca="1">G88/$G$4</f>
        <v>98.037301792688112</v>
      </c>
    </row>
    <row r="90" spans="1:7" hidden="1"/>
    <row r="91" spans="1:7" hidden="1">
      <c r="A91" s="41" t="s">
        <v>47</v>
      </c>
    </row>
    <row r="92" spans="1:7" hidden="1">
      <c r="A92" t="s">
        <v>37</v>
      </c>
      <c r="B92" s="18">
        <f>$G$3*(1+C$9)</f>
        <v>21.540597458789115</v>
      </c>
      <c r="C92" s="18">
        <f>B92*(1+D$9)</f>
        <v>21.971409407964899</v>
      </c>
      <c r="D92" s="18">
        <f>C92*(1+E$9)</f>
        <v>22.410837596124196</v>
      </c>
      <c r="E92" s="18">
        <f>D92*(1+F$9)</f>
        <v>22.85905434804668</v>
      </c>
      <c r="F92" s="18">
        <f>E92*(1+G$9)</f>
        <v>23.316235435007613</v>
      </c>
    </row>
    <row r="93" spans="1:7" hidden="1">
      <c r="A93" t="s">
        <v>38</v>
      </c>
      <c r="B93" s="18">
        <f>B92*C$10</f>
        <v>6.4621792376367342</v>
      </c>
      <c r="C93" s="18">
        <f>C92*D$10</f>
        <v>6.5914228223894691</v>
      </c>
      <c r="D93" s="18">
        <f>D92*E$10</f>
        <v>6.7232512788372585</v>
      </c>
      <c r="E93" s="18">
        <f>E92*F$10</f>
        <v>6.8577163044140041</v>
      </c>
      <c r="F93" s="18">
        <f>F92*G$10</f>
        <v>6.9948706305022839</v>
      </c>
    </row>
    <row r="94" spans="1:7" hidden="1">
      <c r="A94" t="s">
        <v>39</v>
      </c>
      <c r="B94" s="38">
        <f>B93-(C$12*B93)</f>
        <v>5.8159613138730606</v>
      </c>
      <c r="C94" s="38">
        <f t="shared" ref="C94" si="5">C93-(D$12*C93)</f>
        <v>5.9322805401505221</v>
      </c>
      <c r="D94" s="38">
        <f t="shared" ref="D94" si="6">D93-(E$12*D93)</f>
        <v>6.0509261509535328</v>
      </c>
      <c r="E94" s="38">
        <f t="shared" ref="E94" si="7">E93-(F$12*E93)</f>
        <v>6.1719446739726038</v>
      </c>
      <c r="F94" s="38">
        <f t="shared" ref="F94" si="8">F93-(G$12*F93)</f>
        <v>6.2953835674520553</v>
      </c>
    </row>
    <row r="95" spans="1:7" hidden="1">
      <c r="A95" t="s">
        <v>42</v>
      </c>
      <c r="B95" s="18">
        <f ca="1">B94*EXP(-$B$4*B$42/365.25)</f>
        <v>5.6310698415910361</v>
      </c>
      <c r="C95" s="18">
        <f ca="1">C94*EXP(-$B$4*C$42/365.25)</f>
        <v>5.1974624849146904</v>
      </c>
      <c r="D95" s="18">
        <f ca="1">D94*EXP(-$B$4*D$42/365.25)</f>
        <v>4.7972440481155516</v>
      </c>
      <c r="E95" s="18">
        <f ca="1">E94*EXP(-$B$4*E$42/365.25)</f>
        <v>4.4266313840038389</v>
      </c>
      <c r="F95" s="18">
        <f ca="1">F94*EXP(-$B$4*F$42/365.25)</f>
        <v>4.0857689924167824</v>
      </c>
      <c r="G95" s="18">
        <f ca="1">SUM(B95:F95)</f>
        <v>24.138176751041897</v>
      </c>
    </row>
    <row r="96" spans="1:7" hidden="1">
      <c r="A96" t="s">
        <v>41</v>
      </c>
      <c r="F96" s="38">
        <f>((1+$D$17)/($B$4-$D$17)*(1-(((1+$D$17)/(1+$B$4))^$B$16)))</f>
        <v>4.358120835946381</v>
      </c>
      <c r="G96" s="18">
        <f ca="1">F96*F95</f>
        <v>17.80627497671523</v>
      </c>
    </row>
    <row r="97" spans="1:7" hidden="1">
      <c r="A97" t="s">
        <v>40</v>
      </c>
      <c r="B97" s="38"/>
      <c r="F97" s="18">
        <f>F94*EXP($C$17*$B$16)</f>
        <v>8.0834325084067853</v>
      </c>
    </row>
    <row r="98" spans="1:7" hidden="1">
      <c r="A98" t="s">
        <v>43</v>
      </c>
      <c r="F98" s="18">
        <f ca="1">F97*EXP(-$B$4*B$48/365.25)</f>
        <v>3.1822178942332151</v>
      </c>
      <c r="G98" s="42">
        <f ca="1">F98*B$51</f>
        <v>66.826575778897521</v>
      </c>
    </row>
    <row r="99" spans="1:7" hidden="1">
      <c r="A99" t="s">
        <v>44</v>
      </c>
      <c r="G99" s="18">
        <f ca="1">SUM(G95:G96,G98)</f>
        <v>108.77102750665465</v>
      </c>
    </row>
    <row r="100" spans="1:7" hidden="1">
      <c r="A100" t="s">
        <v>25</v>
      </c>
      <c r="G100" s="43">
        <f ca="1">G99/$G$4</f>
        <v>108.77102750665465</v>
      </c>
    </row>
    <row r="101" spans="1:7" hidden="1"/>
    <row r="102" spans="1:7" hidden="1">
      <c r="A102" s="41" t="s">
        <v>48</v>
      </c>
    </row>
    <row r="103" spans="1:7" hidden="1">
      <c r="A103" t="s">
        <v>37</v>
      </c>
      <c r="B103" s="18">
        <f>$G$3*(1+C$8)</f>
        <v>21.74191145373107</v>
      </c>
      <c r="C103" s="18">
        <f>B103*(1+D$8)</f>
        <v>22.829007026417624</v>
      </c>
      <c r="D103" s="18">
        <f>C103*(1+E$8)</f>
        <v>23.970457377738505</v>
      </c>
      <c r="E103" s="18">
        <f>D103*(1+F$8)</f>
        <v>25.168980246625431</v>
      </c>
      <c r="F103" s="18">
        <f>E103*(1+G$8)</f>
        <v>26.427429258956703</v>
      </c>
    </row>
    <row r="104" spans="1:7" hidden="1">
      <c r="A104" t="s">
        <v>38</v>
      </c>
      <c r="B104" s="18">
        <f>B103*C$11</f>
        <v>6.5225734361193206</v>
      </c>
      <c r="C104" s="18">
        <f>C103*D$11</f>
        <v>4.5658014052835254</v>
      </c>
      <c r="D104" s="18">
        <f>D103*E$11</f>
        <v>4.7940914755477015</v>
      </c>
      <c r="E104" s="18">
        <f>E103*F$11</f>
        <v>5.0337960493250868</v>
      </c>
      <c r="F104" s="18">
        <f>F103*G$11</f>
        <v>5.285485851791341</v>
      </c>
    </row>
    <row r="105" spans="1:7" hidden="1">
      <c r="A105" t="s">
        <v>39</v>
      </c>
      <c r="B105" s="38">
        <f>B104-(C$12*B104)</f>
        <v>5.8703160925073883</v>
      </c>
      <c r="C105" s="38">
        <f t="shared" ref="C105" si="9">C104-(D$12*C104)</f>
        <v>4.1092212647551731</v>
      </c>
      <c r="D105" s="38">
        <f t="shared" ref="D105" si="10">D104-(E$12*D104)</f>
        <v>4.3146823279929318</v>
      </c>
      <c r="E105" s="38">
        <f t="shared" ref="E105" si="11">E104-(F$12*E104)</f>
        <v>4.5304164443925785</v>
      </c>
      <c r="F105" s="38">
        <f t="shared" ref="F105" si="12">F104-(G$12*F104)</f>
        <v>4.7569372666122067</v>
      </c>
    </row>
    <row r="106" spans="1:7" hidden="1">
      <c r="A106" t="s">
        <v>42</v>
      </c>
      <c r="B106" s="18">
        <f ca="1">B105*EXP(-$B$4*B$42/365.25)</f>
        <v>5.6836966625404859</v>
      </c>
      <c r="C106" s="18">
        <f ca="1">C105*EXP(-$B$4*C$42/365.25)</f>
        <v>3.6002214024147947</v>
      </c>
      <c r="D106" s="18">
        <f ca="1">D105*EXP(-$B$4*D$42/365.25)</f>
        <v>3.4207299182145308</v>
      </c>
      <c r="E106" s="18">
        <f ca="1">E105*EXP(-$B$4*E$42/365.25)</f>
        <v>3.2492973729861871</v>
      </c>
      <c r="F106" s="18">
        <f ca="1">F105*EXP(-$B$4*F$42/365.25)</f>
        <v>3.0873014447096305</v>
      </c>
      <c r="G106" s="18">
        <f ca="1">SUM(B106:F106)</f>
        <v>19.041246800865629</v>
      </c>
    </row>
    <row r="107" spans="1:7" hidden="1">
      <c r="A107" t="s">
        <v>41</v>
      </c>
      <c r="F107" s="38">
        <f>((1+$D$18)/($B$4-$D$18)*(1-(((1+$D$18)/(1+$B$4))^$B$16)))</f>
        <v>4.0092717581387287</v>
      </c>
      <c r="G107" s="18">
        <f ca="1">F107*F106</f>
        <v>12.377830491135217</v>
      </c>
    </row>
    <row r="108" spans="1:7" hidden="1">
      <c r="A108" t="s">
        <v>40</v>
      </c>
      <c r="B108" s="38"/>
      <c r="F108" s="18">
        <f>F105*EXP($C$18*$B$16)</f>
        <v>5.2572287261700748</v>
      </c>
    </row>
    <row r="109" spans="1:7" hidden="1">
      <c r="A109" t="s">
        <v>43</v>
      </c>
      <c r="F109" s="18">
        <f ca="1">F108*EXP(-$B$4*B$48/365.25)</f>
        <v>2.0696216995807708</v>
      </c>
      <c r="G109" s="42">
        <f ca="1">F109*B$51</f>
        <v>43.462055691196184</v>
      </c>
    </row>
    <row r="110" spans="1:7" hidden="1">
      <c r="A110" t="s">
        <v>44</v>
      </c>
      <c r="G110" s="18">
        <f ca="1">SUM(G106:G107,G109)</f>
        <v>74.881132983197034</v>
      </c>
    </row>
    <row r="111" spans="1:7" hidden="1">
      <c r="A111" t="s">
        <v>25</v>
      </c>
      <c r="G111" s="43">
        <f ca="1">G110/$G$4</f>
        <v>74.881132983197034</v>
      </c>
    </row>
    <row r="112" spans="1:7" hidden="1"/>
    <row r="113" spans="1:7" hidden="1">
      <c r="A113" s="41" t="s">
        <v>49</v>
      </c>
    </row>
    <row r="114" spans="1:7" hidden="1">
      <c r="A114" t="s">
        <v>37</v>
      </c>
      <c r="B114" s="18">
        <f>$G$3*(1+C$8)</f>
        <v>21.74191145373107</v>
      </c>
      <c r="C114" s="18">
        <f>B114*(1+D$8)</f>
        <v>22.829007026417624</v>
      </c>
      <c r="D114" s="18">
        <f>C114*(1+E$8)</f>
        <v>23.970457377738505</v>
      </c>
      <c r="E114" s="18">
        <f>D114*(1+F$8)</f>
        <v>25.168980246625431</v>
      </c>
      <c r="F114" s="18">
        <f>E114*(1+G$8)</f>
        <v>26.427429258956703</v>
      </c>
    </row>
    <row r="115" spans="1:7" hidden="1">
      <c r="A115" t="s">
        <v>38</v>
      </c>
      <c r="B115" s="18">
        <f>B114*C$11</f>
        <v>6.5225734361193206</v>
      </c>
      <c r="C115" s="18">
        <f>C114*D$11</f>
        <v>4.5658014052835254</v>
      </c>
      <c r="D115" s="18">
        <f>D114*E$11</f>
        <v>4.7940914755477015</v>
      </c>
      <c r="E115" s="18">
        <f>E114*F$11</f>
        <v>5.0337960493250868</v>
      </c>
      <c r="F115" s="18">
        <f>F114*G$11</f>
        <v>5.285485851791341</v>
      </c>
    </row>
    <row r="116" spans="1:7" hidden="1">
      <c r="A116" t="s">
        <v>39</v>
      </c>
      <c r="B116" s="38">
        <f>B115-(C$12*B115)</f>
        <v>5.8703160925073883</v>
      </c>
      <c r="C116" s="38">
        <f t="shared" ref="C116" si="13">C115-(D$12*C115)</f>
        <v>4.1092212647551731</v>
      </c>
      <c r="D116" s="38">
        <f t="shared" ref="D116" si="14">D115-(E$12*D115)</f>
        <v>4.3146823279929318</v>
      </c>
      <c r="E116" s="38">
        <f t="shared" ref="E116" si="15">E115-(F$12*E115)</f>
        <v>4.5304164443925785</v>
      </c>
      <c r="F116" s="38">
        <f t="shared" ref="F116" si="16">F115-(G$12*F115)</f>
        <v>4.7569372666122067</v>
      </c>
    </row>
    <row r="117" spans="1:7" hidden="1">
      <c r="A117" t="s">
        <v>42</v>
      </c>
      <c r="B117" s="18">
        <f ca="1">B116*EXP(-$B$4*B$42/365.25)</f>
        <v>5.6836966625404859</v>
      </c>
      <c r="C117" s="18">
        <f ca="1">C116*EXP(-$B$4*C$42/365.25)</f>
        <v>3.6002214024147947</v>
      </c>
      <c r="D117" s="18">
        <f ca="1">D116*EXP(-$B$4*D$42/365.25)</f>
        <v>3.4207299182145308</v>
      </c>
      <c r="E117" s="18">
        <f ca="1">E116*EXP(-$B$4*E$42/365.25)</f>
        <v>3.2492973729861871</v>
      </c>
      <c r="F117" s="18">
        <f ca="1">F116*EXP(-$B$4*F$42/365.25)</f>
        <v>3.0873014447096305</v>
      </c>
      <c r="G117" s="18">
        <f ca="1">SUM(B117:F117)</f>
        <v>19.041246800865629</v>
      </c>
    </row>
    <row r="118" spans="1:7" hidden="1">
      <c r="A118" t="s">
        <v>41</v>
      </c>
      <c r="F118" s="38">
        <f>((1+$D$17)/($B$4-$D$17)*(1-(((1+$D$17)/(1+$B$4))^$B$16)))</f>
        <v>4.358120835946381</v>
      </c>
      <c r="G118" s="18">
        <f ca="1">F118*F117</f>
        <v>13.454832753036404</v>
      </c>
    </row>
    <row r="119" spans="1:7" hidden="1">
      <c r="A119" t="s">
        <v>40</v>
      </c>
      <c r="B119" s="38"/>
      <c r="F119" s="18">
        <f>F116*EXP($C$17*$B$16)</f>
        <v>6.1080283559191839</v>
      </c>
    </row>
    <row r="120" spans="1:7" hidden="1">
      <c r="A120" t="s">
        <v>43</v>
      </c>
      <c r="F120" s="18">
        <f ca="1">F119*EXP(-$B$4*B$48/365.25)</f>
        <v>2.4045573600664465</v>
      </c>
      <c r="G120" s="42">
        <f ca="1">F120*B$51</f>
        <v>50.495704561395378</v>
      </c>
    </row>
    <row r="121" spans="1:7" hidden="1">
      <c r="A121" t="s">
        <v>44</v>
      </c>
      <c r="G121" s="18">
        <f ca="1">SUM(G117:G118,G120)</f>
        <v>82.991784115297406</v>
      </c>
    </row>
    <row r="122" spans="1:7" hidden="1">
      <c r="A122" t="s">
        <v>25</v>
      </c>
      <c r="G122" s="43">
        <f ca="1">G121/$G$4</f>
        <v>82.991784115297406</v>
      </c>
    </row>
    <row r="123" spans="1:7" hidden="1"/>
    <row r="124" spans="1:7" hidden="1">
      <c r="A124" s="41" t="s">
        <v>50</v>
      </c>
    </row>
    <row r="125" spans="1:7" hidden="1">
      <c r="A125" t="s">
        <v>37</v>
      </c>
      <c r="B125" s="18">
        <f>$G$3*(1+C$8)</f>
        <v>21.74191145373107</v>
      </c>
      <c r="C125" s="18">
        <f>B125*(1+D$8)</f>
        <v>22.829007026417624</v>
      </c>
      <c r="D125" s="18">
        <f>C125*(1+E$8)</f>
        <v>23.970457377738505</v>
      </c>
      <c r="E125" s="18">
        <f>D125*(1+F$8)</f>
        <v>25.168980246625431</v>
      </c>
      <c r="F125" s="18">
        <f>E125*(1+G$8)</f>
        <v>26.427429258956703</v>
      </c>
    </row>
    <row r="126" spans="1:7" hidden="1">
      <c r="A126" t="s">
        <v>38</v>
      </c>
      <c r="B126" s="18">
        <f>B125*C$10</f>
        <v>6.5225734361193206</v>
      </c>
      <c r="C126" s="18">
        <f>C125*D$10</f>
        <v>6.8487021079252868</v>
      </c>
      <c r="D126" s="18">
        <f>D125*E$10</f>
        <v>7.191137213321551</v>
      </c>
      <c r="E126" s="18">
        <f>E125*F$10</f>
        <v>7.5506940739876285</v>
      </c>
      <c r="F126" s="18">
        <f>F125*G$10</f>
        <v>7.9282287776870106</v>
      </c>
    </row>
    <row r="127" spans="1:7" hidden="1">
      <c r="A127" t="s">
        <v>39</v>
      </c>
      <c r="B127" s="38">
        <f>B126-(C$12*B126)</f>
        <v>5.8703160925073883</v>
      </c>
      <c r="C127" s="38">
        <f t="shared" ref="C127" si="17">C126-(D$12*C126)</f>
        <v>6.1638318971327584</v>
      </c>
      <c r="D127" s="38">
        <f t="shared" ref="D127" si="18">D126-(E$12*D126)</f>
        <v>6.472023491989396</v>
      </c>
      <c r="E127" s="38">
        <f t="shared" ref="E127" si="19">E126-(F$12*E126)</f>
        <v>6.795624666588866</v>
      </c>
      <c r="F127" s="38">
        <f t="shared" ref="F127" si="20">F126-(G$12*F126)</f>
        <v>7.1354058999183092</v>
      </c>
    </row>
    <row r="128" spans="1:7" hidden="1">
      <c r="A128" t="s">
        <v>42</v>
      </c>
      <c r="B128" s="18">
        <f ca="1">B127*EXP(-$B$4*B$42/365.25)</f>
        <v>5.6836966625404859</v>
      </c>
      <c r="C128" s="18">
        <f ca="1">C127*EXP(-$B$4*C$42/365.25)</f>
        <v>5.4003321036221905</v>
      </c>
      <c r="D128" s="18">
        <f ca="1">D127*EXP(-$B$4*D$42/365.25)</f>
        <v>5.1310948773217948</v>
      </c>
      <c r="E128" s="18">
        <f ca="1">E127*EXP(-$B$4*E$42/365.25)</f>
        <v>4.8739460594792794</v>
      </c>
      <c r="F128" s="18">
        <f ca="1">F127*EXP(-$B$4*F$42/365.25)</f>
        <v>4.6309521670644456</v>
      </c>
      <c r="G128" s="18">
        <f ca="1">SUM(B128:F128)</f>
        <v>25.720021870028198</v>
      </c>
    </row>
    <row r="129" spans="1:11" hidden="1">
      <c r="A129" t="s">
        <v>41</v>
      </c>
      <c r="F129" s="38">
        <f>((1+$D$18)/($B$4-$D$18)*(1-(((1+$D$18)/(1+$B$4))^$B$16)))</f>
        <v>4.0092717581387287</v>
      </c>
      <c r="G129" s="18">
        <f ca="1">F129*F128</f>
        <v>18.566745736702824</v>
      </c>
    </row>
    <row r="130" spans="1:11" hidden="1">
      <c r="A130" t="s">
        <v>40</v>
      </c>
      <c r="B130" s="38"/>
      <c r="F130" s="18">
        <f>F127*EXP($C$18*$B$16)</f>
        <v>7.8858430892551112</v>
      </c>
    </row>
    <row r="131" spans="1:11" hidden="1">
      <c r="A131" t="s">
        <v>43</v>
      </c>
      <c r="F131" s="18">
        <f ca="1">F130*EXP(-$B$4*B$48/365.25)</f>
        <v>3.1044325493711558</v>
      </c>
      <c r="G131" s="42">
        <f ca="1">F131*B$51</f>
        <v>65.193083536794276</v>
      </c>
    </row>
    <row r="132" spans="1:11" hidden="1">
      <c r="A132" t="s">
        <v>44</v>
      </c>
      <c r="G132" s="18">
        <f ca="1">SUM(G128:G129,G131)</f>
        <v>109.47985114352529</v>
      </c>
    </row>
    <row r="133" spans="1:11" hidden="1">
      <c r="A133" t="s">
        <v>25</v>
      </c>
      <c r="G133" s="43">
        <f ca="1">G132/$G$4</f>
        <v>109.47985114352529</v>
      </c>
    </row>
    <row r="134" spans="1:11" hidden="1"/>
    <row r="135" spans="1:11" hidden="1">
      <c r="A135" s="41" t="s">
        <v>49</v>
      </c>
    </row>
    <row r="136" spans="1:11" hidden="1">
      <c r="A136" t="s">
        <v>37</v>
      </c>
      <c r="B136" s="18">
        <f>$G$3*(1+C$8)</f>
        <v>21.74191145373107</v>
      </c>
      <c r="C136" s="18">
        <f>B136*(1+D$8)</f>
        <v>22.829007026417624</v>
      </c>
      <c r="D136" s="18">
        <f>C136*(1+E$8)</f>
        <v>23.970457377738505</v>
      </c>
      <c r="E136" s="18">
        <f>D136*(1+F$8)</f>
        <v>25.168980246625431</v>
      </c>
      <c r="F136" s="18">
        <f>E136*(1+G$8)</f>
        <v>26.427429258956703</v>
      </c>
    </row>
    <row r="137" spans="1:11" hidden="1">
      <c r="A137" t="s">
        <v>38</v>
      </c>
      <c r="B137" s="18">
        <f>B136*C$10</f>
        <v>6.5225734361193206</v>
      </c>
      <c r="C137" s="18">
        <f>C136*D$10</f>
        <v>6.8487021079252868</v>
      </c>
      <c r="D137" s="18">
        <f>D136*E$10</f>
        <v>7.191137213321551</v>
      </c>
      <c r="E137" s="18">
        <f>E136*F$10</f>
        <v>7.5506940739876285</v>
      </c>
      <c r="F137" s="18">
        <f>F136*G$10</f>
        <v>7.9282287776870106</v>
      </c>
    </row>
    <row r="138" spans="1:11" hidden="1">
      <c r="A138" t="s">
        <v>39</v>
      </c>
      <c r="B138" s="38">
        <f>B137-(C$12*B137)</f>
        <v>5.8703160925073883</v>
      </c>
      <c r="C138" s="38">
        <f t="shared" ref="C138" si="21">C137-(D$12*C137)</f>
        <v>6.1638318971327584</v>
      </c>
      <c r="D138" s="38">
        <f t="shared" ref="D138" si="22">D137-(E$12*D137)</f>
        <v>6.472023491989396</v>
      </c>
      <c r="E138" s="38">
        <f t="shared" ref="E138" si="23">E137-(F$12*E137)</f>
        <v>6.795624666588866</v>
      </c>
      <c r="F138" s="38">
        <f t="shared" ref="F138" si="24">F137-(G$12*F137)</f>
        <v>7.1354058999183092</v>
      </c>
    </row>
    <row r="139" spans="1:11" hidden="1">
      <c r="A139" t="s">
        <v>42</v>
      </c>
      <c r="B139" s="18">
        <f ca="1">B138*EXP(-$B$4*B$42/365.25)</f>
        <v>5.6836966625404859</v>
      </c>
      <c r="C139" s="18">
        <f ca="1">C138*EXP(-$B$4*C$42/365.25)</f>
        <v>5.4003321036221905</v>
      </c>
      <c r="D139" s="18">
        <f ca="1">D138*EXP(-$B$4*D$42/365.25)</f>
        <v>5.1310948773217948</v>
      </c>
      <c r="E139" s="18">
        <f ca="1">E138*EXP(-$B$4*E$42/365.25)</f>
        <v>4.8739460594792794</v>
      </c>
      <c r="F139" s="18">
        <f ca="1">F138*EXP(-$B$4*F$42/365.25)</f>
        <v>4.6309521670644456</v>
      </c>
      <c r="G139" s="18">
        <f ca="1">SUM(B139:F139)</f>
        <v>25.720021870028198</v>
      </c>
      <c r="H139" s="18"/>
      <c r="I139" s="18"/>
      <c r="J139" s="18"/>
      <c r="K139" s="18"/>
    </row>
    <row r="140" spans="1:11" hidden="1">
      <c r="A140" t="s">
        <v>41</v>
      </c>
      <c r="F140" s="38">
        <f>((1+$D$17)/($B$4-$D$17)*(1-(((1+$D$17)/(1+$B$4))^$B$16)))</f>
        <v>4.358120835946381</v>
      </c>
      <c r="G140" s="18">
        <f ca="1">F140*F139</f>
        <v>20.182249129554606</v>
      </c>
    </row>
    <row r="141" spans="1:11" hidden="1">
      <c r="A141" t="s">
        <v>40</v>
      </c>
      <c r="B141" s="38"/>
      <c r="F141" s="18">
        <f>F138*EXP($C$17*$B$16)</f>
        <v>9.1620425338787754</v>
      </c>
    </row>
    <row r="142" spans="1:11" hidden="1">
      <c r="A142" t="s">
        <v>43</v>
      </c>
      <c r="F142" s="18">
        <f ca="1">F141*EXP(-$B$4*B$48/365.25)</f>
        <v>3.6068360400996693</v>
      </c>
      <c r="G142" s="42">
        <f ca="1">F142*B$51</f>
        <v>75.743556842093057</v>
      </c>
    </row>
    <row r="143" spans="1:11" hidden="1">
      <c r="A143" t="s">
        <v>44</v>
      </c>
      <c r="G143" s="18">
        <f ca="1">SUM(G139:G140,G142)</f>
        <v>121.64582784167587</v>
      </c>
    </row>
    <row r="144" spans="1:11" hidden="1">
      <c r="A144" t="s">
        <v>25</v>
      </c>
      <c r="G144" s="43">
        <f ca="1">G143/$G$4</f>
        <v>121.64582784167587</v>
      </c>
    </row>
    <row r="145" spans="11:11">
      <c r="K145" s="105"/>
    </row>
  </sheetData>
  <mergeCells count="20">
    <mergeCell ref="A1:G1"/>
    <mergeCell ref="A10:A11"/>
    <mergeCell ref="A8:A9"/>
    <mergeCell ref="I6:J6"/>
    <mergeCell ref="I7:J7"/>
    <mergeCell ref="I8:J8"/>
    <mergeCell ref="I9:J9"/>
    <mergeCell ref="I1:J1"/>
    <mergeCell ref="I2:J2"/>
    <mergeCell ref="I3:J3"/>
    <mergeCell ref="I4:J4"/>
    <mergeCell ref="I5:J5"/>
    <mergeCell ref="A6:G6"/>
    <mergeCell ref="I11:L11"/>
    <mergeCell ref="I12:L12"/>
    <mergeCell ref="I20:L20"/>
    <mergeCell ref="A41:F41"/>
    <mergeCell ref="A17:A18"/>
    <mergeCell ref="E15:G15"/>
    <mergeCell ref="A15:C15"/>
  </mergeCells>
  <dataValidations count="4">
    <dataValidation type="list" allowBlank="1" showInputMessage="1" showErrorMessage="1" sqref="L13" xr:uid="{00000000-0002-0000-0000-000000000000}">
      <formula1>_options3</formula1>
    </dataValidation>
    <dataValidation type="list" allowBlank="1" showInputMessage="1" showErrorMessage="1" sqref="L14" xr:uid="{00000000-0002-0000-0000-000001000000}">
      <formula1>_options4</formula1>
    </dataValidation>
    <dataValidation type="list" allowBlank="1" showInputMessage="1" showErrorMessage="1" sqref="L15" xr:uid="{00000000-0002-0000-0000-000002000000}">
      <formula1>_options5</formula1>
    </dataValidation>
    <dataValidation type="list" allowBlank="1" showInputMessage="1" showErrorMessage="1" sqref="L2:L9" xr:uid="{00000000-0002-0000-0000-000003000000}">
      <formula1>"Yes,No,Most"</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2"/>
  <sheetViews>
    <sheetView workbookViewId="0"/>
  </sheetViews>
  <sheetFormatPr defaultRowHeight="1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3"/>
  <sheetViews>
    <sheetView workbookViewId="0"/>
  </sheetViews>
  <sheetFormatPr defaultRowHeight="15"/>
  <cols>
    <col min="1" max="5" width="6.28515625" bestFit="1" customWidth="1"/>
    <col min="6" max="7" width="11" bestFit="1" customWidth="1"/>
    <col min="8" max="8" width="6.140625" bestFit="1" customWidth="1"/>
    <col min="9" max="10" width="11" bestFit="1" customWidth="1"/>
    <col min="11" max="11" width="6.140625" bestFit="1" customWidth="1"/>
    <col min="12" max="13" width="11" bestFit="1" customWidth="1"/>
    <col min="14" max="14" width="6.140625" bestFit="1" customWidth="1"/>
    <col min="15" max="16" width="11" bestFit="1" customWidth="1"/>
    <col min="17" max="17" width="6.140625" bestFit="1" customWidth="1"/>
    <col min="18" max="19" width="11" bestFit="1" customWidth="1"/>
    <col min="20" max="20" width="6.140625" bestFit="1" customWidth="1"/>
    <col min="21" max="22" width="11" bestFit="1" customWidth="1"/>
    <col min="23" max="23" width="6.140625" bestFit="1" customWidth="1"/>
    <col min="24" max="25" width="11" bestFit="1" customWidth="1"/>
    <col min="26" max="26" width="6.140625" bestFit="1" customWidth="1"/>
    <col min="27" max="28" width="11" bestFit="1" customWidth="1"/>
    <col min="29" max="29" width="6.1406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5"/>
  <sheetViews>
    <sheetView showGridLines="0" zoomScaleNormal="100" workbookViewId="0">
      <selection activeCell="A20" sqref="A20"/>
    </sheetView>
  </sheetViews>
  <sheetFormatPr defaultRowHeight="15"/>
  <cols>
    <col min="1" max="1" width="38.7109375" bestFit="1" customWidth="1"/>
    <col min="2" max="7" width="11.7109375" customWidth="1"/>
    <col min="8" max="11" width="10.7109375" customWidth="1"/>
    <col min="12" max="12" width="11.5703125" bestFit="1" customWidth="1"/>
    <col min="13" max="13" width="12.5703125" bestFit="1" customWidth="1"/>
    <col min="14" max="14" width="15" bestFit="1" customWidth="1"/>
    <col min="15" max="15" width="13.140625" bestFit="1" customWidth="1"/>
    <col min="16" max="16" width="16" bestFit="1" customWidth="1"/>
  </cols>
  <sheetData>
    <row r="1" spans="1:11" s="9" customFormat="1" ht="15.75" thickBot="1">
      <c r="A1" s="59" t="s">
        <v>129</v>
      </c>
      <c r="B1" s="61">
        <v>-9</v>
      </c>
      <c r="C1" s="61">
        <v>-8</v>
      </c>
      <c r="D1" s="61">
        <v>-7</v>
      </c>
      <c r="E1" s="61">
        <v>-6</v>
      </c>
      <c r="F1" s="61">
        <v>-5</v>
      </c>
      <c r="G1" s="61">
        <v>-4</v>
      </c>
      <c r="H1" s="61">
        <v>-3</v>
      </c>
      <c r="I1" s="61">
        <v>-2</v>
      </c>
      <c r="J1" s="61">
        <v>-1</v>
      </c>
      <c r="K1" s="61">
        <v>0</v>
      </c>
    </row>
    <row r="2" spans="1:11">
      <c r="A2" s="7" t="s">
        <v>130</v>
      </c>
      <c r="B2" s="106">
        <f>DATE(YEAR('Valuation Model'!$B3)+B1,MONTH('Valuation Model'!$B3),DAY('Valuation Model'!$B3))</f>
        <v>39447</v>
      </c>
      <c r="C2" s="106">
        <f>DATE(YEAR('Valuation Model'!$B3)+C1,MONTH('Valuation Model'!$B3),DAY('Valuation Model'!$B3))</f>
        <v>39813</v>
      </c>
      <c r="D2" s="106">
        <f>DATE(YEAR('Valuation Model'!$B3)+D1,MONTH('Valuation Model'!$B3),DAY('Valuation Model'!$B3))</f>
        <v>40178</v>
      </c>
      <c r="E2" s="106">
        <f>DATE(YEAR('Valuation Model'!$B3)+E1,MONTH('Valuation Model'!$B3),DAY('Valuation Model'!$B3))</f>
        <v>40543</v>
      </c>
      <c r="F2" s="106">
        <f>DATE(YEAR('Valuation Model'!$B3)+F1,MONTH('Valuation Model'!$B3),DAY('Valuation Model'!$B3))</f>
        <v>40908</v>
      </c>
      <c r="G2" s="106">
        <f>DATE(YEAR('Valuation Model'!$B3)+G1,MONTH('Valuation Model'!$B3),DAY('Valuation Model'!$B3))</f>
        <v>41274</v>
      </c>
      <c r="H2" s="106">
        <f>DATE(YEAR('Valuation Model'!$B3)+H1,MONTH('Valuation Model'!$B3),DAY('Valuation Model'!$B3))</f>
        <v>41639</v>
      </c>
      <c r="I2" s="106">
        <f>DATE(YEAR('Valuation Model'!$B3)+I1,MONTH('Valuation Model'!$B3),DAY('Valuation Model'!$B3))</f>
        <v>42004</v>
      </c>
      <c r="J2" s="106">
        <f>DATE(YEAR('Valuation Model'!$B3)+J1,MONTH('Valuation Model'!$B3),DAY('Valuation Model'!$B3))</f>
        <v>42369</v>
      </c>
      <c r="K2" s="106">
        <f>DATE(YEAR('Valuation Model'!$B3)+K1,MONTH('Valuation Model'!$B3),DAY('Valuation Model'!$B3))</f>
        <v>42735</v>
      </c>
    </row>
    <row r="3" spans="1:11">
      <c r="A3" s="1" t="s">
        <v>228</v>
      </c>
      <c r="B3" s="141">
        <v>16.783285564239048</v>
      </c>
      <c r="C3" s="141">
        <v>21.743921403733587</v>
      </c>
      <c r="D3" s="141">
        <v>15.677424055425906</v>
      </c>
      <c r="E3" s="141">
        <v>18.391854823538676</v>
      </c>
      <c r="F3" s="141">
        <v>21.338571632044406</v>
      </c>
      <c r="G3" s="141">
        <v>21.790537764019398</v>
      </c>
      <c r="H3" s="141">
        <v>18.492013585431188</v>
      </c>
      <c r="I3" s="141">
        <v>19.003032792419706</v>
      </c>
      <c r="J3" s="141">
        <v>20.488883444907184</v>
      </c>
      <c r="K3" s="141">
        <v>20.131399494195435</v>
      </c>
    </row>
    <row r="4" spans="1:11">
      <c r="A4" s="107" t="s">
        <v>131</v>
      </c>
      <c r="B4" s="107"/>
      <c r="C4" s="108">
        <f t="shared" ref="C4:F4" si="0">IFERROR(C3/B3-1,"")</f>
        <v>0.29557000746411677</v>
      </c>
      <c r="D4" s="108">
        <f t="shared" si="0"/>
        <v>-0.27899739130155332</v>
      </c>
      <c r="E4" s="108">
        <f t="shared" si="0"/>
        <v>0.17314265140218077</v>
      </c>
      <c r="F4" s="108">
        <f t="shared" si="0"/>
        <v>0.16021857701564701</v>
      </c>
      <c r="G4" s="108">
        <f>IFERROR(G3/F3-1,"")</f>
        <v>2.118071161315549E-2</v>
      </c>
      <c r="H4" s="108">
        <f t="shared" ref="H4:K4" si="1">IFERROR(H3/G3-1,"")</f>
        <v>-0.15137415213472805</v>
      </c>
      <c r="I4" s="108">
        <f t="shared" si="1"/>
        <v>2.7634589636637674E-2</v>
      </c>
      <c r="J4" s="108">
        <f t="shared" si="1"/>
        <v>7.8190185151929104E-2</v>
      </c>
      <c r="K4" s="108">
        <f t="shared" si="1"/>
        <v>-1.7447702881076554E-2</v>
      </c>
    </row>
    <row r="5" spans="1:11">
      <c r="A5" s="107" t="s">
        <v>132</v>
      </c>
      <c r="B5" s="107"/>
      <c r="C5" s="107"/>
      <c r="D5" s="107"/>
      <c r="E5" s="108">
        <f>IFERROR(SUM(C3:E3)/SUM(B3:D3)-1,"")</f>
        <v>2.9675864016218023E-2</v>
      </c>
      <c r="F5" s="108">
        <f t="shared" ref="F5:K5" si="2">IFERROR(SUM(D3:F3)/SUM(C3:E3)-1,"")</f>
        <v>-7.2626147512785399E-3</v>
      </c>
      <c r="G5" s="108">
        <f t="shared" si="2"/>
        <v>0.11032937845836277</v>
      </c>
      <c r="H5" s="108">
        <f t="shared" si="2"/>
        <v>1.6280427844885814E-3</v>
      </c>
      <c r="I5" s="108">
        <f t="shared" si="2"/>
        <v>-3.7901594885345946E-2</v>
      </c>
      <c r="J5" s="108">
        <f t="shared" si="2"/>
        <v>-2.1955663218183763E-2</v>
      </c>
      <c r="K5" s="108">
        <f t="shared" si="2"/>
        <v>2.8273107976217293E-2</v>
      </c>
    </row>
    <row r="6" spans="1:11">
      <c r="A6" s="107" t="s">
        <v>133</v>
      </c>
      <c r="B6" s="107"/>
      <c r="C6" s="107"/>
      <c r="D6" s="107"/>
      <c r="E6" s="107"/>
      <c r="F6" s="109"/>
      <c r="G6" s="108">
        <f>IFERROR(SUM(C3:G3)/SUM(B3:F3)-1,"")</f>
        <v>5.3305467992083244E-2</v>
      </c>
      <c r="H6" s="108">
        <f t="shared" ref="H6:K6" si="3">IFERROR(SUM(D3:H3)/SUM(C3:G3)-1,"")</f>
        <v>-3.2866706152913205E-2</v>
      </c>
      <c r="I6" s="108">
        <f t="shared" si="3"/>
        <v>3.4753838131470927E-2</v>
      </c>
      <c r="J6" s="108">
        <f t="shared" si="3"/>
        <v>2.1178682202153354E-2</v>
      </c>
      <c r="K6" s="108">
        <f t="shared" si="3"/>
        <v>-1.1938837435560568E-2</v>
      </c>
    </row>
    <row r="8" spans="1:11" s="9" customFormat="1" ht="15.75" thickBot="1">
      <c r="A8" s="59" t="s">
        <v>134</v>
      </c>
      <c r="B8" s="110">
        <f t="shared" ref="B8:J8" si="4">B2</f>
        <v>39447</v>
      </c>
      <c r="C8" s="110">
        <f t="shared" si="4"/>
        <v>39813</v>
      </c>
      <c r="D8" s="110">
        <f t="shared" si="4"/>
        <v>40178</v>
      </c>
      <c r="E8" s="110">
        <f t="shared" si="4"/>
        <v>40543</v>
      </c>
      <c r="F8" s="110">
        <f t="shared" si="4"/>
        <v>40908</v>
      </c>
      <c r="G8" s="110">
        <f t="shared" si="4"/>
        <v>41274</v>
      </c>
      <c r="H8" s="110">
        <f t="shared" si="4"/>
        <v>41639</v>
      </c>
      <c r="I8" s="110">
        <f t="shared" si="4"/>
        <v>42004</v>
      </c>
      <c r="J8" s="110">
        <f t="shared" si="4"/>
        <v>42369</v>
      </c>
      <c r="K8" s="110">
        <f>K2</f>
        <v>42735</v>
      </c>
    </row>
    <row r="9" spans="1:11">
      <c r="A9" s="111" t="s">
        <v>135</v>
      </c>
      <c r="B9" s="142">
        <v>2.0806036708026987</v>
      </c>
      <c r="C9" s="142">
        <v>2.1264018759163221</v>
      </c>
      <c r="D9" s="142">
        <v>1.831986911855942</v>
      </c>
      <c r="E9" s="142">
        <v>2.1558380764468867</v>
      </c>
      <c r="F9" s="142">
        <v>1.9647288845919781</v>
      </c>
      <c r="G9" s="142">
        <v>4.5920567118824795</v>
      </c>
      <c r="H9" s="142">
        <v>2.7554018431280594</v>
      </c>
      <c r="I9" s="142">
        <v>3.5394066079989197</v>
      </c>
      <c r="J9" s="142">
        <v>4.7640450561702261</v>
      </c>
      <c r="K9" s="142">
        <v>6.8292147841189559</v>
      </c>
    </row>
    <row r="10" spans="1:11">
      <c r="A10" s="113" t="s">
        <v>136</v>
      </c>
      <c r="B10" s="142">
        <v>-1.088982965459349</v>
      </c>
      <c r="C10" s="142">
        <v>-1.329262656969729</v>
      </c>
      <c r="D10" s="142">
        <v>-1.0876544769710041</v>
      </c>
      <c r="E10" s="142">
        <v>-1.543953114034555</v>
      </c>
      <c r="F10" s="142">
        <v>-2.011201531596376</v>
      </c>
      <c r="G10" s="142">
        <v>-2.1441393629010328</v>
      </c>
      <c r="H10" s="142">
        <v>-2.403430916536994</v>
      </c>
      <c r="I10" s="142">
        <v>-1.5364627621680063</v>
      </c>
      <c r="J10" s="142">
        <v>-1.7408216096673419</v>
      </c>
      <c r="K10" s="142">
        <v>-1.5417898168743716</v>
      </c>
    </row>
    <row r="11" spans="1:11">
      <c r="A11" s="114" t="s">
        <v>137</v>
      </c>
      <c r="B11" s="58">
        <f t="shared" ref="B11:K11" si="5">B9+B10</f>
        <v>0.99162070534334967</v>
      </c>
      <c r="C11" s="58">
        <f t="shared" si="5"/>
        <v>0.79713921894659312</v>
      </c>
      <c r="D11" s="58">
        <f t="shared" si="5"/>
        <v>0.74433243488493783</v>
      </c>
      <c r="E11" s="58">
        <f t="shared" si="5"/>
        <v>0.6118849624123317</v>
      </c>
      <c r="F11" s="58">
        <f t="shared" si="5"/>
        <v>-4.6472647004397905E-2</v>
      </c>
      <c r="G11" s="58">
        <f t="shared" si="5"/>
        <v>2.4479173489814468</v>
      </c>
      <c r="H11" s="58">
        <f t="shared" si="5"/>
        <v>0.35197092659106533</v>
      </c>
      <c r="I11" s="58">
        <f t="shared" si="5"/>
        <v>2.0029438458309134</v>
      </c>
      <c r="J11" s="58">
        <f t="shared" si="5"/>
        <v>3.0232234465028842</v>
      </c>
      <c r="K11" s="58">
        <f t="shared" si="5"/>
        <v>5.2874249672445846</v>
      </c>
    </row>
    <row r="12" spans="1:11">
      <c r="A12" s="107" t="s">
        <v>127</v>
      </c>
      <c r="B12" s="108">
        <f t="shared" ref="B12:K12" si="6">IFERROR(B11/B$3,"")</f>
        <v>5.908382488922452E-2</v>
      </c>
      <c r="C12" s="108">
        <f t="shared" si="6"/>
        <v>3.6660324701583889E-2</v>
      </c>
      <c r="D12" s="108">
        <f t="shared" si="6"/>
        <v>4.7477980582360198E-2</v>
      </c>
      <c r="E12" s="108">
        <f t="shared" si="6"/>
        <v>3.3269344950962496E-2</v>
      </c>
      <c r="F12" s="108">
        <f t="shared" si="6"/>
        <v>-2.1778705625548683E-3</v>
      </c>
      <c r="G12" s="108">
        <f t="shared" si="6"/>
        <v>0.11233854691844528</v>
      </c>
      <c r="H12" s="108">
        <f t="shared" si="6"/>
        <v>1.9033672291283808E-2</v>
      </c>
      <c r="I12" s="108">
        <f t="shared" si="6"/>
        <v>0.10540127292891302</v>
      </c>
      <c r="J12" s="108">
        <f t="shared" si="6"/>
        <v>0.14755432889410824</v>
      </c>
      <c r="K12" s="108">
        <f t="shared" si="6"/>
        <v>0.26264567293342567</v>
      </c>
    </row>
    <row r="13" spans="1:11">
      <c r="A13" s="107" t="s">
        <v>138</v>
      </c>
      <c r="B13" s="107"/>
      <c r="C13" s="108">
        <f t="shared" ref="C13:F13" si="7">IFERROR(C11/B11-1,"")</f>
        <v>-0.19612487450977245</v>
      </c>
      <c r="D13" s="108">
        <f t="shared" si="7"/>
        <v>-6.6245371958286836E-2</v>
      </c>
      <c r="E13" s="108">
        <f t="shared" si="7"/>
        <v>-0.17794128841514267</v>
      </c>
      <c r="F13" s="108">
        <f t="shared" si="7"/>
        <v>-1.0759499740297285</v>
      </c>
      <c r="G13" s="108">
        <f>IFERROR(G11/F11-1,"")</f>
        <v>-53.674368833559015</v>
      </c>
      <c r="H13" s="108">
        <f t="shared" ref="H13:K13" si="8">IFERROR(H11/G11-1,"")</f>
        <v>-0.85621617219326596</v>
      </c>
      <c r="I13" s="108">
        <f t="shared" si="8"/>
        <v>4.6906513990515419</v>
      </c>
      <c r="J13" s="108">
        <f t="shared" si="8"/>
        <v>0.50939001749632773</v>
      </c>
      <c r="K13" s="108">
        <f t="shared" si="8"/>
        <v>0.74893621355074402</v>
      </c>
    </row>
    <row r="14" spans="1:11">
      <c r="A14" s="107" t="s">
        <v>139</v>
      </c>
      <c r="B14" s="107"/>
      <c r="C14" s="107"/>
      <c r="D14" s="107"/>
      <c r="E14" s="108">
        <f>IFERROR(SUM(C11:E11)/SUM(B11:D11)-1,"")</f>
        <v>-0.14990994763993204</v>
      </c>
      <c r="F14" s="108">
        <f t="shared" ref="F14:K14" si="9">IFERROR(SUM(D11:F11)/SUM(C11:E11)-1,"")</f>
        <v>-0.39176598041736244</v>
      </c>
      <c r="G14" s="108">
        <f t="shared" si="9"/>
        <v>1.3006999369270775</v>
      </c>
      <c r="H14" s="108">
        <f t="shared" si="9"/>
        <v>-8.6254762926490258E-2</v>
      </c>
      <c r="I14" s="108">
        <f t="shared" si="9"/>
        <v>0.74431788342143235</v>
      </c>
      <c r="J14" s="108">
        <f t="shared" si="9"/>
        <v>0.11978476094503354</v>
      </c>
      <c r="K14" s="108">
        <f t="shared" si="9"/>
        <v>0.91768821100327891</v>
      </c>
    </row>
    <row r="15" spans="1:11">
      <c r="A15" s="107" t="s">
        <v>133</v>
      </c>
      <c r="B15" s="107"/>
      <c r="C15" s="107"/>
      <c r="D15" s="107"/>
      <c r="E15" s="107"/>
      <c r="F15" s="108"/>
      <c r="G15" s="108">
        <f>IFERROR(SUM(C11:G11)/SUM(B11:F11)-1,"")</f>
        <v>0.4699998213926122</v>
      </c>
      <c r="H15" s="108">
        <f t="shared" ref="H15:K15" si="10">IFERROR(SUM(D11:H11)/SUM(C11:G11)-1,"")</f>
        <v>-9.7736050653776774E-2</v>
      </c>
      <c r="I15" s="108">
        <f t="shared" si="10"/>
        <v>0.30625883212064786</v>
      </c>
      <c r="J15" s="108">
        <f t="shared" si="10"/>
        <v>0.44918567186609781</v>
      </c>
      <c r="K15" s="108">
        <f t="shared" si="10"/>
        <v>0.68562770889915625</v>
      </c>
    </row>
    <row r="16" spans="1:11" s="9" customFormat="1">
      <c r="A16"/>
      <c r="B16"/>
      <c r="C16"/>
      <c r="D16"/>
      <c r="E16"/>
      <c r="F16"/>
      <c r="G16"/>
      <c r="H16"/>
      <c r="I16"/>
      <c r="J16"/>
      <c r="K16"/>
    </row>
    <row r="17" spans="1:16" s="9" customFormat="1" ht="15.75" thickBot="1">
      <c r="A17" s="59" t="s">
        <v>140</v>
      </c>
      <c r="B17" s="110">
        <f t="shared" ref="B17:J17" si="11">B2</f>
        <v>39447</v>
      </c>
      <c r="C17" s="110">
        <f t="shared" si="11"/>
        <v>39813</v>
      </c>
      <c r="D17" s="110">
        <f t="shared" si="11"/>
        <v>40178</v>
      </c>
      <c r="E17" s="110">
        <f t="shared" si="11"/>
        <v>40543</v>
      </c>
      <c r="F17" s="110">
        <f t="shared" si="11"/>
        <v>40908</v>
      </c>
      <c r="G17" s="110">
        <f t="shared" si="11"/>
        <v>41274</v>
      </c>
      <c r="H17" s="110">
        <f t="shared" si="11"/>
        <v>41639</v>
      </c>
      <c r="I17" s="110">
        <f t="shared" si="11"/>
        <v>42004</v>
      </c>
      <c r="J17" s="110">
        <f t="shared" si="11"/>
        <v>42369</v>
      </c>
      <c r="K17" s="110">
        <f>K2</f>
        <v>42735</v>
      </c>
    </row>
    <row r="18" spans="1:16">
      <c r="A18" s="111" t="s">
        <v>141</v>
      </c>
      <c r="B18" s="142">
        <f t="shared" ref="B18:F18" si="12">B10</f>
        <v>-1.088982965459349</v>
      </c>
      <c r="C18" s="142">
        <f t="shared" si="12"/>
        <v>-1.329262656969729</v>
      </c>
      <c r="D18" s="142">
        <f t="shared" si="12"/>
        <v>-1.0876544769710041</v>
      </c>
      <c r="E18" s="142">
        <f t="shared" si="12"/>
        <v>-1.543953114034555</v>
      </c>
      <c r="F18" s="142">
        <f t="shared" si="12"/>
        <v>-2.011201531596376</v>
      </c>
      <c r="G18" s="142">
        <f>G10</f>
        <v>-2.1441393629010328</v>
      </c>
      <c r="H18" s="142">
        <f t="shared" ref="H18:K18" si="13">H10</f>
        <v>-2.403430916536994</v>
      </c>
      <c r="I18" s="142">
        <f t="shared" si="13"/>
        <v>-1.5364627621680063</v>
      </c>
      <c r="J18" s="142">
        <f t="shared" si="13"/>
        <v>-1.7408216096673419</v>
      </c>
      <c r="K18" s="142">
        <f t="shared" si="13"/>
        <v>-1.5417898168743716</v>
      </c>
    </row>
    <row r="19" spans="1:16" s="116" customFormat="1">
      <c r="A19" s="113" t="s">
        <v>176</v>
      </c>
      <c r="B19" s="115">
        <f t="shared" ref="B19:K19" si="14">B18-B10</f>
        <v>0</v>
      </c>
      <c r="C19" s="115">
        <f t="shared" si="14"/>
        <v>0</v>
      </c>
      <c r="D19" s="115">
        <f t="shared" si="14"/>
        <v>0</v>
      </c>
      <c r="E19" s="115">
        <f t="shared" si="14"/>
        <v>0</v>
      </c>
      <c r="F19" s="115">
        <f t="shared" si="14"/>
        <v>0</v>
      </c>
      <c r="G19" s="115">
        <f t="shared" si="14"/>
        <v>0</v>
      </c>
      <c r="H19" s="115">
        <f t="shared" si="14"/>
        <v>0</v>
      </c>
      <c r="I19" s="115">
        <f t="shared" si="14"/>
        <v>0</v>
      </c>
      <c r="J19" s="115">
        <f t="shared" si="14"/>
        <v>0</v>
      </c>
      <c r="K19" s="115">
        <f t="shared" si="14"/>
        <v>0</v>
      </c>
    </row>
    <row r="20" spans="1:16" s="116" customFormat="1">
      <c r="A20" s="146" t="s">
        <v>232</v>
      </c>
      <c r="B20" s="142">
        <f t="shared" ref="B20:E20" si="15">-B11</f>
        <v>-0.99162070534334967</v>
      </c>
      <c r="C20" s="142">
        <f t="shared" si="15"/>
        <v>-0.79713921894659312</v>
      </c>
      <c r="D20" s="142">
        <f t="shared" si="15"/>
        <v>-0.74433243488493783</v>
      </c>
      <c r="E20" s="142">
        <f t="shared" si="15"/>
        <v>-0.6118849624123317</v>
      </c>
      <c r="F20" s="142">
        <f>-F11</f>
        <v>4.6472647004397905E-2</v>
      </c>
      <c r="G20" s="142">
        <v>-7.7469398444188986E-2</v>
      </c>
      <c r="H20" s="142">
        <v>1.9389718824384146</v>
      </c>
      <c r="I20" s="142">
        <v>1.3806031146246243</v>
      </c>
      <c r="J20" s="142">
        <v>1.2459136768416319</v>
      </c>
      <c r="K20" s="142">
        <v>-0.45981900728236713</v>
      </c>
    </row>
    <row r="21" spans="1:16" s="116" customFormat="1">
      <c r="A21" s="113" t="s">
        <v>142</v>
      </c>
      <c r="B21" s="112"/>
      <c r="C21" s="112"/>
      <c r="D21" s="112"/>
      <c r="E21" s="112"/>
      <c r="F21" s="112"/>
      <c r="G21" s="112"/>
      <c r="H21" s="112"/>
      <c r="I21" s="112"/>
      <c r="J21" s="112"/>
      <c r="K21" s="112"/>
    </row>
    <row r="22" spans="1:16">
      <c r="A22" s="111" t="s">
        <v>143</v>
      </c>
      <c r="B22" s="112"/>
      <c r="C22" s="112"/>
      <c r="D22" s="112"/>
      <c r="E22" s="112"/>
      <c r="F22" s="112"/>
      <c r="G22" s="112"/>
      <c r="H22" s="112"/>
      <c r="I22" s="112"/>
      <c r="J22" s="112"/>
      <c r="K22" s="112"/>
    </row>
    <row r="23" spans="1:16">
      <c r="A23" s="111" t="s">
        <v>187</v>
      </c>
      <c r="B23" s="112"/>
      <c r="C23" s="112"/>
      <c r="D23" s="112"/>
      <c r="E23" s="112"/>
      <c r="F23" s="112"/>
      <c r="G23" s="112"/>
      <c r="H23" s="112"/>
      <c r="I23" s="112"/>
      <c r="J23" s="112"/>
      <c r="K23" s="112"/>
    </row>
    <row r="24" spans="1:16">
      <c r="A24" s="117" t="s">
        <v>144</v>
      </c>
      <c r="B24" s="118"/>
      <c r="C24" s="118"/>
      <c r="D24" s="118"/>
      <c r="E24" s="118"/>
      <c r="F24" s="118"/>
      <c r="G24" s="118"/>
      <c r="H24" s="118"/>
      <c r="I24" s="118"/>
      <c r="J24" s="118"/>
      <c r="K24" s="118"/>
    </row>
    <row r="25" spans="1:16">
      <c r="A25" s="119" t="s">
        <v>145</v>
      </c>
      <c r="B25" s="120"/>
      <c r="C25" s="120"/>
      <c r="D25" s="120"/>
      <c r="E25" s="120"/>
      <c r="F25" s="120"/>
      <c r="G25" s="120"/>
      <c r="H25" s="120"/>
      <c r="I25" s="120"/>
      <c r="J25" s="120"/>
      <c r="K25" s="120"/>
      <c r="M25" s="17"/>
      <c r="N25" s="18"/>
      <c r="O25" s="18"/>
      <c r="P25" s="18"/>
    </row>
    <row r="26" spans="1:16">
      <c r="A26" s="121" t="s">
        <v>146</v>
      </c>
      <c r="B26" s="122"/>
      <c r="C26" s="122"/>
      <c r="D26" s="122"/>
      <c r="E26" s="122"/>
      <c r="F26" s="122"/>
      <c r="G26" s="122"/>
      <c r="H26" s="122"/>
      <c r="I26" s="122"/>
      <c r="J26" s="122"/>
      <c r="K26" s="122"/>
    </row>
    <row r="27" spans="1:16">
      <c r="A27" s="111" t="s">
        <v>147</v>
      </c>
      <c r="B27" s="143">
        <f t="shared" ref="B27:E27" si="16">-B24*B25+B26</f>
        <v>0</v>
      </c>
      <c r="C27" s="143">
        <f t="shared" si="16"/>
        <v>0</v>
      </c>
      <c r="D27" s="143">
        <f t="shared" si="16"/>
        <v>0</v>
      </c>
      <c r="E27" s="143">
        <f t="shared" si="16"/>
        <v>0</v>
      </c>
      <c r="F27" s="143">
        <f>-F24*F25+F26</f>
        <v>0</v>
      </c>
      <c r="G27" s="143">
        <f t="shared" ref="G27:K27" si="17">-G24*G25+G26</f>
        <v>0</v>
      </c>
      <c r="H27" s="143">
        <f t="shared" si="17"/>
        <v>0</v>
      </c>
      <c r="I27" s="143">
        <f t="shared" si="17"/>
        <v>0</v>
      </c>
      <c r="J27" s="143">
        <f t="shared" si="17"/>
        <v>0</v>
      </c>
      <c r="K27" s="143">
        <f t="shared" si="17"/>
        <v>0</v>
      </c>
    </row>
    <row r="28" spans="1:16">
      <c r="A28" s="1" t="s">
        <v>148</v>
      </c>
      <c r="B28" s="58">
        <f>B19+B20+B21+B22+B23+B27</f>
        <v>-0.99162070534334967</v>
      </c>
      <c r="C28" s="58">
        <f t="shared" ref="C28:K28" si="18">C19+C20+C21+C22+C23+C27</f>
        <v>-0.79713921894659312</v>
      </c>
      <c r="D28" s="58">
        <f t="shared" si="18"/>
        <v>-0.74433243488493783</v>
      </c>
      <c r="E28" s="58">
        <f t="shared" si="18"/>
        <v>-0.6118849624123317</v>
      </c>
      <c r="F28" s="58">
        <f t="shared" si="18"/>
        <v>4.6472647004397905E-2</v>
      </c>
      <c r="G28" s="58">
        <f t="shared" si="18"/>
        <v>-7.7469398444188986E-2</v>
      </c>
      <c r="H28" s="58">
        <f t="shared" si="18"/>
        <v>1.9389718824384146</v>
      </c>
      <c r="I28" s="58">
        <f t="shared" si="18"/>
        <v>1.3806031146246243</v>
      </c>
      <c r="J28" s="58">
        <f t="shared" si="18"/>
        <v>1.2459136768416319</v>
      </c>
      <c r="K28" s="58">
        <f t="shared" si="18"/>
        <v>-0.45981900728236713</v>
      </c>
    </row>
    <row r="29" spans="1:16">
      <c r="A29" s="107" t="s">
        <v>149</v>
      </c>
      <c r="B29" s="108">
        <f t="shared" ref="B29:E29" si="19">IFERROR(-B28/B11,"")</f>
        <v>1</v>
      </c>
      <c r="C29" s="108">
        <f t="shared" si="19"/>
        <v>1</v>
      </c>
      <c r="D29" s="108">
        <f t="shared" si="19"/>
        <v>1</v>
      </c>
      <c r="E29" s="108">
        <f t="shared" si="19"/>
        <v>1</v>
      </c>
      <c r="F29" s="108">
        <f>IFERROR(-F28/F11,"")</f>
        <v>1</v>
      </c>
      <c r="G29" s="108">
        <f t="shared" ref="G29:K29" si="20">IFERROR(-G28/G11,"")</f>
        <v>3.1647064585911454E-2</v>
      </c>
      <c r="H29" s="108">
        <f t="shared" si="20"/>
        <v>-5.5088978547685388</v>
      </c>
      <c r="I29" s="108">
        <f t="shared" si="20"/>
        <v>-0.68928698001110777</v>
      </c>
      <c r="J29" s="108">
        <f t="shared" si="20"/>
        <v>-0.41211432065428155</v>
      </c>
      <c r="K29" s="108">
        <f t="shared" si="20"/>
        <v>8.6964639712323114E-2</v>
      </c>
    </row>
    <row r="31" spans="1:16" s="9" customFormat="1" ht="15.75" thickBot="1">
      <c r="A31" s="59" t="s">
        <v>150</v>
      </c>
      <c r="B31" s="110">
        <f t="shared" ref="B31:J31" si="21">B2</f>
        <v>39447</v>
      </c>
      <c r="C31" s="110">
        <f t="shared" si="21"/>
        <v>39813</v>
      </c>
      <c r="D31" s="110">
        <f t="shared" si="21"/>
        <v>40178</v>
      </c>
      <c r="E31" s="110">
        <f t="shared" si="21"/>
        <v>40543</v>
      </c>
      <c r="F31" s="110">
        <f t="shared" si="21"/>
        <v>40908</v>
      </c>
      <c r="G31" s="110">
        <f t="shared" si="21"/>
        <v>41274</v>
      </c>
      <c r="H31" s="110">
        <f t="shared" si="21"/>
        <v>41639</v>
      </c>
      <c r="I31" s="110">
        <f t="shared" si="21"/>
        <v>42004</v>
      </c>
      <c r="J31" s="110">
        <f t="shared" si="21"/>
        <v>42369</v>
      </c>
      <c r="K31" s="110">
        <f>K2</f>
        <v>42735</v>
      </c>
    </row>
    <row r="32" spans="1:16" ht="15.75" thickBot="1">
      <c r="A32" s="145" t="s">
        <v>207</v>
      </c>
      <c r="B32" s="144">
        <f t="shared" ref="B32:K32" si="22">B11+B28</f>
        <v>0</v>
      </c>
      <c r="C32" s="144">
        <f t="shared" si="22"/>
        <v>0</v>
      </c>
      <c r="D32" s="144">
        <f t="shared" si="22"/>
        <v>0</v>
      </c>
      <c r="E32" s="144">
        <f t="shared" si="22"/>
        <v>0</v>
      </c>
      <c r="F32" s="144">
        <f t="shared" si="22"/>
        <v>0</v>
      </c>
      <c r="G32" s="144">
        <f t="shared" si="22"/>
        <v>2.3704479505372578</v>
      </c>
      <c r="H32" s="144">
        <f t="shared" si="22"/>
        <v>2.2909428090294801</v>
      </c>
      <c r="I32" s="144">
        <f t="shared" si="22"/>
        <v>3.3835469604555377</v>
      </c>
      <c r="J32" s="144">
        <f t="shared" si="22"/>
        <v>4.2691371233445157</v>
      </c>
      <c r="K32" s="144">
        <f t="shared" si="22"/>
        <v>4.8276059599622174</v>
      </c>
    </row>
    <row r="33" spans="1:11" ht="15.75" thickTop="1">
      <c r="A33" s="107" t="s">
        <v>128</v>
      </c>
      <c r="B33" s="108">
        <f t="shared" ref="B33:K33" si="23">IFERROR(B32/B$3,"")</f>
        <v>0</v>
      </c>
      <c r="C33" s="108">
        <f t="shared" si="23"/>
        <v>0</v>
      </c>
      <c r="D33" s="108">
        <f t="shared" si="23"/>
        <v>0</v>
      </c>
      <c r="E33" s="108">
        <f t="shared" si="23"/>
        <v>0</v>
      </c>
      <c r="F33" s="108">
        <f t="shared" si="23"/>
        <v>0</v>
      </c>
      <c r="G33" s="108">
        <f t="shared" si="23"/>
        <v>0.1087833616686298</v>
      </c>
      <c r="H33" s="108">
        <f t="shared" si="23"/>
        <v>0.12388822874510456</v>
      </c>
      <c r="I33" s="108">
        <f t="shared" si="23"/>
        <v>0.17805299803541</v>
      </c>
      <c r="J33" s="108">
        <f t="shared" si="23"/>
        <v>0.20836358090590207</v>
      </c>
      <c r="K33" s="108">
        <f t="shared" si="23"/>
        <v>0.23980478661476962</v>
      </c>
    </row>
    <row r="34" spans="1:11">
      <c r="A34" s="107" t="s">
        <v>138</v>
      </c>
      <c r="B34" s="107"/>
      <c r="C34" s="108" t="str">
        <f t="shared" ref="C34:F34" si="24">IFERROR(C32/B32-1,"")</f>
        <v/>
      </c>
      <c r="D34" s="108" t="str">
        <f t="shared" si="24"/>
        <v/>
      </c>
      <c r="E34" s="108" t="str">
        <f t="shared" si="24"/>
        <v/>
      </c>
      <c r="F34" s="108" t="str">
        <f t="shared" si="24"/>
        <v/>
      </c>
      <c r="G34" s="108" t="str">
        <f>IFERROR(G32/F32-1,"")</f>
        <v/>
      </c>
      <c r="H34" s="108">
        <f t="shared" ref="H34:K34" si="25">IFERROR(H32/G32-1,"")</f>
        <v>-3.354013383409582E-2</v>
      </c>
      <c r="I34" s="108">
        <f t="shared" si="25"/>
        <v>0.47692336409258562</v>
      </c>
      <c r="J34" s="108">
        <f t="shared" si="25"/>
        <v>0.26173426089222884</v>
      </c>
      <c r="K34" s="108">
        <f t="shared" si="25"/>
        <v>0.13081538973388329</v>
      </c>
    </row>
    <row r="35" spans="1:11">
      <c r="A35" s="107" t="s">
        <v>139</v>
      </c>
      <c r="B35" s="107"/>
      <c r="C35" s="107"/>
      <c r="D35" s="107"/>
      <c r="E35" s="108" t="str">
        <f>IFERROR(SUM(C32:E32)/SUM(B32:D32)-1,"")</f>
        <v/>
      </c>
      <c r="F35" s="108" t="str">
        <f t="shared" ref="F35" si="26">IFERROR(SUM(D32:F32)/SUM(C32:E32)-1,"")</f>
        <v/>
      </c>
      <c r="G35" s="108" t="str">
        <f t="shared" ref="G35:K35" si="27">IFERROR(SUM(E32:G32)/SUM(D32:F32)-1,"")</f>
        <v/>
      </c>
      <c r="H35" s="108">
        <f t="shared" si="27"/>
        <v>0.96645986616590407</v>
      </c>
      <c r="I35" s="108">
        <f t="shared" si="27"/>
        <v>0.72586640661080915</v>
      </c>
      <c r="J35" s="108">
        <f t="shared" si="27"/>
        <v>0.23601042529910354</v>
      </c>
      <c r="K35" s="108">
        <f t="shared" si="27"/>
        <v>0.25510441796262029</v>
      </c>
    </row>
    <row r="36" spans="1:11">
      <c r="A36" s="107" t="s">
        <v>133</v>
      </c>
      <c r="B36" s="107"/>
      <c r="C36" s="107"/>
      <c r="D36" s="107"/>
      <c r="E36" s="107"/>
      <c r="F36" s="108"/>
      <c r="G36" s="108" t="str">
        <f>IFERROR(SUM(C32:G32)/SUM(B32:F32)-1,"")</f>
        <v/>
      </c>
      <c r="H36" s="108">
        <f t="shared" ref="H36" si="28">IFERROR(SUM(D32:H32)/SUM(C32:G32)-1,"")</f>
        <v>0.96645986616590407</v>
      </c>
      <c r="I36" s="108">
        <f t="shared" ref="I36:K36" si="29">IFERROR(SUM(E32:I32)/SUM(D32:H32)-1,"")</f>
        <v>0.72586640661080915</v>
      </c>
      <c r="J36" s="108">
        <f t="shared" si="29"/>
        <v>0.53066130179223991</v>
      </c>
      <c r="K36" s="108">
        <f t="shared" si="29"/>
        <v>0.39203967990845046</v>
      </c>
    </row>
    <row r="38" spans="1:11" s="9" customFormat="1" ht="15.75" thickBot="1">
      <c r="A38" s="59" t="s">
        <v>151</v>
      </c>
      <c r="B38" s="123">
        <f t="shared" ref="B38:E38" si="30">B2</f>
        <v>39447</v>
      </c>
      <c r="C38" s="123">
        <f t="shared" si="30"/>
        <v>39813</v>
      </c>
      <c r="D38" s="123">
        <f t="shared" si="30"/>
        <v>40178</v>
      </c>
      <c r="E38" s="123">
        <f t="shared" si="30"/>
        <v>40543</v>
      </c>
      <c r="F38" s="123">
        <f>F2</f>
        <v>40908</v>
      </c>
      <c r="G38" s="123">
        <f t="shared" ref="G38:K38" si="31">G2</f>
        <v>41274</v>
      </c>
      <c r="H38" s="123">
        <f t="shared" si="31"/>
        <v>41639</v>
      </c>
      <c r="I38" s="123">
        <f t="shared" si="31"/>
        <v>42004</v>
      </c>
      <c r="J38" s="123">
        <f t="shared" si="31"/>
        <v>42369</v>
      </c>
      <c r="K38" s="123">
        <f t="shared" si="31"/>
        <v>42735</v>
      </c>
    </row>
    <row r="39" spans="1:11" s="116" customFormat="1" ht="15.75" thickBot="1">
      <c r="A39" s="124" t="s">
        <v>152</v>
      </c>
      <c r="B39" s="125">
        <f>VLOOKUP(B38,'GDP Data'!$A$2:$B$62,2,TRUE)</f>
        <v>14690</v>
      </c>
      <c r="C39" s="125">
        <f>VLOOKUP(C38,'GDP Data'!$A$2:$B$62,2,TRUE)</f>
        <v>14549.9</v>
      </c>
      <c r="D39" s="125">
        <f>VLOOKUP(D38,'GDP Data'!$A$2:$B$62,2,TRUE)</f>
        <v>14566.5</v>
      </c>
      <c r="E39" s="125">
        <f>VLOOKUP(E38,'GDP Data'!$A$2:$B$62,2,TRUE)</f>
        <v>15230.2</v>
      </c>
      <c r="F39" s="125">
        <f>VLOOKUP(F38,'GDP Data'!$A$2:$B$62,2,TRUE)</f>
        <v>15785.3</v>
      </c>
      <c r="G39" s="125">
        <f>VLOOKUP(G38,'GDP Data'!$A$2:$B$62,2,TRUE)</f>
        <v>16332.5</v>
      </c>
      <c r="H39" s="125">
        <f>VLOOKUP(H38,'GDP Data'!$A$2:$B$62,2,TRUE)</f>
        <v>17078.3</v>
      </c>
      <c r="I39" s="125">
        <f>VLOOKUP(I38,'GDP Data'!$A$2:$B$62,2,TRUE)</f>
        <v>17703.7</v>
      </c>
      <c r="J39" s="125">
        <f>VLOOKUP(J38,'GDP Data'!$A$2:$B$62,2,TRUE)</f>
        <v>17665</v>
      </c>
      <c r="K39" s="125">
        <f>VLOOKUP(K38,'GDP Data'!$A$2:$B$62,2,TRUE)</f>
        <v>17665</v>
      </c>
    </row>
    <row r="40" spans="1:11">
      <c r="A40" t="s">
        <v>153</v>
      </c>
      <c r="C40" s="126">
        <f t="shared" ref="C40" si="32">C39/B39-1</f>
        <v>-9.5371000680735118E-3</v>
      </c>
      <c r="D40" s="126">
        <f t="shared" ref="D40" si="33">D39/C39-1</f>
        <v>1.1409013120364797E-3</v>
      </c>
      <c r="E40" s="126">
        <f t="shared" ref="E40:F40" si="34">E39/D39-1</f>
        <v>4.5563450382727577E-2</v>
      </c>
      <c r="F40" s="126">
        <f t="shared" si="34"/>
        <v>3.6447321768591223E-2</v>
      </c>
      <c r="G40" s="126">
        <f>G39/F39-1</f>
        <v>3.4665163158128287E-2</v>
      </c>
      <c r="H40" s="126">
        <f t="shared" ref="H40:K40" si="35">H39/G39-1</f>
        <v>4.5663554262972639E-2</v>
      </c>
      <c r="I40" s="126">
        <f t="shared" si="35"/>
        <v>3.6619569863511003E-2</v>
      </c>
      <c r="J40" s="126">
        <f t="shared" si="35"/>
        <v>-2.1859837209171618E-3</v>
      </c>
      <c r="K40" s="126">
        <f t="shared" si="35"/>
        <v>0</v>
      </c>
    </row>
    <row r="41" spans="1:11">
      <c r="A41" s="127" t="s">
        <v>154</v>
      </c>
      <c r="B41" s="127"/>
      <c r="C41" s="128">
        <f t="shared" ref="C41:F41" si="36">C13</f>
        <v>-0.19612487450977245</v>
      </c>
      <c r="D41" s="128">
        <f t="shared" si="36"/>
        <v>-6.6245371958286836E-2</v>
      </c>
      <c r="E41" s="128">
        <f t="shared" si="36"/>
        <v>-0.17794128841514267</v>
      </c>
      <c r="F41" s="128">
        <f t="shared" si="36"/>
        <v>-1.0759499740297285</v>
      </c>
      <c r="G41" s="128">
        <f>G13</f>
        <v>-53.674368833559015</v>
      </c>
      <c r="H41" s="128">
        <f t="shared" ref="H41:K41" si="37">H13</f>
        <v>-0.85621617219326596</v>
      </c>
      <c r="I41" s="128">
        <f t="shared" si="37"/>
        <v>4.6906513990515419</v>
      </c>
      <c r="J41" s="128">
        <f t="shared" si="37"/>
        <v>0.50939001749632773</v>
      </c>
      <c r="K41" s="128">
        <f t="shared" si="37"/>
        <v>0.74893621355074402</v>
      </c>
    </row>
    <row r="42" spans="1:11">
      <c r="A42" t="s">
        <v>155</v>
      </c>
      <c r="D42" s="129"/>
      <c r="E42" s="129">
        <f t="shared" ref="E42" si="38">SUM(C39:E39)/SUM(B39:D39)-1</f>
        <v>1.2331531465721968E-2</v>
      </c>
      <c r="F42" s="129">
        <f t="shared" ref="F42" si="39">SUM(D39:F39)/SUM(C39:E39)-1</f>
        <v>2.7857829010566659E-2</v>
      </c>
      <c r="G42" s="129">
        <f t="shared" ref="G42:J42" si="40">SUM(E39:G39)/SUM(D39:F39)-1</f>
        <v>3.8743363608441994E-2</v>
      </c>
      <c r="H42" s="129">
        <f t="shared" si="40"/>
        <v>3.9032271690462084E-2</v>
      </c>
      <c r="I42" s="129">
        <f t="shared" si="40"/>
        <v>3.8994960982679627E-2</v>
      </c>
      <c r="J42" s="129">
        <f t="shared" si="40"/>
        <v>2.606892369092928E-2</v>
      </c>
      <c r="K42" s="129">
        <f>SUM(I39:K39)/SUM(H39:J39)-1</f>
        <v>1.1186531164794955E-2</v>
      </c>
    </row>
    <row r="43" spans="1:11">
      <c r="A43" s="127" t="s">
        <v>156</v>
      </c>
      <c r="B43" s="127"/>
      <c r="C43" s="127"/>
      <c r="D43" s="128"/>
      <c r="E43" s="128">
        <f t="shared" ref="E43:J43" si="41">E14</f>
        <v>-0.14990994763993204</v>
      </c>
      <c r="F43" s="128">
        <f t="shared" si="41"/>
        <v>-0.39176598041736244</v>
      </c>
      <c r="G43" s="128">
        <f t="shared" si="41"/>
        <v>1.3006999369270775</v>
      </c>
      <c r="H43" s="128">
        <f t="shared" si="41"/>
        <v>-8.6254762926490258E-2</v>
      </c>
      <c r="I43" s="128">
        <f t="shared" si="41"/>
        <v>0.74431788342143235</v>
      </c>
      <c r="J43" s="128">
        <f t="shared" si="41"/>
        <v>0.11978476094503354</v>
      </c>
      <c r="K43" s="128">
        <f>K14</f>
        <v>0.91768821100327891</v>
      </c>
    </row>
    <row r="44" spans="1:11">
      <c r="A44" t="s">
        <v>157</v>
      </c>
      <c r="G44" s="129">
        <f t="shared" ref="G44:J44" si="42">SUM(C39:G39)/SUM(B39:F39)-1</f>
        <v>2.1952128988972586E-2</v>
      </c>
      <c r="H44" s="129">
        <f t="shared" si="42"/>
        <v>3.3066368139944791E-2</v>
      </c>
      <c r="I44" s="129">
        <f t="shared" si="42"/>
        <v>3.9715012001093841E-2</v>
      </c>
      <c r="J44" s="129">
        <f t="shared" si="42"/>
        <v>2.9645683672226975E-2</v>
      </c>
      <c r="K44" s="129">
        <f>SUM(G39:K39)/SUM(F39:J39)-1</f>
        <v>2.2227924621119E-2</v>
      </c>
    </row>
    <row r="45" spans="1:11">
      <c r="A45" s="127" t="s">
        <v>158</v>
      </c>
      <c r="B45" s="127"/>
      <c r="C45" s="127"/>
      <c r="D45" s="127"/>
      <c r="E45" s="128"/>
      <c r="F45" s="128"/>
      <c r="G45" s="128">
        <f t="shared" ref="G45:J45" si="43">G15</f>
        <v>0.4699998213926122</v>
      </c>
      <c r="H45" s="128">
        <f t="shared" si="43"/>
        <v>-9.7736050653776774E-2</v>
      </c>
      <c r="I45" s="128">
        <f t="shared" si="43"/>
        <v>0.30625883212064786</v>
      </c>
      <c r="J45" s="128">
        <f t="shared" si="43"/>
        <v>0.44918567186609781</v>
      </c>
      <c r="K45" s="128">
        <f>K15</f>
        <v>0.68562770889915625</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3E6FF-E1DB-4B43-8775-DE7962234C22}">
  <dimension ref="A1:M35"/>
  <sheetViews>
    <sheetView workbookViewId="0">
      <selection activeCell="B31" sqref="B31:K31"/>
    </sheetView>
  </sheetViews>
  <sheetFormatPr defaultRowHeight="15"/>
  <cols>
    <col min="1" max="1" width="29" bestFit="1" customWidth="1"/>
    <col min="2" max="2" width="9.85546875" bestFit="1" customWidth="1"/>
    <col min="9" max="12" width="10.42578125" bestFit="1" customWidth="1"/>
  </cols>
  <sheetData>
    <row r="1" spans="1:11">
      <c r="B1">
        <v>2007</v>
      </c>
      <c r="C1">
        <v>2008</v>
      </c>
      <c r="D1">
        <v>2009</v>
      </c>
      <c r="E1">
        <v>2010</v>
      </c>
      <c r="F1">
        <v>2011</v>
      </c>
      <c r="G1">
        <v>2012</v>
      </c>
      <c r="H1">
        <v>2013</v>
      </c>
      <c r="I1">
        <v>2014</v>
      </c>
      <c r="J1">
        <v>2015</v>
      </c>
      <c r="K1">
        <v>2016</v>
      </c>
    </row>
    <row r="2" spans="1:11">
      <c r="A2" t="s">
        <v>191</v>
      </c>
      <c r="B2" s="18">
        <v>1356625</v>
      </c>
      <c r="C2" s="18">
        <v>5000</v>
      </c>
      <c r="D2" s="18">
        <v>10000</v>
      </c>
      <c r="E2" s="18">
        <v>141</v>
      </c>
      <c r="F2" s="18">
        <v>13406</v>
      </c>
      <c r="G2" s="18">
        <v>192570</v>
      </c>
      <c r="H2" s="18">
        <v>531253</v>
      </c>
      <c r="I2" s="18">
        <v>412884</v>
      </c>
      <c r="J2" s="18">
        <v>2486569</v>
      </c>
      <c r="K2" s="18">
        <v>1311000</v>
      </c>
    </row>
    <row r="3" spans="1:11">
      <c r="A3" t="s">
        <v>192</v>
      </c>
      <c r="B3" s="18">
        <v>-904500</v>
      </c>
      <c r="C3" s="18">
        <v>0</v>
      </c>
      <c r="D3" s="18">
        <v>-81621</v>
      </c>
      <c r="E3" s="18">
        <v>-74036</v>
      </c>
      <c r="F3" s="18">
        <v>-36330</v>
      </c>
      <c r="G3" s="18">
        <v>-237240</v>
      </c>
      <c r="H3" s="18">
        <v>-748668</v>
      </c>
      <c r="I3" s="18">
        <v>-548431</v>
      </c>
      <c r="J3" s="18">
        <v>-2554552</v>
      </c>
      <c r="K3" s="18">
        <v>-1476228</v>
      </c>
    </row>
    <row r="4" spans="1:11">
      <c r="A4" t="s">
        <v>203</v>
      </c>
      <c r="B4" s="18">
        <v>11560</v>
      </c>
      <c r="C4" s="18">
        <v>96150</v>
      </c>
      <c r="D4" s="18">
        <v>-45400</v>
      </c>
      <c r="E4" s="18">
        <v>0</v>
      </c>
      <c r="F4" s="18">
        <v>4600</v>
      </c>
      <c r="G4" s="18">
        <v>0</v>
      </c>
      <c r="H4" s="18">
        <v>0</v>
      </c>
      <c r="I4" s="18">
        <v>0</v>
      </c>
      <c r="J4" s="18">
        <v>0</v>
      </c>
      <c r="K4" s="18">
        <v>0</v>
      </c>
    </row>
    <row r="5" spans="1:11">
      <c r="A5" t="s">
        <v>193</v>
      </c>
      <c r="B5" s="18">
        <v>252739</v>
      </c>
      <c r="C5" s="18">
        <v>0</v>
      </c>
      <c r="D5" s="18">
        <v>0</v>
      </c>
      <c r="E5" s="18">
        <v>0</v>
      </c>
      <c r="F5" s="18">
        <v>0</v>
      </c>
      <c r="G5" s="18">
        <v>0</v>
      </c>
      <c r="H5" s="18">
        <v>355867</v>
      </c>
      <c r="I5" s="18">
        <v>765052</v>
      </c>
      <c r="J5" s="18">
        <v>492433</v>
      </c>
      <c r="K5" s="18">
        <v>12623</v>
      </c>
    </row>
    <row r="6" spans="1:11">
      <c r="A6" t="s">
        <v>194</v>
      </c>
      <c r="B6" s="18">
        <v>0</v>
      </c>
      <c r="C6" s="18">
        <v>0</v>
      </c>
      <c r="D6" s="18">
        <v>0</v>
      </c>
      <c r="E6" s="18">
        <v>0</v>
      </c>
      <c r="F6" s="18">
        <v>0</v>
      </c>
      <c r="G6" s="18">
        <v>-112487</v>
      </c>
      <c r="H6" s="18">
        <v>-128970</v>
      </c>
      <c r="I6" s="18">
        <v>-240535</v>
      </c>
      <c r="J6" s="18">
        <v>-341560</v>
      </c>
      <c r="K6" s="18">
        <v>-396093</v>
      </c>
    </row>
    <row r="7" spans="1:11">
      <c r="A7" t="s">
        <v>195</v>
      </c>
      <c r="B7" s="18">
        <v>0</v>
      </c>
      <c r="C7" s="18">
        <v>0</v>
      </c>
      <c r="D7" s="18">
        <v>0</v>
      </c>
      <c r="E7" s="18">
        <v>300</v>
      </c>
      <c r="F7" s="18">
        <v>0</v>
      </c>
      <c r="G7" s="18">
        <v>55473</v>
      </c>
      <c r="H7" s="18">
        <v>73612</v>
      </c>
      <c r="I7" s="18">
        <v>0</v>
      </c>
      <c r="J7" s="18">
        <v>532</v>
      </c>
      <c r="K7" s="18">
        <v>12431</v>
      </c>
    </row>
    <row r="8" spans="1:11">
      <c r="A8" t="s">
        <v>196</v>
      </c>
      <c r="B8" s="18">
        <v>0</v>
      </c>
      <c r="C8" s="18">
        <v>0</v>
      </c>
      <c r="D8" s="18">
        <v>0</v>
      </c>
      <c r="E8" s="18">
        <v>0</v>
      </c>
      <c r="F8" s="18">
        <v>0</v>
      </c>
      <c r="G8" s="18">
        <v>0</v>
      </c>
      <c r="H8" s="18">
        <v>0</v>
      </c>
      <c r="I8" s="18">
        <v>0</v>
      </c>
      <c r="J8" s="18">
        <v>0</v>
      </c>
      <c r="K8" s="18">
        <v>-9909</v>
      </c>
    </row>
    <row r="9" spans="1:11">
      <c r="A9" t="s">
        <v>197</v>
      </c>
      <c r="B9" s="18">
        <v>-395</v>
      </c>
      <c r="C9" s="18">
        <v>-481</v>
      </c>
      <c r="D9" s="18">
        <v>-583</v>
      </c>
      <c r="E9" s="18">
        <v>-5346</v>
      </c>
      <c r="F9" s="18">
        <v>-8077</v>
      </c>
      <c r="G9" s="18">
        <v>-4781</v>
      </c>
      <c r="H9" s="18">
        <v>-2366</v>
      </c>
      <c r="I9" s="18">
        <v>-62538</v>
      </c>
      <c r="J9" s="18">
        <v>-2546</v>
      </c>
      <c r="K9" s="18">
        <v>-4630</v>
      </c>
    </row>
    <row r="10" spans="1:11">
      <c r="A10" t="s">
        <v>204</v>
      </c>
      <c r="B10" s="18">
        <v>-97913</v>
      </c>
      <c r="C10" s="18">
        <v>-95509</v>
      </c>
      <c r="D10" s="18">
        <v>0</v>
      </c>
      <c r="E10" s="18">
        <v>0</v>
      </c>
      <c r="F10" s="18">
        <v>-27618</v>
      </c>
      <c r="G10" s="18">
        <v>-112487</v>
      </c>
      <c r="H10" s="18">
        <v>0</v>
      </c>
      <c r="I10" s="18">
        <v>0</v>
      </c>
      <c r="J10" s="18">
        <v>0</v>
      </c>
      <c r="K10" s="18">
        <v>0</v>
      </c>
    </row>
    <row r="11" spans="1:11">
      <c r="A11" t="s">
        <v>198</v>
      </c>
      <c r="B11" s="18">
        <v>-11392</v>
      </c>
      <c r="C11" s="18">
        <v>-65</v>
      </c>
      <c r="D11" s="18">
        <v>0</v>
      </c>
      <c r="E11" s="18"/>
      <c r="F11" s="18"/>
      <c r="G11" s="18"/>
      <c r="H11" s="18">
        <v>-16313</v>
      </c>
      <c r="I11" s="18">
        <v>-25600</v>
      </c>
      <c r="J11" s="18">
        <v>-16984</v>
      </c>
      <c r="K11" s="18">
        <v>-1601</v>
      </c>
    </row>
    <row r="12" spans="1:11">
      <c r="A12" t="s">
        <v>199</v>
      </c>
      <c r="B12" s="18">
        <f>-14695-26234</f>
        <v>-40929</v>
      </c>
      <c r="C12" s="18">
        <v>-1879</v>
      </c>
      <c r="D12" s="18">
        <v>0</v>
      </c>
      <c r="E12" s="18">
        <v>-186</v>
      </c>
      <c r="F12" s="18">
        <v>-4</v>
      </c>
      <c r="G12" s="18">
        <v>-2942</v>
      </c>
      <c r="H12" s="18">
        <v>-19699</v>
      </c>
      <c r="I12" s="18">
        <v>-15142</v>
      </c>
      <c r="J12" s="18">
        <v>-23816</v>
      </c>
      <c r="K12" s="18">
        <v>-17392</v>
      </c>
    </row>
    <row r="13" spans="1:11">
      <c r="A13" t="s">
        <v>200</v>
      </c>
      <c r="B13" s="18">
        <v>0</v>
      </c>
      <c r="C13" s="18">
        <v>0</v>
      </c>
      <c r="D13" s="18">
        <v>0</v>
      </c>
      <c r="E13" s="18">
        <v>0</v>
      </c>
      <c r="F13" s="18">
        <v>0</v>
      </c>
      <c r="G13" s="18">
        <v>0</v>
      </c>
      <c r="H13" s="18">
        <v>0</v>
      </c>
      <c r="I13" s="18">
        <v>350000</v>
      </c>
      <c r="J13" s="18">
        <v>0</v>
      </c>
      <c r="K13" s="18">
        <v>402500</v>
      </c>
    </row>
    <row r="14" spans="1:11">
      <c r="A14" t="s">
        <v>201</v>
      </c>
      <c r="B14" s="18">
        <v>5367</v>
      </c>
      <c r="C14" s="18">
        <v>-865</v>
      </c>
      <c r="D14" s="18">
        <v>-33</v>
      </c>
      <c r="E14" s="18">
        <v>2236</v>
      </c>
      <c r="F14" s="18">
        <v>1010</v>
      </c>
      <c r="G14" s="18">
        <v>8663</v>
      </c>
      <c r="H14" s="18">
        <v>3810</v>
      </c>
      <c r="I14" s="18">
        <v>-999</v>
      </c>
      <c r="J14" s="18">
        <v>5166</v>
      </c>
      <c r="K14" s="18">
        <v>5587</v>
      </c>
    </row>
    <row r="15" spans="1:11">
      <c r="A15" t="s">
        <v>202</v>
      </c>
      <c r="B15" s="18">
        <v>-544</v>
      </c>
      <c r="C15" s="18">
        <v>-653</v>
      </c>
      <c r="D15" s="18">
        <v>-181</v>
      </c>
      <c r="E15" s="18">
        <v>-137</v>
      </c>
      <c r="F15" s="18">
        <v>-124</v>
      </c>
      <c r="G15" s="18">
        <v>-1054</v>
      </c>
      <c r="H15" s="18">
        <v>-2033</v>
      </c>
      <c r="I15" s="18">
        <v>-2269</v>
      </c>
      <c r="J15" s="18">
        <v>-2346</v>
      </c>
      <c r="K15" s="18">
        <v>-2601</v>
      </c>
    </row>
    <row r="17" spans="1:13">
      <c r="B17">
        <v>2007</v>
      </c>
      <c r="C17">
        <v>2008</v>
      </c>
      <c r="D17">
        <v>2009</v>
      </c>
      <c r="E17">
        <v>2010</v>
      </c>
      <c r="F17">
        <v>2011</v>
      </c>
      <c r="G17">
        <v>2012</v>
      </c>
      <c r="H17">
        <v>2013</v>
      </c>
      <c r="I17">
        <v>2014</v>
      </c>
      <c r="J17">
        <v>2015</v>
      </c>
      <c r="K17">
        <v>2016</v>
      </c>
    </row>
    <row r="18" spans="1:13">
      <c r="A18" t="s">
        <v>205</v>
      </c>
      <c r="B18" s="18">
        <f>SUM(B2:B4,B12:B13)</f>
        <v>422756</v>
      </c>
      <c r="C18" s="18">
        <f t="shared" ref="C18:K18" si="0">SUM(C2:C4,C12:C13)</f>
        <v>99271</v>
      </c>
      <c r="D18" s="18">
        <f t="shared" si="0"/>
        <v>-117021</v>
      </c>
      <c r="E18" s="18">
        <f t="shared" si="0"/>
        <v>-74081</v>
      </c>
      <c r="F18" s="18">
        <f t="shared" si="0"/>
        <v>-18328</v>
      </c>
      <c r="G18" s="18">
        <f t="shared" si="0"/>
        <v>-47612</v>
      </c>
      <c r="H18" s="18">
        <f t="shared" si="0"/>
        <v>-237114</v>
      </c>
      <c r="I18" s="18">
        <f t="shared" si="0"/>
        <v>199311</v>
      </c>
      <c r="J18" s="18">
        <f t="shared" si="0"/>
        <v>-91799</v>
      </c>
      <c r="K18" s="18">
        <f t="shared" si="0"/>
        <v>219880</v>
      </c>
    </row>
    <row r="19" spans="1:13">
      <c r="A19" t="s">
        <v>206</v>
      </c>
      <c r="B19" s="18">
        <f>SUM(B5,B10:B11)</f>
        <v>143434</v>
      </c>
      <c r="C19" s="18">
        <f t="shared" ref="C19:K19" si="1">SUM(C5,C10:C11)</f>
        <v>-95574</v>
      </c>
      <c r="D19" s="18">
        <f t="shared" si="1"/>
        <v>0</v>
      </c>
      <c r="E19" s="18">
        <f t="shared" si="1"/>
        <v>0</v>
      </c>
      <c r="F19" s="18">
        <f t="shared" si="1"/>
        <v>-27618</v>
      </c>
      <c r="G19" s="18">
        <f t="shared" si="1"/>
        <v>-112487</v>
      </c>
      <c r="H19" s="18">
        <f t="shared" si="1"/>
        <v>339554</v>
      </c>
      <c r="I19" s="18">
        <f t="shared" si="1"/>
        <v>739452</v>
      </c>
      <c r="J19" s="18">
        <f t="shared" si="1"/>
        <v>475449</v>
      </c>
      <c r="K19" s="18">
        <f t="shared" si="1"/>
        <v>11022</v>
      </c>
    </row>
    <row r="20" spans="1:13">
      <c r="A20" t="s">
        <v>207</v>
      </c>
      <c r="B20" s="18">
        <f>B6</f>
        <v>0</v>
      </c>
      <c r="C20" s="18">
        <f t="shared" ref="C20:K20" si="2">C6</f>
        <v>0</v>
      </c>
      <c r="D20" s="18">
        <f t="shared" si="2"/>
        <v>0</v>
      </c>
      <c r="E20" s="18">
        <f t="shared" si="2"/>
        <v>0</v>
      </c>
      <c r="F20" s="18">
        <f t="shared" si="2"/>
        <v>0</v>
      </c>
      <c r="G20" s="18">
        <f t="shared" si="2"/>
        <v>-112487</v>
      </c>
      <c r="H20" s="18">
        <f t="shared" si="2"/>
        <v>-128970</v>
      </c>
      <c r="I20" s="18">
        <f t="shared" si="2"/>
        <v>-240535</v>
      </c>
      <c r="J20" s="18">
        <f t="shared" si="2"/>
        <v>-341560</v>
      </c>
      <c r="K20" s="18">
        <f t="shared" si="2"/>
        <v>-396093</v>
      </c>
    </row>
    <row r="21" spans="1:13">
      <c r="A21" t="s">
        <v>208</v>
      </c>
      <c r="B21" s="18">
        <f>SUM(B7:B9)</f>
        <v>-395</v>
      </c>
      <c r="C21" s="18">
        <f t="shared" ref="C21:K21" si="3">SUM(C7:C9)</f>
        <v>-481</v>
      </c>
      <c r="D21" s="18">
        <f t="shared" si="3"/>
        <v>-583</v>
      </c>
      <c r="E21" s="18">
        <f t="shared" si="3"/>
        <v>-5046</v>
      </c>
      <c r="F21" s="18">
        <f t="shared" si="3"/>
        <v>-8077</v>
      </c>
      <c r="G21" s="18">
        <f t="shared" si="3"/>
        <v>50692</v>
      </c>
      <c r="H21" s="18">
        <f t="shared" si="3"/>
        <v>71246</v>
      </c>
      <c r="I21" s="18">
        <f t="shared" si="3"/>
        <v>-62538</v>
      </c>
      <c r="J21" s="18">
        <f t="shared" si="3"/>
        <v>-2014</v>
      </c>
      <c r="K21" s="18">
        <f t="shared" si="3"/>
        <v>-2108</v>
      </c>
    </row>
    <row r="22" spans="1:13">
      <c r="A22" t="s">
        <v>209</v>
      </c>
      <c r="B22" s="18">
        <f>B15</f>
        <v>-544</v>
      </c>
      <c r="C22" s="18">
        <f t="shared" ref="C22:K22" si="4">C15</f>
        <v>-653</v>
      </c>
      <c r="D22" s="18">
        <f t="shared" si="4"/>
        <v>-181</v>
      </c>
      <c r="E22" s="18">
        <f t="shared" si="4"/>
        <v>-137</v>
      </c>
      <c r="F22" s="18">
        <f t="shared" si="4"/>
        <v>-124</v>
      </c>
      <c r="G22" s="18">
        <f t="shared" si="4"/>
        <v>-1054</v>
      </c>
      <c r="H22" s="18">
        <f t="shared" si="4"/>
        <v>-2033</v>
      </c>
      <c r="I22" s="18">
        <f t="shared" si="4"/>
        <v>-2269</v>
      </c>
      <c r="J22" s="18">
        <f t="shared" si="4"/>
        <v>-2346</v>
      </c>
      <c r="K22" s="18">
        <f t="shared" si="4"/>
        <v>-2601</v>
      </c>
    </row>
    <row r="23" spans="1:13">
      <c r="A23" t="s">
        <v>210</v>
      </c>
      <c r="B23" s="18">
        <f>'Company Analysis'!B11*1000</f>
        <v>991.62070534334964</v>
      </c>
      <c r="C23" s="18">
        <f>'Company Analysis'!C11*1000</f>
        <v>797.13921894659313</v>
      </c>
      <c r="D23" s="18">
        <f>'Company Analysis'!D11*1000</f>
        <v>744.33243488493781</v>
      </c>
      <c r="E23" s="18">
        <f>'Company Analysis'!E11*1000</f>
        <v>611.88496241233167</v>
      </c>
      <c r="F23" s="18">
        <f>'Company Analysis'!F11*1000</f>
        <v>-46.472647004397906</v>
      </c>
      <c r="G23" s="18">
        <f>'Company Analysis'!G11*1000</f>
        <v>2447.9173489814466</v>
      </c>
      <c r="H23" s="18">
        <f>'Company Analysis'!H11*1000</f>
        <v>351.97092659106534</v>
      </c>
      <c r="I23" s="18">
        <f>'Company Analysis'!I11*1000</f>
        <v>2002.9438458309135</v>
      </c>
      <c r="J23" s="18">
        <f>'Company Analysis'!J11*1000</f>
        <v>3023.2234465028841</v>
      </c>
      <c r="K23" s="18">
        <f>'Company Analysis'!K11*1000</f>
        <v>5287.4249672445849</v>
      </c>
    </row>
    <row r="24" spans="1:13">
      <c r="A24" t="s">
        <v>174</v>
      </c>
      <c r="B24" s="18">
        <f>'Company Analysis'!B28*1000</f>
        <v>-991.62070534334964</v>
      </c>
      <c r="C24" s="18">
        <f>'Company Analysis'!C28*1000</f>
        <v>-797.13921894659313</v>
      </c>
      <c r="D24" s="18">
        <f>'Company Analysis'!D28*1000</f>
        <v>-744.33243488493781</v>
      </c>
      <c r="E24" s="18">
        <f>'Company Analysis'!E28*1000</f>
        <v>-611.88496241233167</v>
      </c>
      <c r="F24" s="18">
        <f>'Company Analysis'!F28*1000</f>
        <v>46.472647004397906</v>
      </c>
      <c r="G24" s="18">
        <f>'Company Analysis'!G28*1000</f>
        <v>-77.469398444188982</v>
      </c>
      <c r="H24" s="18">
        <f>'Company Analysis'!H28*1000</f>
        <v>1938.9718824384145</v>
      </c>
      <c r="I24" s="18">
        <f>'Company Analysis'!I28*1000</f>
        <v>1380.6031146246244</v>
      </c>
      <c r="J24" s="18">
        <f>'Company Analysis'!J28*1000</f>
        <v>1245.913676841632</v>
      </c>
      <c r="K24" s="18">
        <f>'Company Analysis'!K28*1000</f>
        <v>-459.81900728236712</v>
      </c>
    </row>
    <row r="25" spans="1:13">
      <c r="A25" t="s">
        <v>212</v>
      </c>
      <c r="B25" s="18">
        <f>('Company Analysis'!B28-'Company Analysis'!B27)*1000</f>
        <v>-991.62070534334964</v>
      </c>
      <c r="C25" s="18">
        <f>('Company Analysis'!C28-'Company Analysis'!C27)*1000</f>
        <v>-797.13921894659313</v>
      </c>
      <c r="D25" s="18">
        <f>('Company Analysis'!D28-'Company Analysis'!D27)*1000</f>
        <v>-744.33243488493781</v>
      </c>
      <c r="E25" s="18">
        <f>('Company Analysis'!E28-'Company Analysis'!E27)*1000</f>
        <v>-611.88496241233167</v>
      </c>
      <c r="F25" s="18">
        <f>('Company Analysis'!F28-'Company Analysis'!F27)*1000</f>
        <v>46.472647004397906</v>
      </c>
      <c r="G25" s="18">
        <f>('Company Analysis'!G28-'Company Analysis'!G27)*1000</f>
        <v>-77.469398444188982</v>
      </c>
      <c r="H25" s="18">
        <f>('Company Analysis'!H28-'Company Analysis'!H27)*1000</f>
        <v>1938.9718824384145</v>
      </c>
      <c r="I25" s="18">
        <f>('Company Analysis'!I28-'Company Analysis'!I27)*1000</f>
        <v>1380.6031146246244</v>
      </c>
      <c r="J25" s="18">
        <f>('Company Analysis'!J28-'Company Analysis'!J27)*1000</f>
        <v>1245.913676841632</v>
      </c>
      <c r="K25" s="18">
        <f>('Company Analysis'!K28-'Company Analysis'!K27)*1000</f>
        <v>-459.81900728236712</v>
      </c>
    </row>
    <row r="27" spans="1:13">
      <c r="B27">
        <v>2007</v>
      </c>
      <c r="C27">
        <v>2008</v>
      </c>
      <c r="D27">
        <v>2009</v>
      </c>
      <c r="E27">
        <v>2010</v>
      </c>
      <c r="F27">
        <v>2011</v>
      </c>
      <c r="G27">
        <v>2012</v>
      </c>
      <c r="H27">
        <v>2013</v>
      </c>
      <c r="I27">
        <v>2014</v>
      </c>
      <c r="J27">
        <v>2015</v>
      </c>
      <c r="K27">
        <v>2016</v>
      </c>
    </row>
    <row r="28" spans="1:13">
      <c r="A28" t="s">
        <v>211</v>
      </c>
      <c r="B28" s="18">
        <f>B18</f>
        <v>422756</v>
      </c>
      <c r="C28" s="18">
        <f t="shared" ref="C28:K28" si="5">C18</f>
        <v>99271</v>
      </c>
      <c r="D28" s="18">
        <f t="shared" si="5"/>
        <v>-117021</v>
      </c>
      <c r="E28" s="18">
        <f t="shared" si="5"/>
        <v>-74081</v>
      </c>
      <c r="F28" s="18">
        <f t="shared" si="5"/>
        <v>-18328</v>
      </c>
      <c r="G28" s="18">
        <f t="shared" si="5"/>
        <v>-47612</v>
      </c>
      <c r="H28" s="18">
        <f t="shared" si="5"/>
        <v>-237114</v>
      </c>
      <c r="I28" s="18">
        <f t="shared" si="5"/>
        <v>199311</v>
      </c>
      <c r="J28" s="18">
        <f t="shared" si="5"/>
        <v>-91799</v>
      </c>
      <c r="K28" s="18">
        <f t="shared" si="5"/>
        <v>219880</v>
      </c>
      <c r="L28" s="18">
        <f>SUM(B28:K28)</f>
        <v>355263</v>
      </c>
      <c r="M28" s="20">
        <f>L28/SUM(L$28:L$30)</f>
        <v>0.19258505705696582</v>
      </c>
    </row>
    <row r="29" spans="1:13">
      <c r="A29" t="s">
        <v>214</v>
      </c>
      <c r="B29" s="18">
        <f>B19</f>
        <v>143434</v>
      </c>
      <c r="C29" s="18">
        <f t="shared" ref="C29:K29" si="6">C19</f>
        <v>-95574</v>
      </c>
      <c r="D29" s="18">
        <f t="shared" si="6"/>
        <v>0</v>
      </c>
      <c r="E29" s="18">
        <f t="shared" si="6"/>
        <v>0</v>
      </c>
      <c r="F29" s="18">
        <f t="shared" si="6"/>
        <v>-27618</v>
      </c>
      <c r="G29" s="18">
        <f t="shared" si="6"/>
        <v>-112487</v>
      </c>
      <c r="H29" s="18">
        <f t="shared" si="6"/>
        <v>339554</v>
      </c>
      <c r="I29" s="18">
        <f t="shared" si="6"/>
        <v>739452</v>
      </c>
      <c r="J29" s="18">
        <f t="shared" si="6"/>
        <v>475449</v>
      </c>
      <c r="K29" s="18">
        <f t="shared" si="6"/>
        <v>11022</v>
      </c>
      <c r="L29" s="18">
        <f t="shared" ref="L29:L32" si="7">SUM(B29:K29)</f>
        <v>1473232</v>
      </c>
      <c r="M29" s="20">
        <f t="shared" ref="M29:M30" si="8">L29/SUM(L$28:L$30)</f>
        <v>0.79862656335770366</v>
      </c>
    </row>
    <row r="30" spans="1:13">
      <c r="A30" t="s">
        <v>210</v>
      </c>
      <c r="B30" s="18">
        <f>B23</f>
        <v>991.62070534334964</v>
      </c>
      <c r="C30" s="18">
        <f t="shared" ref="C30:K30" si="9">C23</f>
        <v>797.13921894659313</v>
      </c>
      <c r="D30" s="18">
        <f t="shared" si="9"/>
        <v>744.33243488493781</v>
      </c>
      <c r="E30" s="18">
        <f t="shared" si="9"/>
        <v>611.88496241233167</v>
      </c>
      <c r="F30" s="18">
        <f t="shared" si="9"/>
        <v>-46.472647004397906</v>
      </c>
      <c r="G30" s="18">
        <f t="shared" si="9"/>
        <v>2447.9173489814466</v>
      </c>
      <c r="H30" s="18">
        <f t="shared" si="9"/>
        <v>351.97092659106534</v>
      </c>
      <c r="I30" s="18">
        <f t="shared" si="9"/>
        <v>2002.9438458309135</v>
      </c>
      <c r="J30" s="18">
        <f t="shared" si="9"/>
        <v>3023.2234465028841</v>
      </c>
      <c r="K30" s="18">
        <f t="shared" si="9"/>
        <v>5287.4249672445849</v>
      </c>
      <c r="L30" s="18">
        <f t="shared" si="7"/>
        <v>16211.985209733706</v>
      </c>
      <c r="M30" s="20">
        <f t="shared" si="8"/>
        <v>8.7883795853304515E-3</v>
      </c>
    </row>
    <row r="31" spans="1:13">
      <c r="A31" t="s">
        <v>212</v>
      </c>
      <c r="B31" s="18">
        <f>B25</f>
        <v>-991.62070534334964</v>
      </c>
      <c r="C31" s="18">
        <f t="shared" ref="C31:K31" si="10">C25</f>
        <v>-797.13921894659313</v>
      </c>
      <c r="D31" s="18">
        <f t="shared" si="10"/>
        <v>-744.33243488493781</v>
      </c>
      <c r="E31" s="18">
        <f t="shared" si="10"/>
        <v>-611.88496241233167</v>
      </c>
      <c r="F31" s="18">
        <f t="shared" si="10"/>
        <v>46.472647004397906</v>
      </c>
      <c r="G31" s="18">
        <f t="shared" si="10"/>
        <v>-77.469398444188982</v>
      </c>
      <c r="H31" s="18">
        <f t="shared" si="10"/>
        <v>1938.9718824384145</v>
      </c>
      <c r="I31" s="18">
        <f t="shared" si="10"/>
        <v>1380.6031146246244</v>
      </c>
      <c r="J31" s="18">
        <f t="shared" si="10"/>
        <v>1245.913676841632</v>
      </c>
      <c r="K31" s="18">
        <f t="shared" si="10"/>
        <v>-459.81900728236712</v>
      </c>
      <c r="L31" s="18">
        <f t="shared" si="7"/>
        <v>929.69559359530047</v>
      </c>
    </row>
    <row r="32" spans="1:13">
      <c r="A32" t="s">
        <v>215</v>
      </c>
      <c r="B32" s="18">
        <f>SUM(B28:B31)</f>
        <v>566190</v>
      </c>
      <c r="C32" s="18">
        <f t="shared" ref="C32:K32" si="11">SUM(C28:C31)</f>
        <v>3697</v>
      </c>
      <c r="D32" s="18">
        <f t="shared" si="11"/>
        <v>-117021</v>
      </c>
      <c r="E32" s="18">
        <f t="shared" si="11"/>
        <v>-74081</v>
      </c>
      <c r="F32" s="18">
        <f t="shared" si="11"/>
        <v>-45946</v>
      </c>
      <c r="G32" s="18">
        <f t="shared" si="11"/>
        <v>-157728.55204946274</v>
      </c>
      <c r="H32" s="18">
        <f t="shared" si="11"/>
        <v>104730.94280902948</v>
      </c>
      <c r="I32" s="18">
        <f t="shared" si="11"/>
        <v>942146.54696045548</v>
      </c>
      <c r="J32" s="18">
        <f t="shared" si="11"/>
        <v>387919.13712334452</v>
      </c>
      <c r="K32" s="18">
        <f t="shared" si="11"/>
        <v>235729.60595996221</v>
      </c>
      <c r="L32" s="18">
        <f t="shared" si="7"/>
        <v>1845636.6808033288</v>
      </c>
    </row>
    <row r="34" spans="1:11">
      <c r="A34" t="s">
        <v>207</v>
      </c>
      <c r="B34" s="18">
        <f>B20</f>
        <v>0</v>
      </c>
      <c r="C34" s="18">
        <f t="shared" ref="C34:K34" si="12">C20</f>
        <v>0</v>
      </c>
      <c r="D34" s="18">
        <f t="shared" si="12"/>
        <v>0</v>
      </c>
      <c r="E34" s="18">
        <f t="shared" si="12"/>
        <v>0</v>
      </c>
      <c r="F34" s="18">
        <f t="shared" si="12"/>
        <v>0</v>
      </c>
      <c r="G34" s="18">
        <f t="shared" si="12"/>
        <v>-112487</v>
      </c>
      <c r="H34" s="18">
        <f t="shared" si="12"/>
        <v>-128970</v>
      </c>
      <c r="I34" s="18">
        <f t="shared" si="12"/>
        <v>-240535</v>
      </c>
      <c r="J34" s="18">
        <f t="shared" si="12"/>
        <v>-341560</v>
      </c>
      <c r="K34" s="18">
        <f t="shared" si="12"/>
        <v>-396093</v>
      </c>
    </row>
    <row r="35" spans="1:11">
      <c r="G35" s="18">
        <f>G34+G32</f>
        <v>-270215.55204946274</v>
      </c>
      <c r="H35" s="18">
        <f t="shared" ref="H35:K35" si="13">H34+H32</f>
        <v>-24239.057190970518</v>
      </c>
      <c r="I35" s="18">
        <f t="shared" si="13"/>
        <v>701611.54696045548</v>
      </c>
      <c r="J35" s="18">
        <f t="shared" si="13"/>
        <v>46359.137123344524</v>
      </c>
      <c r="K35" s="18">
        <f t="shared" si="13"/>
        <v>-160363.39404003779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CA22F-7276-4A67-A782-23BC93DCEA76}">
  <sheetPr filterMode="1"/>
  <dimension ref="A1:T133"/>
  <sheetViews>
    <sheetView topLeftCell="A17" workbookViewId="0">
      <selection activeCell="R104" sqref="R100:R104"/>
    </sheetView>
  </sheetViews>
  <sheetFormatPr defaultRowHeight="15"/>
  <cols>
    <col min="1" max="1" width="10.140625" style="130" bestFit="1" customWidth="1"/>
    <col min="2" max="2" width="10.85546875" bestFit="1" customWidth="1"/>
    <col min="6" max="6" width="10.140625" bestFit="1" customWidth="1"/>
  </cols>
  <sheetData>
    <row r="1" spans="1:3">
      <c r="A1" s="130" t="s">
        <v>159</v>
      </c>
      <c r="B1" t="s">
        <v>216</v>
      </c>
      <c r="C1" t="s">
        <v>26</v>
      </c>
    </row>
    <row r="2" spans="1:3" hidden="1">
      <c r="A2" s="130">
        <v>39355</v>
      </c>
      <c r="B2">
        <v>43.7669</v>
      </c>
      <c r="C2">
        <f t="shared" ref="C2:C9" si="0">MONTH(A2)</f>
        <v>9</v>
      </c>
    </row>
    <row r="3" spans="1:3" hidden="1">
      <c r="A3" s="130">
        <v>39391</v>
      </c>
      <c r="B3">
        <v>44.938400000000001</v>
      </c>
      <c r="C3">
        <f t="shared" si="0"/>
        <v>11</v>
      </c>
    </row>
    <row r="4" spans="1:3">
      <c r="A4" s="130">
        <v>39447</v>
      </c>
      <c r="B4">
        <v>44.938400000000001</v>
      </c>
      <c r="C4">
        <f t="shared" si="0"/>
        <v>12</v>
      </c>
    </row>
    <row r="5" spans="1:3" hidden="1">
      <c r="A5" s="130">
        <v>39505</v>
      </c>
      <c r="B5">
        <v>44.938400000000001</v>
      </c>
      <c r="C5">
        <f t="shared" si="0"/>
        <v>2</v>
      </c>
    </row>
    <row r="6" spans="1:3" hidden="1">
      <c r="A6" s="130">
        <v>39538</v>
      </c>
      <c r="B6">
        <v>44.938400000000001</v>
      </c>
      <c r="C6">
        <f t="shared" si="0"/>
        <v>3</v>
      </c>
    </row>
    <row r="7" spans="1:3" hidden="1">
      <c r="A7" s="130">
        <v>39575</v>
      </c>
      <c r="B7">
        <v>44.938400000000001</v>
      </c>
      <c r="C7">
        <f t="shared" si="0"/>
        <v>5</v>
      </c>
    </row>
    <row r="8" spans="1:3" hidden="1">
      <c r="A8" s="130">
        <v>39629</v>
      </c>
      <c r="B8">
        <v>44.948700000000002</v>
      </c>
      <c r="C8">
        <f t="shared" si="0"/>
        <v>6</v>
      </c>
    </row>
    <row r="9" spans="1:3" hidden="1">
      <c r="A9" s="130">
        <v>39666</v>
      </c>
      <c r="B9">
        <v>44.948700000000002</v>
      </c>
      <c r="C9">
        <f t="shared" si="0"/>
        <v>8</v>
      </c>
    </row>
    <row r="10" spans="1:3">
      <c r="A10" s="130">
        <v>39757</v>
      </c>
      <c r="B10">
        <v>44.948700000000002</v>
      </c>
      <c r="C10">
        <v>12</v>
      </c>
    </row>
    <row r="11" spans="1:3" hidden="1">
      <c r="A11" s="130">
        <v>39870</v>
      </c>
      <c r="B11">
        <v>44.948700000000002</v>
      </c>
      <c r="C11">
        <f t="shared" ref="C11:C42" si="1">MONTH(A11)</f>
        <v>2</v>
      </c>
    </row>
    <row r="12" spans="1:3" hidden="1">
      <c r="A12" s="130">
        <v>39939</v>
      </c>
      <c r="B12">
        <v>44.948700000000002</v>
      </c>
      <c r="C12">
        <f t="shared" si="1"/>
        <v>5</v>
      </c>
    </row>
    <row r="13" spans="1:3" hidden="1">
      <c r="A13" s="130">
        <v>39994</v>
      </c>
      <c r="B13">
        <v>44.962800000000001</v>
      </c>
      <c r="C13">
        <f t="shared" si="1"/>
        <v>6</v>
      </c>
    </row>
    <row r="14" spans="1:3" hidden="1">
      <c r="A14" s="130">
        <v>40030</v>
      </c>
      <c r="B14">
        <v>44.962800000000001</v>
      </c>
      <c r="C14">
        <f t="shared" si="1"/>
        <v>8</v>
      </c>
    </row>
    <row r="15" spans="1:3" hidden="1">
      <c r="A15" s="130">
        <v>40086</v>
      </c>
      <c r="B15">
        <v>45.1126</v>
      </c>
      <c r="C15">
        <f t="shared" si="1"/>
        <v>9</v>
      </c>
    </row>
    <row r="16" spans="1:3" hidden="1">
      <c r="A16" s="130">
        <v>40121</v>
      </c>
      <c r="B16">
        <v>45.1126</v>
      </c>
      <c r="C16">
        <f t="shared" si="1"/>
        <v>11</v>
      </c>
    </row>
    <row r="17" spans="1:3">
      <c r="A17" s="130">
        <v>40178</v>
      </c>
      <c r="B17">
        <v>45.292900000000003</v>
      </c>
      <c r="C17">
        <f t="shared" si="1"/>
        <v>12</v>
      </c>
    </row>
    <row r="18" spans="1:3" hidden="1">
      <c r="A18" s="130">
        <v>40234</v>
      </c>
      <c r="B18">
        <v>45.292900000000003</v>
      </c>
      <c r="C18">
        <f t="shared" si="1"/>
        <v>2</v>
      </c>
    </row>
    <row r="19" spans="1:3" hidden="1">
      <c r="A19" s="130">
        <v>40268</v>
      </c>
      <c r="B19">
        <v>45.431899999999999</v>
      </c>
      <c r="C19">
        <f t="shared" si="1"/>
        <v>3</v>
      </c>
    </row>
    <row r="20" spans="1:3" hidden="1">
      <c r="A20" s="130">
        <v>40283</v>
      </c>
      <c r="B20">
        <v>45.431899999999999</v>
      </c>
      <c r="C20">
        <f t="shared" si="1"/>
        <v>4</v>
      </c>
    </row>
    <row r="21" spans="1:3" hidden="1">
      <c r="A21" s="130">
        <v>40302</v>
      </c>
      <c r="B21">
        <v>45.431899999999999</v>
      </c>
      <c r="C21">
        <f t="shared" si="1"/>
        <v>5</v>
      </c>
    </row>
    <row r="22" spans="1:3" hidden="1">
      <c r="A22" s="130">
        <v>40359</v>
      </c>
      <c r="B22">
        <v>45.714399999999998</v>
      </c>
      <c r="C22">
        <f t="shared" si="1"/>
        <v>6</v>
      </c>
    </row>
    <row r="23" spans="1:3" hidden="1">
      <c r="A23" s="130">
        <v>40393</v>
      </c>
      <c r="B23">
        <v>45.715400000000002</v>
      </c>
      <c r="C23">
        <f t="shared" si="1"/>
        <v>8</v>
      </c>
    </row>
    <row r="24" spans="1:3" hidden="1">
      <c r="A24" s="130">
        <v>40451</v>
      </c>
      <c r="B24">
        <v>45.715400000000002</v>
      </c>
      <c r="C24">
        <f t="shared" si="1"/>
        <v>9</v>
      </c>
    </row>
    <row r="25" spans="1:3" hidden="1">
      <c r="A25" s="130">
        <v>40484</v>
      </c>
      <c r="B25">
        <v>45.715400000000002</v>
      </c>
      <c r="C25">
        <f t="shared" si="1"/>
        <v>11</v>
      </c>
    </row>
    <row r="26" spans="1:3">
      <c r="A26" s="130">
        <v>40543</v>
      </c>
      <c r="B26">
        <v>45.715400000000002</v>
      </c>
      <c r="C26">
        <f t="shared" si="1"/>
        <v>12</v>
      </c>
    </row>
    <row r="27" spans="1:3" hidden="1">
      <c r="A27" s="130">
        <v>40597</v>
      </c>
      <c r="B27">
        <v>45.715400000000002</v>
      </c>
      <c r="C27">
        <f t="shared" si="1"/>
        <v>2</v>
      </c>
    </row>
    <row r="28" spans="1:3" hidden="1">
      <c r="A28" s="130">
        <v>40633</v>
      </c>
      <c r="B28">
        <v>45.851500000000001</v>
      </c>
      <c r="C28">
        <f t="shared" si="1"/>
        <v>3</v>
      </c>
    </row>
    <row r="29" spans="1:3" hidden="1">
      <c r="A29" s="130">
        <v>40648</v>
      </c>
      <c r="B29">
        <v>45.851500000000001</v>
      </c>
      <c r="C29">
        <f t="shared" si="1"/>
        <v>4</v>
      </c>
    </row>
    <row r="30" spans="1:3" hidden="1">
      <c r="A30" s="130">
        <v>40666</v>
      </c>
      <c r="B30">
        <v>45.851500000000001</v>
      </c>
      <c r="C30">
        <f t="shared" si="1"/>
        <v>5</v>
      </c>
    </row>
    <row r="31" spans="1:3" hidden="1">
      <c r="A31" s="130">
        <v>40724</v>
      </c>
      <c r="B31">
        <v>46.028300000000002</v>
      </c>
      <c r="C31">
        <f t="shared" si="1"/>
        <v>6</v>
      </c>
    </row>
    <row r="32" spans="1:3" hidden="1">
      <c r="A32" s="130">
        <v>40757</v>
      </c>
      <c r="B32">
        <v>46.028300000000002</v>
      </c>
      <c r="C32">
        <f t="shared" si="1"/>
        <v>8</v>
      </c>
    </row>
    <row r="33" spans="1:3" hidden="1">
      <c r="A33" s="130">
        <v>40816</v>
      </c>
      <c r="B33">
        <v>46.207900000000002</v>
      </c>
      <c r="C33">
        <f t="shared" si="1"/>
        <v>9</v>
      </c>
    </row>
    <row r="34" spans="1:3" hidden="1">
      <c r="A34" s="130">
        <v>40848</v>
      </c>
      <c r="B34">
        <v>46.207900000000002</v>
      </c>
      <c r="C34">
        <f t="shared" si="1"/>
        <v>11</v>
      </c>
    </row>
    <row r="35" spans="1:3">
      <c r="A35" s="130">
        <v>40908</v>
      </c>
      <c r="B35">
        <v>46.338200000000001</v>
      </c>
      <c r="C35">
        <f t="shared" si="1"/>
        <v>12</v>
      </c>
    </row>
    <row r="36" spans="1:3" hidden="1">
      <c r="A36" s="130">
        <v>40961</v>
      </c>
      <c r="B36">
        <v>46.338200000000001</v>
      </c>
      <c r="C36">
        <f t="shared" si="1"/>
        <v>2</v>
      </c>
    </row>
    <row r="37" spans="1:3" hidden="1">
      <c r="A37" s="130">
        <v>40999</v>
      </c>
      <c r="B37">
        <v>46.474200000000003</v>
      </c>
      <c r="C37">
        <f t="shared" si="1"/>
        <v>3</v>
      </c>
    </row>
    <row r="38" spans="1:3" hidden="1">
      <c r="A38" s="130">
        <v>41001</v>
      </c>
      <c r="B38">
        <v>46.474200000000003</v>
      </c>
      <c r="C38">
        <f t="shared" si="1"/>
        <v>4</v>
      </c>
    </row>
    <row r="39" spans="1:3" hidden="1">
      <c r="A39" s="130">
        <v>41030</v>
      </c>
      <c r="B39">
        <v>46.474200000000003</v>
      </c>
      <c r="C39">
        <f t="shared" si="1"/>
        <v>5</v>
      </c>
    </row>
    <row r="40" spans="1:3" hidden="1">
      <c r="A40" s="130">
        <v>41090</v>
      </c>
      <c r="B40">
        <v>46.645000000000003</v>
      </c>
      <c r="C40">
        <f t="shared" si="1"/>
        <v>6</v>
      </c>
    </row>
    <row r="41" spans="1:3" hidden="1">
      <c r="A41" s="130">
        <v>41121</v>
      </c>
      <c r="B41">
        <v>46.645000000000003</v>
      </c>
      <c r="C41">
        <f t="shared" si="1"/>
        <v>7</v>
      </c>
    </row>
    <row r="42" spans="1:3" hidden="1">
      <c r="A42" s="130">
        <v>41182</v>
      </c>
      <c r="B42">
        <v>46.758899999999997</v>
      </c>
      <c r="C42">
        <f t="shared" si="1"/>
        <v>9</v>
      </c>
    </row>
    <row r="43" spans="1:3" hidden="1">
      <c r="A43" s="130">
        <v>41212</v>
      </c>
      <c r="B43">
        <v>46.758899999999997</v>
      </c>
      <c r="C43">
        <f t="shared" ref="C43:C74" si="2">MONTH(A43)</f>
        <v>10</v>
      </c>
    </row>
    <row r="44" spans="1:3">
      <c r="A44" s="130">
        <v>41274</v>
      </c>
      <c r="B44">
        <v>47.453899999999997</v>
      </c>
      <c r="C44">
        <f t="shared" si="2"/>
        <v>12</v>
      </c>
    </row>
    <row r="45" spans="1:3" hidden="1">
      <c r="A45" s="130">
        <v>41325</v>
      </c>
      <c r="B45">
        <v>47.453899999999997</v>
      </c>
      <c r="C45">
        <f t="shared" si="2"/>
        <v>2</v>
      </c>
    </row>
    <row r="46" spans="1:3" hidden="1">
      <c r="A46" s="130">
        <v>41364</v>
      </c>
      <c r="B46">
        <v>48.4343</v>
      </c>
      <c r="C46">
        <f t="shared" si="2"/>
        <v>3</v>
      </c>
    </row>
    <row r="47" spans="1:3" hidden="1">
      <c r="A47" s="130">
        <v>41365</v>
      </c>
      <c r="B47">
        <v>48.4343</v>
      </c>
      <c r="C47">
        <f t="shared" si="2"/>
        <v>4</v>
      </c>
    </row>
    <row r="48" spans="1:3" hidden="1">
      <c r="A48" s="130">
        <v>41369</v>
      </c>
      <c r="B48">
        <v>48.4343</v>
      </c>
      <c r="C48">
        <f t="shared" si="2"/>
        <v>4</v>
      </c>
    </row>
    <row r="49" spans="1:6" hidden="1">
      <c r="A49" s="130">
        <v>41390</v>
      </c>
      <c r="B49">
        <v>48.4343</v>
      </c>
      <c r="C49">
        <f t="shared" si="2"/>
        <v>4</v>
      </c>
    </row>
    <row r="50" spans="1:6" hidden="1">
      <c r="A50" s="130">
        <v>41455</v>
      </c>
      <c r="B50">
        <v>52.865900000000003</v>
      </c>
      <c r="C50">
        <f t="shared" si="2"/>
        <v>6</v>
      </c>
    </row>
    <row r="51" spans="1:6" hidden="1">
      <c r="A51" s="130">
        <v>41485</v>
      </c>
      <c r="B51">
        <v>52.865900000000003</v>
      </c>
      <c r="C51">
        <f t="shared" si="2"/>
        <v>7</v>
      </c>
    </row>
    <row r="52" spans="1:6" hidden="1">
      <c r="A52" s="130">
        <v>41547</v>
      </c>
      <c r="B52">
        <v>53.469900000000003</v>
      </c>
      <c r="C52">
        <f t="shared" si="2"/>
        <v>9</v>
      </c>
    </row>
    <row r="53" spans="1:6" hidden="1">
      <c r="A53" s="130">
        <v>41572</v>
      </c>
      <c r="B53">
        <v>53.469900000000003</v>
      </c>
      <c r="C53">
        <f t="shared" si="2"/>
        <v>10</v>
      </c>
    </row>
    <row r="54" spans="1:6">
      <c r="A54" s="130">
        <v>41639</v>
      </c>
      <c r="B54">
        <v>56.2956</v>
      </c>
      <c r="C54">
        <f t="shared" si="2"/>
        <v>12</v>
      </c>
    </row>
    <row r="55" spans="1:6" hidden="1">
      <c r="A55" s="130">
        <v>41689</v>
      </c>
      <c r="B55">
        <v>56.349699999999999</v>
      </c>
      <c r="C55">
        <f t="shared" si="2"/>
        <v>2</v>
      </c>
    </row>
    <row r="56" spans="1:6" hidden="1">
      <c r="A56" s="130">
        <v>41724</v>
      </c>
      <c r="B56">
        <v>56.459000000000003</v>
      </c>
      <c r="C56">
        <f t="shared" si="2"/>
        <v>3</v>
      </c>
    </row>
    <row r="57" spans="1:6" hidden="1">
      <c r="A57" s="130">
        <v>41729</v>
      </c>
      <c r="B57">
        <v>56.459000000000003</v>
      </c>
      <c r="C57">
        <f t="shared" si="2"/>
        <v>3</v>
      </c>
    </row>
    <row r="58" spans="1:6" hidden="1">
      <c r="A58" s="130">
        <v>41733</v>
      </c>
      <c r="B58">
        <v>56.459099999999999</v>
      </c>
      <c r="C58">
        <f t="shared" si="2"/>
        <v>4</v>
      </c>
    </row>
    <row r="59" spans="1:6" hidden="1">
      <c r="A59" s="130">
        <v>41758</v>
      </c>
      <c r="B59">
        <v>56.514800000000001</v>
      </c>
      <c r="C59">
        <f t="shared" si="2"/>
        <v>4</v>
      </c>
    </row>
    <row r="60" spans="1:6" hidden="1">
      <c r="A60" s="130">
        <v>41820</v>
      </c>
      <c r="B60">
        <v>56.636200000000002</v>
      </c>
      <c r="C60">
        <f t="shared" si="2"/>
        <v>6</v>
      </c>
    </row>
    <row r="61" spans="1:6" hidden="1">
      <c r="A61" s="130">
        <v>41849</v>
      </c>
      <c r="B61">
        <v>70.001300000000001</v>
      </c>
      <c r="C61">
        <f t="shared" si="2"/>
        <v>7</v>
      </c>
    </row>
    <row r="62" spans="1:6" hidden="1">
      <c r="A62" s="130">
        <v>41912</v>
      </c>
      <c r="B62">
        <v>70.133499999999998</v>
      </c>
      <c r="C62">
        <f t="shared" si="2"/>
        <v>9</v>
      </c>
    </row>
    <row r="63" spans="1:6" hidden="1">
      <c r="A63" s="130">
        <v>41940</v>
      </c>
      <c r="B63">
        <v>70.95</v>
      </c>
      <c r="C63">
        <f t="shared" si="2"/>
        <v>10</v>
      </c>
    </row>
    <row r="64" spans="1:6">
      <c r="A64" s="130">
        <v>42004</v>
      </c>
      <c r="B64">
        <v>71.089600000000004</v>
      </c>
      <c r="C64">
        <f t="shared" si="2"/>
        <v>12</v>
      </c>
      <c r="F64">
        <v>1000</v>
      </c>
    </row>
    <row r="65" spans="1:3" hidden="1">
      <c r="A65" s="130">
        <v>42053</v>
      </c>
      <c r="B65">
        <v>71.2316</v>
      </c>
      <c r="C65">
        <f t="shared" si="2"/>
        <v>2</v>
      </c>
    </row>
    <row r="66" spans="1:3" hidden="1">
      <c r="A66" s="130">
        <v>42088</v>
      </c>
      <c r="B66">
        <v>79.338200000000001</v>
      </c>
      <c r="C66">
        <f t="shared" si="2"/>
        <v>3</v>
      </c>
    </row>
    <row r="67" spans="1:3" hidden="1">
      <c r="A67" s="130">
        <v>42094</v>
      </c>
      <c r="B67">
        <v>77.412099999999995</v>
      </c>
      <c r="C67">
        <f t="shared" si="2"/>
        <v>3</v>
      </c>
    </row>
    <row r="68" spans="1:3" hidden="1">
      <c r="A68" s="130">
        <v>42096</v>
      </c>
      <c r="B68">
        <v>77.412099999999995</v>
      </c>
      <c r="C68">
        <f t="shared" si="2"/>
        <v>4</v>
      </c>
    </row>
    <row r="69" spans="1:3" hidden="1">
      <c r="A69" s="130">
        <v>42103</v>
      </c>
      <c r="B69">
        <v>79.338200000000001</v>
      </c>
      <c r="C69">
        <f t="shared" si="2"/>
        <v>4</v>
      </c>
    </row>
    <row r="70" spans="1:3" hidden="1">
      <c r="A70" s="130">
        <v>42125</v>
      </c>
      <c r="B70">
        <v>79.338399999999993</v>
      </c>
      <c r="C70">
        <f t="shared" si="2"/>
        <v>5</v>
      </c>
    </row>
    <row r="71" spans="1:3" hidden="1">
      <c r="A71" s="130">
        <v>42185</v>
      </c>
      <c r="B71">
        <v>79.501800000000003</v>
      </c>
      <c r="C71">
        <f t="shared" si="2"/>
        <v>6</v>
      </c>
    </row>
    <row r="72" spans="1:3" hidden="1">
      <c r="A72" s="130">
        <v>42216</v>
      </c>
      <c r="B72">
        <v>79.59</v>
      </c>
      <c r="C72">
        <f t="shared" si="2"/>
        <v>7</v>
      </c>
    </row>
    <row r="73" spans="1:3" hidden="1">
      <c r="A73" s="130">
        <v>42277</v>
      </c>
      <c r="B73">
        <v>79.778800000000004</v>
      </c>
      <c r="C73">
        <f t="shared" si="2"/>
        <v>9</v>
      </c>
    </row>
    <row r="74" spans="1:3" hidden="1">
      <c r="A74" s="130">
        <v>42307</v>
      </c>
      <c r="B74">
        <v>79.854200000000006</v>
      </c>
      <c r="C74">
        <f t="shared" si="2"/>
        <v>10</v>
      </c>
    </row>
    <row r="75" spans="1:3">
      <c r="A75" s="130">
        <v>42369</v>
      </c>
      <c r="B75">
        <v>80.006799999999998</v>
      </c>
      <c r="C75">
        <f t="shared" ref="C75:C92" si="3">MONTH(A75)</f>
        <v>12</v>
      </c>
    </row>
    <row r="76" spans="1:3" hidden="1">
      <c r="A76" s="130">
        <v>42419</v>
      </c>
      <c r="B76">
        <v>80.084500000000006</v>
      </c>
      <c r="C76">
        <f t="shared" si="3"/>
        <v>2</v>
      </c>
    </row>
    <row r="77" spans="1:3" hidden="1">
      <c r="A77" s="130">
        <v>42452</v>
      </c>
      <c r="B77">
        <v>80.2577</v>
      </c>
      <c r="C77">
        <f t="shared" si="3"/>
        <v>3</v>
      </c>
    </row>
    <row r="78" spans="1:3" hidden="1">
      <c r="A78" s="130">
        <v>42460</v>
      </c>
      <c r="B78">
        <v>80.257599999999996</v>
      </c>
      <c r="C78">
        <f t="shared" si="3"/>
        <v>3</v>
      </c>
    </row>
    <row r="79" spans="1:3" hidden="1">
      <c r="A79" s="130">
        <v>42461</v>
      </c>
      <c r="B79">
        <v>80.2577</v>
      </c>
      <c r="C79">
        <f t="shared" si="3"/>
        <v>4</v>
      </c>
    </row>
    <row r="80" spans="1:3" hidden="1">
      <c r="A80" s="130">
        <v>42489</v>
      </c>
      <c r="B80">
        <v>80.336699999999993</v>
      </c>
      <c r="C80">
        <f t="shared" si="3"/>
        <v>4</v>
      </c>
    </row>
    <row r="81" spans="1:18" hidden="1">
      <c r="A81" s="130">
        <v>42551</v>
      </c>
      <c r="B81">
        <v>80.502899999999997</v>
      </c>
      <c r="C81">
        <f t="shared" si="3"/>
        <v>6</v>
      </c>
    </row>
    <row r="82" spans="1:18" hidden="1">
      <c r="A82" s="130">
        <v>42583</v>
      </c>
      <c r="B82">
        <v>81.525899999999993</v>
      </c>
      <c r="C82">
        <f t="shared" si="3"/>
        <v>8</v>
      </c>
    </row>
    <row r="83" spans="1:18" hidden="1">
      <c r="A83" s="130">
        <v>42643</v>
      </c>
      <c r="B83">
        <v>81.756</v>
      </c>
      <c r="C83">
        <f t="shared" si="3"/>
        <v>9</v>
      </c>
    </row>
    <row r="84" spans="1:18" hidden="1">
      <c r="A84" s="130">
        <v>42671</v>
      </c>
      <c r="B84">
        <v>81.834199999999996</v>
      </c>
      <c r="C84">
        <f t="shared" si="3"/>
        <v>10</v>
      </c>
    </row>
    <row r="85" spans="1:18" hidden="1">
      <c r="A85" s="130">
        <v>42675</v>
      </c>
      <c r="B85">
        <v>81.834299999999999</v>
      </c>
      <c r="C85">
        <f t="shared" si="3"/>
        <v>11</v>
      </c>
    </row>
    <row r="86" spans="1:18">
      <c r="A86" s="130">
        <v>42735</v>
      </c>
      <c r="B86">
        <v>82.047499999999999</v>
      </c>
      <c r="C86">
        <f t="shared" si="3"/>
        <v>12</v>
      </c>
    </row>
    <row r="87" spans="1:18" hidden="1">
      <c r="A87" s="130">
        <v>42783</v>
      </c>
      <c r="B87">
        <v>82.125399999999999</v>
      </c>
      <c r="C87">
        <f t="shared" si="3"/>
        <v>2</v>
      </c>
    </row>
    <row r="88" spans="1:18" hidden="1">
      <c r="A88" s="130">
        <v>42816</v>
      </c>
      <c r="B88">
        <v>82.228700000000003</v>
      </c>
      <c r="C88">
        <f t="shared" si="3"/>
        <v>3</v>
      </c>
    </row>
    <row r="89" spans="1:18" hidden="1">
      <c r="A89" s="130">
        <v>42825</v>
      </c>
      <c r="B89">
        <v>82.306399999999996</v>
      </c>
      <c r="C89">
        <f t="shared" si="3"/>
        <v>3</v>
      </c>
    </row>
    <row r="90" spans="1:18" hidden="1">
      <c r="A90" s="130">
        <v>42857</v>
      </c>
      <c r="B90">
        <v>82.419899999999998</v>
      </c>
      <c r="C90">
        <f t="shared" si="3"/>
        <v>5</v>
      </c>
    </row>
    <row r="91" spans="1:18" hidden="1">
      <c r="A91" s="130">
        <v>42916</v>
      </c>
      <c r="B91">
        <v>82.589799999999997</v>
      </c>
      <c r="C91">
        <f t="shared" si="3"/>
        <v>6</v>
      </c>
    </row>
    <row r="92" spans="1:18" hidden="1">
      <c r="A92" s="130">
        <v>42948</v>
      </c>
      <c r="B92">
        <v>82.667900000000003</v>
      </c>
      <c r="C92">
        <f t="shared" si="3"/>
        <v>8</v>
      </c>
    </row>
    <row r="93" spans="1:18">
      <c r="K93" s="153" t="s">
        <v>231</v>
      </c>
      <c r="L93" s="153"/>
      <c r="M93" s="153"/>
      <c r="N93" s="153"/>
      <c r="O93" s="153"/>
      <c r="P93" s="153"/>
      <c r="Q93" s="153"/>
      <c r="R93" s="153"/>
    </row>
    <row r="94" spans="1:18">
      <c r="B94" t="s">
        <v>218</v>
      </c>
      <c r="C94" t="s">
        <v>37</v>
      </c>
      <c r="D94" t="s">
        <v>230</v>
      </c>
      <c r="E94" t="s">
        <v>229</v>
      </c>
      <c r="F94" t="s">
        <v>210</v>
      </c>
      <c r="G94" t="s">
        <v>217</v>
      </c>
      <c r="H94" t="s">
        <v>73</v>
      </c>
      <c r="I94" t="s">
        <v>207</v>
      </c>
      <c r="L94" t="s">
        <v>37</v>
      </c>
      <c r="M94" t="s">
        <v>230</v>
      </c>
      <c r="N94" t="s">
        <v>229</v>
      </c>
      <c r="O94" t="s">
        <v>210</v>
      </c>
      <c r="P94" t="s">
        <v>217</v>
      </c>
      <c r="Q94" t="s">
        <v>73</v>
      </c>
      <c r="R94" t="s">
        <v>219</v>
      </c>
    </row>
    <row r="95" spans="1:18">
      <c r="A95">
        <v>2007</v>
      </c>
      <c r="B95">
        <v>44.938400000000001</v>
      </c>
      <c r="C95">
        <v>754.21400000000006</v>
      </c>
      <c r="D95">
        <v>93.498999999999995</v>
      </c>
      <c r="E95" s="138">
        <v>-48.93715209499841</v>
      </c>
      <c r="F95" s="38">
        <f>D95+E95</f>
        <v>44.561847905001585</v>
      </c>
      <c r="G95">
        <v>-587.89084790500169</v>
      </c>
      <c r="H95">
        <f>F95+G95</f>
        <v>-543.32900000000006</v>
      </c>
      <c r="I95">
        <v>0</v>
      </c>
      <c r="K95">
        <v>2007</v>
      </c>
      <c r="L95">
        <f t="shared" ref="L95:L104" si="4">C95/$B95</f>
        <v>16.783285564239048</v>
      </c>
      <c r="M95">
        <f>D95/B95</f>
        <v>2.0806036708026987</v>
      </c>
      <c r="N95" s="38">
        <f t="shared" ref="N95:N103" si="5">E95/B95</f>
        <v>-1.088982965459349</v>
      </c>
      <c r="O95">
        <f t="shared" ref="O95:O104" si="6">F95/$B95</f>
        <v>0.99162070534334967</v>
      </c>
      <c r="P95">
        <f t="shared" ref="P95:P104" si="7">G95/$B95</f>
        <v>-13.0821490730645</v>
      </c>
      <c r="Q95">
        <f t="shared" ref="Q95:Q104" si="8">H95/$B95</f>
        <v>-12.090528367721149</v>
      </c>
      <c r="R95">
        <f t="shared" ref="R95:R104" si="9">I95/B95</f>
        <v>0</v>
      </c>
    </row>
    <row r="96" spans="1:18">
      <c r="A96">
        <v>2008</v>
      </c>
      <c r="B96">
        <v>44.948700000000002</v>
      </c>
      <c r="C96">
        <v>977.36099999999999</v>
      </c>
      <c r="D96">
        <v>95.578999999999994</v>
      </c>
      <c r="E96" s="138">
        <v>-59.748628389335259</v>
      </c>
      <c r="F96" s="38">
        <f>D96+E96</f>
        <v>35.830371610664734</v>
      </c>
      <c r="G96">
        <v>2.6176283893352519</v>
      </c>
      <c r="H96">
        <f t="shared" ref="H96:H104" si="10">F96+G96</f>
        <v>38.447999999999986</v>
      </c>
      <c r="I96">
        <v>0</v>
      </c>
      <c r="K96">
        <v>2008</v>
      </c>
      <c r="L96">
        <f t="shared" si="4"/>
        <v>21.743921403733587</v>
      </c>
      <c r="M96">
        <f t="shared" ref="M96:M104" si="11">D96/B96</f>
        <v>2.1264018759163221</v>
      </c>
      <c r="N96" s="38">
        <f t="shared" si="5"/>
        <v>-1.329262656969729</v>
      </c>
      <c r="O96">
        <f t="shared" si="6"/>
        <v>0.79713921894659312</v>
      </c>
      <c r="P96">
        <f t="shared" si="7"/>
        <v>5.8235908698922367E-2</v>
      </c>
      <c r="Q96">
        <f t="shared" si="8"/>
        <v>0.85537512764551549</v>
      </c>
      <c r="R96">
        <f t="shared" si="9"/>
        <v>0</v>
      </c>
    </row>
    <row r="97" spans="1:20">
      <c r="A97">
        <v>2009</v>
      </c>
      <c r="B97">
        <v>45.292900000000003</v>
      </c>
      <c r="C97">
        <v>710.07600000000002</v>
      </c>
      <c r="D97">
        <v>82.975999999999999</v>
      </c>
      <c r="E97" s="138">
        <v>-49.263025460000001</v>
      </c>
      <c r="F97" s="38">
        <f t="shared" ref="F97:F104" si="12">D97+E97</f>
        <v>33.712974539999998</v>
      </c>
      <c r="G97">
        <v>48.443025460000001</v>
      </c>
      <c r="H97">
        <f t="shared" si="10"/>
        <v>82.156000000000006</v>
      </c>
      <c r="I97">
        <v>0</v>
      </c>
      <c r="K97">
        <v>2009</v>
      </c>
      <c r="L97">
        <f t="shared" si="4"/>
        <v>15.677424055425906</v>
      </c>
      <c r="M97">
        <f t="shared" si="11"/>
        <v>1.831986911855942</v>
      </c>
      <c r="N97" s="38">
        <f t="shared" si="5"/>
        <v>-1.0876544769710041</v>
      </c>
      <c r="O97">
        <f t="shared" si="6"/>
        <v>0.74433243488493772</v>
      </c>
      <c r="P97">
        <f t="shared" si="7"/>
        <v>1.069550094164869</v>
      </c>
      <c r="Q97">
        <f t="shared" si="8"/>
        <v>1.8138825290498068</v>
      </c>
      <c r="R97">
        <f t="shared" si="9"/>
        <v>0</v>
      </c>
    </row>
    <row r="98" spans="1:20">
      <c r="A98">
        <v>2010</v>
      </c>
      <c r="B98">
        <v>45.715400000000002</v>
      </c>
      <c r="C98">
        <v>840.79100000000005</v>
      </c>
      <c r="D98">
        <v>98.555000000000007</v>
      </c>
      <c r="E98" s="138">
        <v>-70.582434189335302</v>
      </c>
      <c r="F98" s="38">
        <f t="shared" si="12"/>
        <v>27.972565810664705</v>
      </c>
      <c r="G98">
        <v>39.870434189335306</v>
      </c>
      <c r="H98">
        <f t="shared" si="10"/>
        <v>67.843000000000018</v>
      </c>
      <c r="I98">
        <v>0</v>
      </c>
      <c r="K98">
        <v>2010</v>
      </c>
      <c r="L98">
        <f t="shared" si="4"/>
        <v>18.391854823538676</v>
      </c>
      <c r="M98">
        <f t="shared" si="11"/>
        <v>2.1558380764468867</v>
      </c>
      <c r="N98" s="38">
        <f t="shared" si="5"/>
        <v>-1.543953114034555</v>
      </c>
      <c r="O98">
        <f t="shared" si="6"/>
        <v>0.61188496241233159</v>
      </c>
      <c r="P98">
        <f t="shared" si="7"/>
        <v>0.87214448936978139</v>
      </c>
      <c r="Q98">
        <f t="shared" si="8"/>
        <v>1.4840294517821131</v>
      </c>
      <c r="R98">
        <f t="shared" si="9"/>
        <v>0</v>
      </c>
    </row>
    <row r="99" spans="1:20">
      <c r="A99">
        <v>2011</v>
      </c>
      <c r="B99">
        <v>46.338200000000001</v>
      </c>
      <c r="C99">
        <v>988.79100000000005</v>
      </c>
      <c r="D99">
        <v>91.042000000000002</v>
      </c>
      <c r="E99" s="138">
        <v>-93.195458811419201</v>
      </c>
      <c r="F99" s="38">
        <f t="shared" si="12"/>
        <v>-2.153458811419199</v>
      </c>
      <c r="G99">
        <v>45.163458811419204</v>
      </c>
      <c r="H99">
        <f t="shared" si="10"/>
        <v>43.010000000000005</v>
      </c>
      <c r="I99">
        <v>0</v>
      </c>
      <c r="K99">
        <v>2011</v>
      </c>
      <c r="L99">
        <f t="shared" si="4"/>
        <v>21.338571632044406</v>
      </c>
      <c r="M99">
        <f t="shared" si="11"/>
        <v>1.9647288845919781</v>
      </c>
      <c r="N99" s="38">
        <f t="shared" si="5"/>
        <v>-2.011201531596376</v>
      </c>
      <c r="O99">
        <f t="shared" si="6"/>
        <v>-4.6472647004398078E-2</v>
      </c>
      <c r="P99">
        <f t="shared" si="7"/>
        <v>0.97464853644334914</v>
      </c>
      <c r="Q99">
        <f t="shared" si="8"/>
        <v>0.92817588943895113</v>
      </c>
      <c r="R99">
        <f t="shared" si="9"/>
        <v>0</v>
      </c>
    </row>
    <row r="100" spans="1:20">
      <c r="A100">
        <v>2012</v>
      </c>
      <c r="B100">
        <v>47.453899999999997</v>
      </c>
      <c r="C100">
        <v>1034.046</v>
      </c>
      <c r="D100">
        <v>217.911</v>
      </c>
      <c r="E100" s="138">
        <v>-101.74777491316931</v>
      </c>
      <c r="F100" s="38">
        <f t="shared" si="12"/>
        <v>116.16322508683069</v>
      </c>
      <c r="G100">
        <v>155.06977491316931</v>
      </c>
      <c r="H100">
        <f t="shared" si="10"/>
        <v>271.233</v>
      </c>
      <c r="I100">
        <v>-112.48699999999999</v>
      </c>
      <c r="K100">
        <v>2012</v>
      </c>
      <c r="L100">
        <f t="shared" si="4"/>
        <v>21.790537764019398</v>
      </c>
      <c r="M100">
        <f t="shared" si="11"/>
        <v>4.5920567118824795</v>
      </c>
      <c r="N100" s="38">
        <f t="shared" si="5"/>
        <v>-2.1441393629010328</v>
      </c>
      <c r="O100">
        <f t="shared" si="6"/>
        <v>2.4479173489814472</v>
      </c>
      <c r="P100">
        <f t="shared" si="7"/>
        <v>3.2677983245459132</v>
      </c>
      <c r="Q100">
        <f t="shared" si="8"/>
        <v>5.7157156735273604</v>
      </c>
      <c r="R100">
        <f t="shared" si="9"/>
        <v>-2.3704479505372582</v>
      </c>
      <c r="S100">
        <f>O100+R100</f>
        <v>7.7469398444188986E-2</v>
      </c>
      <c r="T100">
        <f>-R100-O100</f>
        <v>-7.7469398444188986E-2</v>
      </c>
    </row>
    <row r="101" spans="1:20">
      <c r="A101">
        <v>2013</v>
      </c>
      <c r="B101">
        <v>56.2956</v>
      </c>
      <c r="C101">
        <v>1041.019</v>
      </c>
      <c r="D101">
        <v>155.11699999999999</v>
      </c>
      <c r="E101" s="138">
        <v>-135.302585505</v>
      </c>
      <c r="F101" s="38">
        <f t="shared" si="12"/>
        <v>19.814414494999994</v>
      </c>
      <c r="G101">
        <v>64.354585504999989</v>
      </c>
      <c r="H101">
        <f t="shared" si="10"/>
        <v>84.168999999999983</v>
      </c>
      <c r="I101">
        <v>-128.97</v>
      </c>
      <c r="K101">
        <v>2013</v>
      </c>
      <c r="L101">
        <f t="shared" si="4"/>
        <v>18.492013585431188</v>
      </c>
      <c r="M101">
        <f t="shared" si="11"/>
        <v>2.7554018431280594</v>
      </c>
      <c r="N101" s="38">
        <f t="shared" si="5"/>
        <v>-2.403430916536994</v>
      </c>
      <c r="O101">
        <f t="shared" si="6"/>
        <v>0.3519709265910656</v>
      </c>
      <c r="P101">
        <f t="shared" si="7"/>
        <v>1.1431548025955844</v>
      </c>
      <c r="Q101">
        <f t="shared" si="8"/>
        <v>1.4951257291866502</v>
      </c>
      <c r="R101">
        <f t="shared" si="9"/>
        <v>-2.2909428090294801</v>
      </c>
      <c r="S101">
        <f t="shared" ref="S101:S104" si="13">O101+R101</f>
        <v>-1.9389718824384146</v>
      </c>
      <c r="T101">
        <f t="shared" ref="T101:T104" si="14">-R101-O101</f>
        <v>1.9389718824384146</v>
      </c>
    </row>
    <row r="102" spans="1:20">
      <c r="A102">
        <v>2014</v>
      </c>
      <c r="B102">
        <v>71.089600000000004</v>
      </c>
      <c r="C102">
        <v>1350.9179999999999</v>
      </c>
      <c r="D102">
        <v>251.61500000000001</v>
      </c>
      <c r="E102" s="138">
        <v>-109.2265231774187</v>
      </c>
      <c r="F102" s="38">
        <f t="shared" si="12"/>
        <v>142.38847682258131</v>
      </c>
      <c r="G102">
        <v>-1024.1784768225814</v>
      </c>
      <c r="H102">
        <f t="shared" si="10"/>
        <v>-881.79000000000008</v>
      </c>
      <c r="I102">
        <v>-240.535</v>
      </c>
      <c r="K102">
        <v>2014</v>
      </c>
      <c r="L102">
        <f t="shared" si="4"/>
        <v>19.003032792419706</v>
      </c>
      <c r="M102">
        <f t="shared" si="11"/>
        <v>3.5394066079989197</v>
      </c>
      <c r="N102" s="38">
        <f t="shared" si="5"/>
        <v>-1.5364627621680063</v>
      </c>
      <c r="O102">
        <f t="shared" si="6"/>
        <v>2.0029438458309134</v>
      </c>
      <c r="P102">
        <f t="shared" si="7"/>
        <v>-14.406867907859677</v>
      </c>
      <c r="Q102">
        <f t="shared" si="8"/>
        <v>-12.403924062028764</v>
      </c>
      <c r="R102">
        <f t="shared" si="9"/>
        <v>-3.3835469604555377</v>
      </c>
      <c r="S102">
        <f t="shared" si="13"/>
        <v>-1.3806031146246243</v>
      </c>
      <c r="T102">
        <f t="shared" si="14"/>
        <v>1.3806031146246243</v>
      </c>
    </row>
    <row r="103" spans="1:20">
      <c r="A103">
        <v>2015</v>
      </c>
      <c r="B103">
        <v>80.006799999999998</v>
      </c>
      <c r="C103">
        <v>1639.25</v>
      </c>
      <c r="D103">
        <v>381.15600000000001</v>
      </c>
      <c r="E103" s="138">
        <v>-139.27756636033308</v>
      </c>
      <c r="F103" s="38">
        <f t="shared" si="12"/>
        <v>241.87843363966692</v>
      </c>
      <c r="G103">
        <v>-326.12543363966688</v>
      </c>
      <c r="H103">
        <f t="shared" si="10"/>
        <v>-84.246999999999957</v>
      </c>
      <c r="I103">
        <v>-341.56</v>
      </c>
      <c r="K103">
        <v>2015</v>
      </c>
      <c r="L103">
        <f t="shared" si="4"/>
        <v>20.488883444907184</v>
      </c>
      <c r="M103">
        <f t="shared" si="11"/>
        <v>4.7640450561702261</v>
      </c>
      <c r="N103" s="38">
        <f t="shared" si="5"/>
        <v>-1.7408216096673419</v>
      </c>
      <c r="O103">
        <f t="shared" si="6"/>
        <v>3.0232234465028838</v>
      </c>
      <c r="P103">
        <f t="shared" si="7"/>
        <v>-4.0762214416732938</v>
      </c>
      <c r="Q103">
        <f t="shared" si="8"/>
        <v>-1.05299799517041</v>
      </c>
      <c r="R103">
        <f t="shared" si="9"/>
        <v>-4.2691371233445157</v>
      </c>
      <c r="S103">
        <f t="shared" si="13"/>
        <v>-1.2459136768416319</v>
      </c>
      <c r="T103">
        <f t="shared" si="14"/>
        <v>1.2459136768416319</v>
      </c>
    </row>
    <row r="104" spans="1:20">
      <c r="A104">
        <v>2016</v>
      </c>
      <c r="B104">
        <v>82.047499999999999</v>
      </c>
      <c r="C104">
        <v>1651.731</v>
      </c>
      <c r="D104">
        <v>560.32000000000005</v>
      </c>
      <c r="E104" s="138">
        <v>-126.5</v>
      </c>
      <c r="F104" s="38">
        <f t="shared" si="12"/>
        <v>433.82000000000005</v>
      </c>
      <c r="G104">
        <v>-247.99299999999999</v>
      </c>
      <c r="H104">
        <f t="shared" si="10"/>
        <v>185.82700000000006</v>
      </c>
      <c r="I104">
        <v>-396.09300000000002</v>
      </c>
      <c r="K104">
        <v>2016</v>
      </c>
      <c r="L104">
        <f t="shared" si="4"/>
        <v>20.131399494195435</v>
      </c>
      <c r="M104">
        <f t="shared" si="11"/>
        <v>6.8292147841189559</v>
      </c>
      <c r="N104" s="38">
        <f>E104/B104</f>
        <v>-1.5417898168743716</v>
      </c>
      <c r="O104">
        <f t="shared" si="6"/>
        <v>5.2874249672445846</v>
      </c>
      <c r="P104">
        <f t="shared" si="7"/>
        <v>-3.0225540083488225</v>
      </c>
      <c r="Q104">
        <f t="shared" si="8"/>
        <v>2.2648709588957625</v>
      </c>
      <c r="R104">
        <f t="shared" si="9"/>
        <v>-4.8276059599622174</v>
      </c>
      <c r="S104">
        <f t="shared" si="13"/>
        <v>0.45981900728236713</v>
      </c>
      <c r="T104">
        <f t="shared" si="14"/>
        <v>-0.45981900728236713</v>
      </c>
    </row>
    <row r="106" spans="1:20">
      <c r="J106" s="137">
        <f>L104/L95-1</f>
        <v>0.19949097077215772</v>
      </c>
      <c r="K106" s="137">
        <f>O104/O95-1</f>
        <v>4.3321042398099268</v>
      </c>
      <c r="L106" s="137"/>
      <c r="M106" s="137"/>
    </row>
    <row r="109" spans="1:20">
      <c r="F109" t="s">
        <v>159</v>
      </c>
      <c r="G109" t="s">
        <v>222</v>
      </c>
      <c r="H109" t="s">
        <v>223</v>
      </c>
      <c r="I109" t="s">
        <v>210</v>
      </c>
      <c r="L109" t="s">
        <v>224</v>
      </c>
      <c r="M109" t="s">
        <v>210</v>
      </c>
    </row>
    <row r="110" spans="1:20">
      <c r="A110" s="130" t="s">
        <v>37</v>
      </c>
      <c r="B110" s="17">
        <v>890447</v>
      </c>
      <c r="F110" s="130">
        <v>39447</v>
      </c>
      <c r="G110">
        <v>973.72400000000005</v>
      </c>
      <c r="H110">
        <v>1434.7139999999999</v>
      </c>
      <c r="I110">
        <v>44.561847905001585</v>
      </c>
      <c r="K110">
        <v>2007</v>
      </c>
      <c r="L110">
        <v>59.651000000000003</v>
      </c>
      <c r="M110">
        <v>44.561847905001585</v>
      </c>
    </row>
    <row r="111" spans="1:20">
      <c r="A111" s="130" t="s">
        <v>220</v>
      </c>
      <c r="B111" s="17">
        <v>249204</v>
      </c>
      <c r="F111" s="130">
        <v>39813</v>
      </c>
      <c r="G111">
        <v>628.83799999999997</v>
      </c>
      <c r="H111">
        <v>1331.336</v>
      </c>
      <c r="I111">
        <v>35.830371610664734</v>
      </c>
      <c r="K111">
        <v>2008</v>
      </c>
      <c r="L111">
        <v>87.561999999999998</v>
      </c>
      <c r="M111">
        <v>35.830371610664734</v>
      </c>
    </row>
    <row r="112" spans="1:20">
      <c r="A112" s="139" t="s">
        <v>221</v>
      </c>
      <c r="B112" s="140">
        <v>-27500</v>
      </c>
      <c r="F112" s="130">
        <v>40178</v>
      </c>
      <c r="G112">
        <v>578.52599999999995</v>
      </c>
      <c r="H112">
        <v>1214.0119999999999</v>
      </c>
      <c r="I112">
        <v>33.712974539999998</v>
      </c>
      <c r="K112">
        <v>2009</v>
      </c>
      <c r="L112">
        <v>95.337000000000003</v>
      </c>
      <c r="M112">
        <v>33.712974539999998</v>
      </c>
    </row>
    <row r="113" spans="1:13">
      <c r="A113" s="130" t="s">
        <v>210</v>
      </c>
      <c r="B113" s="17">
        <f>SUM(B111:B112)</f>
        <v>221704</v>
      </c>
      <c r="F113" s="130">
        <v>40543</v>
      </c>
      <c r="G113">
        <v>691.149</v>
      </c>
      <c r="H113">
        <v>1140.3789999999999</v>
      </c>
      <c r="I113">
        <v>27.972565810664705</v>
      </c>
      <c r="K113">
        <v>2010</v>
      </c>
      <c r="L113">
        <v>106.80500000000001</v>
      </c>
      <c r="M113">
        <v>27.972565810664705</v>
      </c>
    </row>
    <row r="114" spans="1:13">
      <c r="A114" s="130" t="s">
        <v>127</v>
      </c>
      <c r="B114" s="20">
        <f>B113/B110</f>
        <v>0.24898056818654002</v>
      </c>
      <c r="F114" s="130">
        <v>40908</v>
      </c>
      <c r="G114">
        <v>703.68200000000002</v>
      </c>
      <c r="H114">
        <v>1124.566</v>
      </c>
      <c r="I114">
        <v>-2.153458811419199</v>
      </c>
      <c r="K114">
        <v>2011</v>
      </c>
      <c r="L114">
        <v>59.249000000000002</v>
      </c>
      <c r="M114">
        <v>-2.153458811419199</v>
      </c>
    </row>
    <row r="115" spans="1:13">
      <c r="B115" s="17"/>
      <c r="F115" s="130">
        <v>41274</v>
      </c>
      <c r="G115">
        <v>655.02800000000002</v>
      </c>
      <c r="H115">
        <v>1163.134</v>
      </c>
      <c r="I115">
        <v>116.16322508683069</v>
      </c>
      <c r="K115">
        <v>2012</v>
      </c>
      <c r="L115">
        <v>46.401000000000003</v>
      </c>
      <c r="M115">
        <v>116.16322508683069</v>
      </c>
    </row>
    <row r="116" spans="1:13">
      <c r="A116" s="130" t="s">
        <v>213</v>
      </c>
      <c r="B116" s="17">
        <f>-66321-130351-14675+1396</f>
        <v>-209951</v>
      </c>
      <c r="F116" s="130">
        <v>41639</v>
      </c>
      <c r="G116">
        <v>1042.2280000000001</v>
      </c>
      <c r="H116">
        <v>994.11</v>
      </c>
      <c r="I116">
        <v>19.814414494999994</v>
      </c>
      <c r="K116">
        <v>2013</v>
      </c>
      <c r="L116">
        <v>36.840000000000003</v>
      </c>
      <c r="M116">
        <v>19.814414494999994</v>
      </c>
    </row>
    <row r="117" spans="1:13">
      <c r="A117" s="130" t="s">
        <v>73</v>
      </c>
      <c r="B117" s="18">
        <f>B113+B116</f>
        <v>11753</v>
      </c>
      <c r="F117" s="130">
        <v>42004</v>
      </c>
      <c r="G117">
        <v>2787.163</v>
      </c>
      <c r="H117">
        <v>2392.5210000000002</v>
      </c>
      <c r="I117">
        <v>142.38847682258131</v>
      </c>
      <c r="K117">
        <v>2014</v>
      </c>
      <c r="L117">
        <v>73.084000000000003</v>
      </c>
      <c r="M117">
        <v>142.38847682258131</v>
      </c>
    </row>
    <row r="118" spans="1:13">
      <c r="B118" s="20">
        <f>B117/B113</f>
        <v>5.301212427380652E-2</v>
      </c>
      <c r="F118" s="130">
        <v>42369</v>
      </c>
      <c r="G118">
        <v>3030.19</v>
      </c>
      <c r="H118">
        <v>2786.6239999999998</v>
      </c>
      <c r="I118">
        <v>241.87843363966692</v>
      </c>
      <c r="K118">
        <v>2015</v>
      </c>
      <c r="L118">
        <v>123.024</v>
      </c>
      <c r="M118">
        <v>241.87843363966692</v>
      </c>
    </row>
    <row r="119" spans="1:13">
      <c r="F119" s="130">
        <v>42735</v>
      </c>
      <c r="G119">
        <v>2952.8939999999998</v>
      </c>
      <c r="H119">
        <v>3079.982</v>
      </c>
      <c r="I119">
        <v>433.82000000000005</v>
      </c>
      <c r="K119">
        <v>2016</v>
      </c>
      <c r="L119">
        <v>116.801</v>
      </c>
      <c r="M119">
        <v>433.82000000000005</v>
      </c>
    </row>
    <row r="123" spans="1:13">
      <c r="G123" t="s">
        <v>218</v>
      </c>
      <c r="H123" t="s">
        <v>225</v>
      </c>
      <c r="I123" t="s">
        <v>210</v>
      </c>
      <c r="L123" t="s">
        <v>226</v>
      </c>
      <c r="M123" t="s">
        <v>227</v>
      </c>
    </row>
    <row r="124" spans="1:13">
      <c r="F124">
        <v>2007</v>
      </c>
      <c r="G124">
        <v>44.938400000000001</v>
      </c>
      <c r="H124">
        <v>59.651000000000003</v>
      </c>
      <c r="I124">
        <v>44.561847905001585</v>
      </c>
      <c r="K124">
        <v>2007</v>
      </c>
      <c r="L124">
        <f t="shared" ref="L124:L133" si="15">H124/G124</f>
        <v>1.3273948338169583</v>
      </c>
      <c r="M124">
        <f t="shared" ref="M124:M133" si="16">I124/G124</f>
        <v>0.99162070534334967</v>
      </c>
    </row>
    <row r="125" spans="1:13">
      <c r="F125">
        <v>2008</v>
      </c>
      <c r="G125">
        <v>44.948700000000002</v>
      </c>
      <c r="H125">
        <v>87.561999999999998</v>
      </c>
      <c r="I125">
        <v>35.830371610664734</v>
      </c>
      <c r="K125">
        <v>2008</v>
      </c>
      <c r="L125">
        <f t="shared" si="15"/>
        <v>1.9480429912322268</v>
      </c>
      <c r="M125">
        <f t="shared" si="16"/>
        <v>0.79713921894659312</v>
      </c>
    </row>
    <row r="126" spans="1:13">
      <c r="F126">
        <v>2009</v>
      </c>
      <c r="G126">
        <v>45.292900000000003</v>
      </c>
      <c r="H126">
        <v>95.337000000000003</v>
      </c>
      <c r="I126">
        <v>33.712974539999998</v>
      </c>
      <c r="K126">
        <v>2009</v>
      </c>
      <c r="L126">
        <f t="shared" si="15"/>
        <v>2.1048994434006212</v>
      </c>
      <c r="M126">
        <f t="shared" si="16"/>
        <v>0.74433243488493772</v>
      </c>
    </row>
    <row r="127" spans="1:13">
      <c r="F127">
        <v>2010</v>
      </c>
      <c r="G127">
        <v>45.715400000000002</v>
      </c>
      <c r="H127">
        <v>106.80500000000001</v>
      </c>
      <c r="I127">
        <v>27.972565810664705</v>
      </c>
      <c r="K127">
        <v>2010</v>
      </c>
      <c r="L127">
        <f t="shared" si="15"/>
        <v>2.3363024276283264</v>
      </c>
      <c r="M127">
        <f t="shared" si="16"/>
        <v>0.61188496241233159</v>
      </c>
    </row>
    <row r="128" spans="1:13">
      <c r="F128">
        <v>2011</v>
      </c>
      <c r="G128">
        <v>46.338200000000001</v>
      </c>
      <c r="H128">
        <v>59.249000000000002</v>
      </c>
      <c r="I128">
        <v>-2.153458811419199</v>
      </c>
      <c r="K128">
        <v>2011</v>
      </c>
      <c r="L128">
        <f t="shared" si="15"/>
        <v>1.2786210944749687</v>
      </c>
      <c r="M128">
        <f t="shared" si="16"/>
        <v>-4.6472647004398078E-2</v>
      </c>
    </row>
    <row r="129" spans="6:13">
      <c r="F129">
        <v>2012</v>
      </c>
      <c r="G129">
        <v>47.453899999999997</v>
      </c>
      <c r="H129">
        <v>46.401000000000003</v>
      </c>
      <c r="I129">
        <v>116.16322508683069</v>
      </c>
      <c r="K129">
        <v>2012</v>
      </c>
      <c r="L129">
        <f t="shared" si="15"/>
        <v>0.97781215031851976</v>
      </c>
      <c r="M129">
        <f t="shared" si="16"/>
        <v>2.4479173489814472</v>
      </c>
    </row>
    <row r="130" spans="6:13">
      <c r="F130">
        <v>2013</v>
      </c>
      <c r="G130">
        <v>56.2956</v>
      </c>
      <c r="H130">
        <v>36.840000000000003</v>
      </c>
      <c r="I130">
        <v>19.814414494999994</v>
      </c>
      <c r="K130">
        <v>2013</v>
      </c>
      <c r="L130">
        <f t="shared" si="15"/>
        <v>0.65440283077185435</v>
      </c>
      <c r="M130">
        <f t="shared" si="16"/>
        <v>0.3519709265910656</v>
      </c>
    </row>
    <row r="131" spans="6:13">
      <c r="F131">
        <v>2014</v>
      </c>
      <c r="G131">
        <v>71.089600000000004</v>
      </c>
      <c r="H131">
        <v>73.084000000000003</v>
      </c>
      <c r="I131">
        <v>142.38847682258131</v>
      </c>
      <c r="K131">
        <v>2014</v>
      </c>
      <c r="L131">
        <f t="shared" si="15"/>
        <v>1.0280547365578088</v>
      </c>
      <c r="M131">
        <f t="shared" si="16"/>
        <v>2.0029438458309134</v>
      </c>
    </row>
    <row r="132" spans="6:13">
      <c r="F132">
        <v>2015</v>
      </c>
      <c r="G132">
        <v>80.006799999999998</v>
      </c>
      <c r="H132">
        <v>123.024</v>
      </c>
      <c r="I132">
        <v>241.87843363966692</v>
      </c>
      <c r="K132">
        <v>2015</v>
      </c>
      <c r="L132">
        <f t="shared" si="15"/>
        <v>1.5376692981096607</v>
      </c>
      <c r="M132">
        <f t="shared" si="16"/>
        <v>3.0232234465028838</v>
      </c>
    </row>
    <row r="133" spans="6:13">
      <c r="F133">
        <v>2016</v>
      </c>
      <c r="G133">
        <v>82.047499999999999</v>
      </c>
      <c r="H133">
        <v>116.801</v>
      </c>
      <c r="I133">
        <v>433.82000000000005</v>
      </c>
      <c r="K133">
        <v>2016</v>
      </c>
      <c r="L133">
        <f t="shared" si="15"/>
        <v>1.4235778055394741</v>
      </c>
      <c r="M133">
        <f t="shared" si="16"/>
        <v>5.2874249672445846</v>
      </c>
    </row>
  </sheetData>
  <autoFilter ref="A1:C92" xr:uid="{C19540B2-9F83-410A-87CF-FE8DDCB30D52}">
    <filterColumn colId="2">
      <filters>
        <filter val="12"/>
      </filters>
    </filterColumn>
  </autoFilter>
  <sortState ref="K110:L119">
    <sortCondition ref="K110"/>
  </sortState>
  <mergeCells count="1">
    <mergeCell ref="K93:R9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topLeftCell="A7" workbookViewId="0">
      <selection activeCell="B18" sqref="B18:C19"/>
    </sheetView>
  </sheetViews>
  <sheetFormatPr defaultRowHeight="15"/>
  <cols>
    <col min="1" max="1" width="37.42578125" bestFit="1" customWidth="1"/>
    <col min="12" max="12" width="9.5703125" bestFit="1" customWidth="1"/>
  </cols>
  <sheetData>
    <row r="1" spans="1:16">
      <c r="A1" s="10" t="s">
        <v>37</v>
      </c>
      <c r="B1" s="131">
        <f>'Company Analysis'!B2</f>
        <v>39447</v>
      </c>
      <c r="C1" s="131">
        <f>'Company Analysis'!C2</f>
        <v>39813</v>
      </c>
      <c r="D1" s="131">
        <f>'Company Analysis'!D2</f>
        <v>40178</v>
      </c>
      <c r="E1" s="131">
        <f>'Company Analysis'!E2</f>
        <v>40543</v>
      </c>
      <c r="F1" s="131">
        <f>'Company Analysis'!F2</f>
        <v>40908</v>
      </c>
      <c r="G1" s="131">
        <f>'Company Analysis'!G2</f>
        <v>41274</v>
      </c>
      <c r="H1" s="131">
        <f>'Company Analysis'!H2</f>
        <v>41639</v>
      </c>
      <c r="I1" s="131">
        <f>'Company Analysis'!I2</f>
        <v>42004</v>
      </c>
      <c r="J1" s="131">
        <f>'Company Analysis'!J2</f>
        <v>42369</v>
      </c>
      <c r="K1" s="131">
        <f>'Company Analysis'!K2</f>
        <v>42735</v>
      </c>
      <c r="L1" s="131">
        <f>'Graphing Data'!K1+365</f>
        <v>43100</v>
      </c>
      <c r="M1" s="131">
        <f>'Graphing Data'!L1+365</f>
        <v>43465</v>
      </c>
      <c r="N1" s="131">
        <f>'Graphing Data'!M1+365</f>
        <v>43830</v>
      </c>
      <c r="O1" s="131">
        <f>'Graphing Data'!N1+365</f>
        <v>44195</v>
      </c>
      <c r="P1" s="131">
        <f>'Graphing Data'!O1+365</f>
        <v>44560</v>
      </c>
    </row>
    <row r="2" spans="1:16">
      <c r="A2" t="s">
        <v>161</v>
      </c>
      <c r="B2" s="17">
        <f>'Company Analysis'!B3</f>
        <v>16.783285564239048</v>
      </c>
      <c r="C2" s="17">
        <f>'Company Analysis'!C3</f>
        <v>21.743921403733587</v>
      </c>
      <c r="D2" s="17">
        <f>'Company Analysis'!D3</f>
        <v>15.677424055425906</v>
      </c>
      <c r="E2" s="17">
        <f>'Company Analysis'!E3</f>
        <v>18.391854823538676</v>
      </c>
      <c r="F2" s="17">
        <f>'Company Analysis'!F3</f>
        <v>21.338571632044406</v>
      </c>
      <c r="G2" s="17">
        <f>'Company Analysis'!G3</f>
        <v>21.790537764019398</v>
      </c>
      <c r="H2" s="17">
        <f>'Company Analysis'!H3</f>
        <v>18.492013585431188</v>
      </c>
      <c r="I2" s="17">
        <f>'Company Analysis'!I3</f>
        <v>19.003032792419706</v>
      </c>
      <c r="J2" s="17">
        <f>'Company Analysis'!J3</f>
        <v>20.488883444907184</v>
      </c>
      <c r="K2" s="17">
        <f>'Company Analysis'!K3</f>
        <v>20.131399494195435</v>
      </c>
      <c r="L2" s="17"/>
      <c r="M2" s="17"/>
      <c r="N2" s="17"/>
      <c r="O2" s="17"/>
      <c r="P2" s="17"/>
    </row>
    <row r="3" spans="1:16">
      <c r="A3" t="s">
        <v>162</v>
      </c>
      <c r="L3" s="17">
        <f>$K$2*(1+'Valuation Model'!C8)</f>
        <v>21.74191145373107</v>
      </c>
      <c r="M3" s="17">
        <f>L3*(1+'Valuation Model'!D8)</f>
        <v>22.829007026417624</v>
      </c>
      <c r="N3" s="17">
        <f>M3*(1+'Valuation Model'!E8)</f>
        <v>23.970457377738505</v>
      </c>
      <c r="O3" s="17">
        <f>N3*(1+'Valuation Model'!F8)</f>
        <v>25.168980246625431</v>
      </c>
      <c r="P3" s="17">
        <f>O3*(1+'Valuation Model'!G8)</f>
        <v>26.427429258956703</v>
      </c>
    </row>
    <row r="4" spans="1:16">
      <c r="A4" t="s">
        <v>163</v>
      </c>
      <c r="L4" s="17">
        <f>$K$2*(1+'Valuation Model'!C9)</f>
        <v>21.540597458789115</v>
      </c>
      <c r="M4" s="17">
        <f>L4*(1+'Valuation Model'!D9)</f>
        <v>21.971409407964899</v>
      </c>
      <c r="N4" s="17">
        <f>M4*(1+'Valuation Model'!E9)</f>
        <v>22.410837596124196</v>
      </c>
      <c r="O4" s="17">
        <f>N4*(1+'Valuation Model'!F9)</f>
        <v>22.85905434804668</v>
      </c>
      <c r="P4" s="17">
        <f>O4*(1+'Valuation Model'!G9)</f>
        <v>23.316235435007613</v>
      </c>
    </row>
    <row r="5" spans="1:16">
      <c r="A5" t="s">
        <v>164</v>
      </c>
      <c r="C5" s="20">
        <f>C2/B2-1</f>
        <v>0.29557000746411677</v>
      </c>
      <c r="D5" s="20">
        <f t="shared" ref="D5:K5" si="0">D2/C2-1</f>
        <v>-0.27899739130155332</v>
      </c>
      <c r="E5" s="20">
        <f t="shared" si="0"/>
        <v>0.17314265140218077</v>
      </c>
      <c r="F5" s="20">
        <f t="shared" si="0"/>
        <v>0.16021857701564701</v>
      </c>
      <c r="G5" s="20">
        <f t="shared" si="0"/>
        <v>2.118071161315549E-2</v>
      </c>
      <c r="H5" s="20">
        <f t="shared" si="0"/>
        <v>-0.15137415213472805</v>
      </c>
      <c r="I5" s="20">
        <f t="shared" si="0"/>
        <v>2.7634589636637674E-2</v>
      </c>
      <c r="J5" s="20">
        <f t="shared" si="0"/>
        <v>7.8190185151929104E-2</v>
      </c>
      <c r="K5" s="20">
        <f t="shared" si="0"/>
        <v>-1.7447702881076554E-2</v>
      </c>
    </row>
    <row r="6" spans="1:16">
      <c r="A6" t="s">
        <v>165</v>
      </c>
      <c r="K6" s="99">
        <f>K5</f>
        <v>-1.7447702881076554E-2</v>
      </c>
      <c r="L6" s="99">
        <f>'Valuation Model'!C8</f>
        <v>0.08</v>
      </c>
      <c r="M6" s="99">
        <f>'Valuation Model'!D8</f>
        <v>0.05</v>
      </c>
      <c r="N6" s="99">
        <f>'Valuation Model'!E8</f>
        <v>0.05</v>
      </c>
      <c r="O6" s="99">
        <f>'Valuation Model'!F8</f>
        <v>0.05</v>
      </c>
      <c r="P6" s="99">
        <f>'Valuation Model'!G8</f>
        <v>0.05</v>
      </c>
    </row>
    <row r="7" spans="1:16">
      <c r="A7" t="s">
        <v>166</v>
      </c>
      <c r="K7" s="99">
        <f>K5</f>
        <v>-1.7447702881076554E-2</v>
      </c>
      <c r="L7" s="99">
        <f>'Valuation Model'!C9</f>
        <v>7.0000000000000007E-2</v>
      </c>
      <c r="M7" s="99">
        <f>'Valuation Model'!D9</f>
        <v>0.02</v>
      </c>
      <c r="N7" s="99">
        <f>'Valuation Model'!E9</f>
        <v>0.02</v>
      </c>
      <c r="O7" s="99">
        <f>'Valuation Model'!F9</f>
        <v>0.02</v>
      </c>
      <c r="P7" s="99">
        <f>'Valuation Model'!G9</f>
        <v>0.02</v>
      </c>
    </row>
    <row r="9" spans="1:16">
      <c r="A9" s="10" t="s">
        <v>71</v>
      </c>
      <c r="B9" s="131">
        <f>B1</f>
        <v>39447</v>
      </c>
      <c r="C9" s="131">
        <f t="shared" ref="C9:P9" si="1">C1</f>
        <v>39813</v>
      </c>
      <c r="D9" s="131">
        <f t="shared" si="1"/>
        <v>40178</v>
      </c>
      <c r="E9" s="131">
        <f t="shared" si="1"/>
        <v>40543</v>
      </c>
      <c r="F9" s="131">
        <f t="shared" si="1"/>
        <v>40908</v>
      </c>
      <c r="G9" s="131">
        <f t="shared" si="1"/>
        <v>41274</v>
      </c>
      <c r="H9" s="131">
        <f t="shared" si="1"/>
        <v>41639</v>
      </c>
      <c r="I9" s="131">
        <f t="shared" si="1"/>
        <v>42004</v>
      </c>
      <c r="J9" s="131">
        <f t="shared" si="1"/>
        <v>42369</v>
      </c>
      <c r="K9" s="131">
        <f t="shared" si="1"/>
        <v>42735</v>
      </c>
      <c r="L9" s="131">
        <f t="shared" si="1"/>
        <v>43100</v>
      </c>
      <c r="M9" s="131">
        <f t="shared" si="1"/>
        <v>43465</v>
      </c>
      <c r="N9" s="131">
        <f t="shared" si="1"/>
        <v>43830</v>
      </c>
      <c r="O9" s="131">
        <f t="shared" si="1"/>
        <v>44195</v>
      </c>
      <c r="P9" s="131">
        <f t="shared" si="1"/>
        <v>44560</v>
      </c>
    </row>
    <row r="10" spans="1:16">
      <c r="A10" t="s">
        <v>167</v>
      </c>
      <c r="B10" s="17">
        <f>'Company Analysis'!B11</f>
        <v>0.99162070534334967</v>
      </c>
      <c r="C10" s="17">
        <f>'Company Analysis'!C11</f>
        <v>0.79713921894659312</v>
      </c>
      <c r="D10" s="17">
        <f>'Company Analysis'!D11</f>
        <v>0.74433243488493783</v>
      </c>
      <c r="E10" s="17">
        <f>'Company Analysis'!E11</f>
        <v>0.6118849624123317</v>
      </c>
      <c r="F10" s="17">
        <f>'Company Analysis'!F11</f>
        <v>-4.6472647004397905E-2</v>
      </c>
      <c r="G10" s="17">
        <f>'Company Analysis'!G11</f>
        <v>2.4479173489814468</v>
      </c>
      <c r="H10" s="17">
        <f>'Company Analysis'!H11</f>
        <v>0.35197092659106533</v>
      </c>
      <c r="I10" s="17">
        <f>'Company Analysis'!I11</f>
        <v>2.0029438458309134</v>
      </c>
      <c r="J10" s="17">
        <f>'Company Analysis'!J11</f>
        <v>3.0232234465028842</v>
      </c>
      <c r="K10" s="17">
        <f>'Company Analysis'!K11</f>
        <v>5.2874249672445846</v>
      </c>
    </row>
    <row r="11" spans="1:16">
      <c r="A11" t="s">
        <v>168</v>
      </c>
      <c r="L11" s="18">
        <f>'Valuation Model'!C10*'Graphing Data'!L3</f>
        <v>6.5225734361193206</v>
      </c>
      <c r="M11" s="18">
        <f>'Valuation Model'!D10*'Graphing Data'!M3</f>
        <v>6.8487021079252868</v>
      </c>
      <c r="N11" s="18">
        <f>'Valuation Model'!E10*'Graphing Data'!N3</f>
        <v>7.191137213321551</v>
      </c>
      <c r="O11" s="18">
        <f>'Valuation Model'!F10*'Graphing Data'!O3</f>
        <v>7.5506940739876285</v>
      </c>
      <c r="P11" s="18">
        <f>'Valuation Model'!G10*'Graphing Data'!P3</f>
        <v>7.9282287776870106</v>
      </c>
    </row>
    <row r="12" spans="1:16">
      <c r="A12" t="s">
        <v>169</v>
      </c>
      <c r="L12" s="18">
        <f>'Valuation Model'!C11*'Graphing Data'!L4</f>
        <v>6.4621792376367342</v>
      </c>
      <c r="M12" s="18">
        <f>'Valuation Model'!D11*'Graphing Data'!M4</f>
        <v>4.3942818815929803</v>
      </c>
      <c r="N12" s="18">
        <f>'Valuation Model'!E11*'Graphing Data'!N4</f>
        <v>4.4821675192248396</v>
      </c>
      <c r="O12" s="18">
        <f>'Valuation Model'!F11*'Graphing Data'!O4</f>
        <v>4.5718108696093358</v>
      </c>
      <c r="P12" s="18">
        <f>'Valuation Model'!G11*'Graphing Data'!P4</f>
        <v>4.6632470870015226</v>
      </c>
    </row>
    <row r="13" spans="1:16">
      <c r="A13" t="s">
        <v>170</v>
      </c>
      <c r="B13" s="20">
        <f>B10/B2</f>
        <v>5.908382488922452E-2</v>
      </c>
      <c r="C13" s="20">
        <f t="shared" ref="C13:K13" si="2">C10/C2</f>
        <v>3.6660324701583889E-2</v>
      </c>
      <c r="D13" s="20">
        <f t="shared" si="2"/>
        <v>4.7477980582360198E-2</v>
      </c>
      <c r="E13" s="20">
        <f t="shared" si="2"/>
        <v>3.3269344950962496E-2</v>
      </c>
      <c r="F13" s="20">
        <f t="shared" si="2"/>
        <v>-2.1778705625548683E-3</v>
      </c>
      <c r="G13" s="20">
        <f t="shared" si="2"/>
        <v>0.11233854691844528</v>
      </c>
      <c r="H13" s="20">
        <f t="shared" si="2"/>
        <v>1.9033672291283808E-2</v>
      </c>
      <c r="I13" s="20">
        <f t="shared" si="2"/>
        <v>0.10540127292891302</v>
      </c>
      <c r="J13" s="20">
        <f t="shared" si="2"/>
        <v>0.14755432889410824</v>
      </c>
      <c r="K13" s="20">
        <f t="shared" si="2"/>
        <v>0.26264567293342567</v>
      </c>
    </row>
    <row r="14" spans="1:16">
      <c r="A14" t="s">
        <v>171</v>
      </c>
      <c r="K14" s="99">
        <f>K13</f>
        <v>0.26264567293342567</v>
      </c>
      <c r="L14" s="99">
        <f>'Valuation Model'!C10</f>
        <v>0.3</v>
      </c>
      <c r="M14" s="99">
        <f>'Valuation Model'!D10</f>
        <v>0.3</v>
      </c>
      <c r="N14" s="99">
        <f>'Valuation Model'!E10</f>
        <v>0.3</v>
      </c>
      <c r="O14" s="99">
        <f>'Valuation Model'!F10</f>
        <v>0.3</v>
      </c>
      <c r="P14" s="99">
        <f>'Valuation Model'!G10</f>
        <v>0.3</v>
      </c>
    </row>
    <row r="15" spans="1:16">
      <c r="A15" t="s">
        <v>172</v>
      </c>
      <c r="K15" s="99">
        <f>K13</f>
        <v>0.26264567293342567</v>
      </c>
      <c r="L15" s="99">
        <f>'Valuation Model'!C11</f>
        <v>0.3</v>
      </c>
      <c r="M15" s="99">
        <f>'Valuation Model'!D11</f>
        <v>0.2</v>
      </c>
      <c r="N15" s="99">
        <f>'Valuation Model'!E11</f>
        <v>0.2</v>
      </c>
      <c r="O15" s="99">
        <f>'Valuation Model'!F11</f>
        <v>0.2</v>
      </c>
      <c r="P15" s="99">
        <f>'Valuation Model'!G11</f>
        <v>0.2</v>
      </c>
    </row>
    <row r="17" spans="1:16">
      <c r="A17" s="10" t="s">
        <v>173</v>
      </c>
      <c r="B17" s="131">
        <f>B9</f>
        <v>39447</v>
      </c>
      <c r="C17" s="131">
        <f t="shared" ref="C17:K17" si="3">C9</f>
        <v>39813</v>
      </c>
      <c r="D17" s="131">
        <f t="shared" si="3"/>
        <v>40178</v>
      </c>
      <c r="E17" s="131">
        <f t="shared" si="3"/>
        <v>40543</v>
      </c>
      <c r="F17" s="131">
        <f t="shared" si="3"/>
        <v>40908</v>
      </c>
      <c r="G17" s="131">
        <f t="shared" si="3"/>
        <v>41274</v>
      </c>
      <c r="H17" s="131">
        <f t="shared" si="3"/>
        <v>41639</v>
      </c>
      <c r="I17" s="131">
        <f t="shared" si="3"/>
        <v>42004</v>
      </c>
      <c r="J17" s="131">
        <f t="shared" si="3"/>
        <v>42369</v>
      </c>
      <c r="K17" s="131">
        <f t="shared" si="3"/>
        <v>42735</v>
      </c>
    </row>
    <row r="18" spans="1:16">
      <c r="A18" t="s">
        <v>137</v>
      </c>
      <c r="B18" s="18">
        <f>B10</f>
        <v>0.99162070534334967</v>
      </c>
      <c r="C18" s="18">
        <f t="shared" ref="C18:K18" si="4">C10</f>
        <v>0.79713921894659312</v>
      </c>
      <c r="D18" s="18">
        <f t="shared" si="4"/>
        <v>0.74433243488493783</v>
      </c>
      <c r="E18" s="18">
        <f t="shared" si="4"/>
        <v>0.6118849624123317</v>
      </c>
      <c r="F18" s="18">
        <f t="shared" si="4"/>
        <v>-4.6472647004397905E-2</v>
      </c>
      <c r="G18" s="18">
        <f t="shared" si="4"/>
        <v>2.4479173489814468</v>
      </c>
      <c r="H18" s="18">
        <f t="shared" si="4"/>
        <v>0.35197092659106533</v>
      </c>
      <c r="I18" s="18">
        <f t="shared" si="4"/>
        <v>2.0029438458309134</v>
      </c>
      <c r="J18" s="18">
        <f t="shared" si="4"/>
        <v>3.0232234465028842</v>
      </c>
      <c r="K18" s="18">
        <f t="shared" si="4"/>
        <v>5.2874249672445846</v>
      </c>
    </row>
    <row r="19" spans="1:16">
      <c r="A19" t="s">
        <v>174</v>
      </c>
      <c r="B19" s="18">
        <f>-'Company Analysis'!B28</f>
        <v>0.99162070534334967</v>
      </c>
      <c r="C19" s="18">
        <f>-'Company Analysis'!C28</f>
        <v>0.79713921894659312</v>
      </c>
      <c r="D19" s="18">
        <f>-'Company Analysis'!D28</f>
        <v>0.74433243488493783</v>
      </c>
      <c r="E19" s="18">
        <f>-'Company Analysis'!E28</f>
        <v>0.6118849624123317</v>
      </c>
      <c r="F19" s="18">
        <f>-'Company Analysis'!F28</f>
        <v>-4.6472647004397905E-2</v>
      </c>
      <c r="G19" s="18">
        <f>-'Company Analysis'!G28</f>
        <v>7.7469398444188986E-2</v>
      </c>
      <c r="H19" s="18">
        <f>-'Company Analysis'!H28</f>
        <v>-1.9389718824384146</v>
      </c>
      <c r="I19" s="18">
        <f>-'Company Analysis'!I28</f>
        <v>-1.3806031146246243</v>
      </c>
      <c r="J19" s="18">
        <f>-'Company Analysis'!J28</f>
        <v>-1.2459136768416319</v>
      </c>
      <c r="K19" s="18">
        <f>-'Company Analysis'!K28</f>
        <v>0.45981900728236713</v>
      </c>
    </row>
    <row r="21" spans="1:16">
      <c r="A21" s="10" t="s">
        <v>175</v>
      </c>
      <c r="B21" s="131">
        <f>B17</f>
        <v>39447</v>
      </c>
      <c r="C21" s="131">
        <f t="shared" ref="C21:K21" si="5">C17</f>
        <v>39813</v>
      </c>
      <c r="D21" s="131">
        <f t="shared" si="5"/>
        <v>40178</v>
      </c>
      <c r="E21" s="131">
        <f t="shared" si="5"/>
        <v>40543</v>
      </c>
      <c r="F21" s="131">
        <f t="shared" si="5"/>
        <v>40908</v>
      </c>
      <c r="G21" s="131">
        <f t="shared" si="5"/>
        <v>41274</v>
      </c>
      <c r="H21" s="131">
        <f t="shared" si="5"/>
        <v>41639</v>
      </c>
      <c r="I21" s="131">
        <f t="shared" si="5"/>
        <v>42004</v>
      </c>
      <c r="J21" s="131">
        <f t="shared" si="5"/>
        <v>42369</v>
      </c>
      <c r="K21" s="131">
        <f t="shared" si="5"/>
        <v>42735</v>
      </c>
    </row>
    <row r="22" spans="1:16">
      <c r="A22" t="str">
        <f>'Company Analysis'!A19</f>
        <v>Capex in Excess of Maintenance</v>
      </c>
      <c r="B22" s="18">
        <f>-'Company Analysis'!B19</f>
        <v>0</v>
      </c>
      <c r="C22" s="18">
        <f>-'Company Analysis'!C19</f>
        <v>0</v>
      </c>
      <c r="D22" s="18">
        <f>-'Company Analysis'!D19</f>
        <v>0</v>
      </c>
      <c r="E22" s="18">
        <f>-'Company Analysis'!E19</f>
        <v>0</v>
      </c>
      <c r="F22" s="18">
        <f>-'Company Analysis'!F19</f>
        <v>0</v>
      </c>
      <c r="G22" s="18">
        <f>-'Company Analysis'!G19</f>
        <v>0</v>
      </c>
      <c r="H22" s="18">
        <f>-'Company Analysis'!H19</f>
        <v>0</v>
      </c>
      <c r="I22" s="18">
        <f>-'Company Analysis'!I19</f>
        <v>0</v>
      </c>
      <c r="J22" s="18">
        <f>-'Company Analysis'!J19</f>
        <v>0</v>
      </c>
      <c r="K22" s="18">
        <f>-'Company Analysis'!K19</f>
        <v>0</v>
      </c>
    </row>
    <row r="23" spans="1:16">
      <c r="A23" t="s">
        <v>177</v>
      </c>
      <c r="B23" s="18">
        <f>-'Company Analysis'!B20</f>
        <v>0.99162070534334967</v>
      </c>
      <c r="C23" s="18">
        <f>-'Company Analysis'!C20</f>
        <v>0.79713921894659312</v>
      </c>
      <c r="D23" s="18">
        <f>-'Company Analysis'!D20</f>
        <v>0.74433243488493783</v>
      </c>
      <c r="E23" s="18">
        <f>-'Company Analysis'!E20</f>
        <v>0.6118849624123317</v>
      </c>
      <c r="F23" s="18">
        <f>-'Company Analysis'!F20</f>
        <v>-4.6472647004397905E-2</v>
      </c>
      <c r="G23" s="18">
        <f>-'Company Analysis'!G20</f>
        <v>7.7469398444188986E-2</v>
      </c>
      <c r="H23" s="18">
        <f>-'Company Analysis'!H20</f>
        <v>-1.9389718824384146</v>
      </c>
      <c r="I23" s="18">
        <f>-'Company Analysis'!I20</f>
        <v>-1.3806031146246243</v>
      </c>
      <c r="J23" s="18">
        <f>-'Company Analysis'!J20</f>
        <v>-1.2459136768416319</v>
      </c>
      <c r="K23" s="18">
        <f>-'Company Analysis'!K20</f>
        <v>0.45981900728236713</v>
      </c>
    </row>
    <row r="24" spans="1:16">
      <c r="A24" t="s">
        <v>178</v>
      </c>
      <c r="B24" s="18">
        <f>-'Company Analysis'!B21</f>
        <v>0</v>
      </c>
      <c r="C24" s="18">
        <f>-'Company Analysis'!C21</f>
        <v>0</v>
      </c>
      <c r="D24" s="18">
        <f>-'Company Analysis'!D21</f>
        <v>0</v>
      </c>
      <c r="E24" s="18">
        <f>-'Company Analysis'!E21</f>
        <v>0</v>
      </c>
      <c r="F24" s="18">
        <f>-'Company Analysis'!F21</f>
        <v>0</v>
      </c>
      <c r="G24" s="18">
        <f>-'Company Analysis'!G21</f>
        <v>0</v>
      </c>
      <c r="H24" s="18">
        <f>-'Company Analysis'!H21</f>
        <v>0</v>
      </c>
      <c r="I24" s="18">
        <f>-'Company Analysis'!I21</f>
        <v>0</v>
      </c>
      <c r="J24" s="18">
        <f>-'Company Analysis'!J21</f>
        <v>0</v>
      </c>
      <c r="K24" s="18">
        <f>-'Company Analysis'!K21</f>
        <v>0</v>
      </c>
    </row>
    <row r="25" spans="1:16">
      <c r="A25" t="s">
        <v>179</v>
      </c>
      <c r="B25" s="18">
        <f>-'Company Analysis'!B22</f>
        <v>0</v>
      </c>
      <c r="C25" s="18">
        <f>-'Company Analysis'!C22</f>
        <v>0</v>
      </c>
      <c r="D25" s="18">
        <f>-'Company Analysis'!D22</f>
        <v>0</v>
      </c>
      <c r="E25" s="18">
        <f>-'Company Analysis'!E22</f>
        <v>0</v>
      </c>
      <c r="F25" s="18">
        <f>-'Company Analysis'!F22</f>
        <v>0</v>
      </c>
      <c r="G25" s="18">
        <f>-'Company Analysis'!G22</f>
        <v>0</v>
      </c>
      <c r="H25" s="18">
        <f>-'Company Analysis'!H22</f>
        <v>0</v>
      </c>
      <c r="I25" s="18">
        <f>-'Company Analysis'!I22</f>
        <v>0</v>
      </c>
      <c r="J25" s="18">
        <f>-'Company Analysis'!J22</f>
        <v>0</v>
      </c>
      <c r="K25" s="18">
        <f>-'Company Analysis'!K22</f>
        <v>0</v>
      </c>
    </row>
    <row r="26" spans="1:16">
      <c r="A26" t="s">
        <v>188</v>
      </c>
      <c r="B26" s="18">
        <f>'Company Analysis'!B23</f>
        <v>0</v>
      </c>
      <c r="C26" s="18">
        <f>'Company Analysis'!C23</f>
        <v>0</v>
      </c>
      <c r="D26" s="18">
        <f>'Company Analysis'!D23</f>
        <v>0</v>
      </c>
      <c r="E26" s="18">
        <f>'Company Analysis'!E23</f>
        <v>0</v>
      </c>
      <c r="F26" s="18">
        <f>'Company Analysis'!F23</f>
        <v>0</v>
      </c>
      <c r="G26" s="18">
        <f>'Company Analysis'!G23</f>
        <v>0</v>
      </c>
      <c r="H26" s="18">
        <f>'Company Analysis'!H23</f>
        <v>0</v>
      </c>
      <c r="I26" s="18">
        <f>'Company Analysis'!I23</f>
        <v>0</v>
      </c>
      <c r="J26" s="18">
        <f>'Company Analysis'!J23</f>
        <v>0</v>
      </c>
      <c r="K26" s="18">
        <f>'Company Analysis'!K23</f>
        <v>0</v>
      </c>
    </row>
    <row r="27" spans="1:16">
      <c r="A27" t="s">
        <v>180</v>
      </c>
      <c r="B27" s="18">
        <f>-'Company Analysis'!B27</f>
        <v>0</v>
      </c>
      <c r="C27" s="18">
        <f>-'Company Analysis'!C27</f>
        <v>0</v>
      </c>
      <c r="D27" s="18">
        <f>-'Company Analysis'!D27</f>
        <v>0</v>
      </c>
      <c r="E27" s="18">
        <f>-'Company Analysis'!E27</f>
        <v>0</v>
      </c>
      <c r="F27" s="18">
        <f>-'Company Analysis'!F27</f>
        <v>0</v>
      </c>
      <c r="G27" s="18">
        <f>-'Company Analysis'!G27</f>
        <v>0</v>
      </c>
      <c r="H27" s="18">
        <f>-'Company Analysis'!H27</f>
        <v>0</v>
      </c>
      <c r="I27" s="18">
        <f>-'Company Analysis'!I27</f>
        <v>0</v>
      </c>
      <c r="J27" s="18">
        <f>-'Company Analysis'!J27</f>
        <v>0</v>
      </c>
      <c r="K27" s="18">
        <f>-'Company Analysis'!K27</f>
        <v>0</v>
      </c>
    </row>
    <row r="29" spans="1:16">
      <c r="A29" s="10" t="s">
        <v>73</v>
      </c>
      <c r="B29" s="131">
        <f>B1</f>
        <v>39447</v>
      </c>
      <c r="C29" s="131">
        <f t="shared" ref="C29:P29" si="6">C1</f>
        <v>39813</v>
      </c>
      <c r="D29" s="131">
        <f t="shared" si="6"/>
        <v>40178</v>
      </c>
      <c r="E29" s="131">
        <f t="shared" si="6"/>
        <v>40543</v>
      </c>
      <c r="F29" s="131">
        <f t="shared" si="6"/>
        <v>40908</v>
      </c>
      <c r="G29" s="131">
        <f t="shared" si="6"/>
        <v>41274</v>
      </c>
      <c r="H29" s="131">
        <f t="shared" si="6"/>
        <v>41639</v>
      </c>
      <c r="I29" s="131">
        <f t="shared" si="6"/>
        <v>42004</v>
      </c>
      <c r="J29" s="131">
        <f t="shared" si="6"/>
        <v>42369</v>
      </c>
      <c r="K29" s="131">
        <f t="shared" si="6"/>
        <v>42735</v>
      </c>
      <c r="L29" s="131">
        <f t="shared" si="6"/>
        <v>43100</v>
      </c>
      <c r="M29" s="131">
        <f t="shared" si="6"/>
        <v>43465</v>
      </c>
      <c r="N29" s="131">
        <f t="shared" si="6"/>
        <v>43830</v>
      </c>
      <c r="O29" s="131">
        <f t="shared" si="6"/>
        <v>44195</v>
      </c>
      <c r="P29" s="131">
        <f t="shared" si="6"/>
        <v>44560</v>
      </c>
    </row>
    <row r="30" spans="1:16">
      <c r="A30" t="s">
        <v>181</v>
      </c>
      <c r="B30" s="18">
        <f>'Company Analysis'!B32</f>
        <v>0</v>
      </c>
      <c r="C30" s="18">
        <f>'Company Analysis'!C32</f>
        <v>0</v>
      </c>
      <c r="D30" s="18">
        <f>'Company Analysis'!D32</f>
        <v>0</v>
      </c>
      <c r="E30" s="18">
        <f>'Company Analysis'!E32</f>
        <v>0</v>
      </c>
      <c r="F30" s="18">
        <f>'Company Analysis'!F32</f>
        <v>0</v>
      </c>
      <c r="G30" s="18">
        <f>'Company Analysis'!G32</f>
        <v>2.3704479505372578</v>
      </c>
      <c r="H30" s="18">
        <f>'Company Analysis'!H32</f>
        <v>2.2909428090294801</v>
      </c>
      <c r="I30" s="18">
        <f>'Company Analysis'!I32</f>
        <v>3.3835469604555377</v>
      </c>
      <c r="J30" s="18">
        <f>'Company Analysis'!J32</f>
        <v>4.2691371233445157</v>
      </c>
      <c r="K30" s="18">
        <f>'Company Analysis'!K32</f>
        <v>4.8276059599622174</v>
      </c>
    </row>
    <row r="31" spans="1:16">
      <c r="A31" t="s">
        <v>182</v>
      </c>
      <c r="L31" s="18">
        <f>L11*(1-'Valuation Model'!C12)</f>
        <v>5.8703160925073883</v>
      </c>
      <c r="M31" s="18">
        <f>M11*(1-'Valuation Model'!D12)</f>
        <v>6.1638318971327584</v>
      </c>
      <c r="N31" s="18">
        <f>N11*(1-'Valuation Model'!E12)</f>
        <v>6.472023491989396</v>
      </c>
      <c r="O31" s="18">
        <f>O11*(1-'Valuation Model'!F12)</f>
        <v>6.795624666588866</v>
      </c>
      <c r="P31" s="18">
        <f>P11*(1-'Valuation Model'!G12)</f>
        <v>7.1354058999183101</v>
      </c>
    </row>
    <row r="32" spans="1:16">
      <c r="A32" t="s">
        <v>183</v>
      </c>
      <c r="L32" s="18">
        <f>L12*(1-'Valuation Model'!C12)</f>
        <v>5.8159613138730606</v>
      </c>
      <c r="M32" s="18">
        <f>M12*(1-'Valuation Model'!D12)</f>
        <v>3.9548536934336824</v>
      </c>
      <c r="N32" s="18">
        <f>N12*(1-'Valuation Model'!E12)</f>
        <v>4.0339507673023558</v>
      </c>
      <c r="O32" s="18">
        <f>O12*(1-'Valuation Model'!F12)</f>
        <v>4.114629782648402</v>
      </c>
      <c r="P32" s="18">
        <f>P12*(1-'Valuation Model'!G12)</f>
        <v>4.1969223783013705</v>
      </c>
    </row>
    <row r="33" spans="1:16">
      <c r="A33" t="s">
        <v>184</v>
      </c>
      <c r="B33" s="20">
        <f t="shared" ref="B33:J33" si="7">B30/B2</f>
        <v>0</v>
      </c>
      <c r="C33" s="20">
        <f t="shared" si="7"/>
        <v>0</v>
      </c>
      <c r="D33" s="20">
        <f t="shared" si="7"/>
        <v>0</v>
      </c>
      <c r="E33" s="20">
        <f t="shared" si="7"/>
        <v>0</v>
      </c>
      <c r="F33" s="20">
        <f t="shared" si="7"/>
        <v>0</v>
      </c>
      <c r="G33" s="20">
        <f t="shared" si="7"/>
        <v>0.1087833616686298</v>
      </c>
      <c r="H33" s="20">
        <f t="shared" si="7"/>
        <v>0.12388822874510456</v>
      </c>
      <c r="I33" s="20">
        <f t="shared" si="7"/>
        <v>0.17805299803541</v>
      </c>
      <c r="J33" s="20">
        <f t="shared" si="7"/>
        <v>0.20836358090590207</v>
      </c>
      <c r="K33" s="20">
        <f>K30/K2</f>
        <v>0.23980478661476962</v>
      </c>
    </row>
    <row r="34" spans="1:16">
      <c r="A34" t="s">
        <v>185</v>
      </c>
      <c r="K34" s="99">
        <f>K33</f>
        <v>0.23980478661476962</v>
      </c>
      <c r="L34" s="132">
        <f>(1-'Valuation Model'!C12)*'Valuation Model'!C10</f>
        <v>0.27</v>
      </c>
      <c r="M34" s="132">
        <f>(1-'Valuation Model'!D12)*'Valuation Model'!D10</f>
        <v>0.27</v>
      </c>
      <c r="N34" s="132">
        <f>(1-'Valuation Model'!E12)*'Valuation Model'!E10</f>
        <v>0.27</v>
      </c>
      <c r="O34" s="132">
        <f>(1-'Valuation Model'!F12)*'Valuation Model'!F10</f>
        <v>0.27</v>
      </c>
      <c r="P34" s="132">
        <f>(1-'Valuation Model'!G12)*'Valuation Model'!G10</f>
        <v>0.27</v>
      </c>
    </row>
    <row r="35" spans="1:16">
      <c r="A35" t="s">
        <v>186</v>
      </c>
      <c r="K35" s="99">
        <f>K33</f>
        <v>0.23980478661476962</v>
      </c>
      <c r="L35" s="132">
        <f>(1-'Valuation Model'!C12)*'Valuation Model'!C11</f>
        <v>0.27</v>
      </c>
      <c r="M35" s="132">
        <f>(1-'Valuation Model'!D12)*'Valuation Model'!D11</f>
        <v>0.18000000000000002</v>
      </c>
      <c r="N35" s="132">
        <f>(1-'Valuation Model'!E12)*'Valuation Model'!E11</f>
        <v>0.18000000000000002</v>
      </c>
      <c r="O35" s="132">
        <f>(1-'Valuation Model'!F12)*'Valuation Model'!F11</f>
        <v>0.18000000000000002</v>
      </c>
      <c r="P35" s="132">
        <f>(1-'Valuation Model'!G12)*'Valuation Model'!G11</f>
        <v>0.18000000000000002</v>
      </c>
    </row>
    <row r="37" spans="1:16">
      <c r="A37" s="10" t="s">
        <v>151</v>
      </c>
      <c r="B37" s="131">
        <f>B1</f>
        <v>39447</v>
      </c>
      <c r="C37" s="131">
        <f t="shared" ref="C37:K37" si="8">C1</f>
        <v>39813</v>
      </c>
      <c r="D37" s="131">
        <f t="shared" si="8"/>
        <v>40178</v>
      </c>
      <c r="E37" s="131">
        <f t="shared" si="8"/>
        <v>40543</v>
      </c>
      <c r="F37" s="131">
        <f t="shared" si="8"/>
        <v>40908</v>
      </c>
      <c r="G37" s="131">
        <f t="shared" si="8"/>
        <v>41274</v>
      </c>
      <c r="H37" s="131">
        <f t="shared" si="8"/>
        <v>41639</v>
      </c>
      <c r="I37" s="131">
        <f t="shared" si="8"/>
        <v>42004</v>
      </c>
      <c r="J37" s="131">
        <f t="shared" si="8"/>
        <v>42369</v>
      </c>
      <c r="K37" s="131">
        <f t="shared" si="8"/>
        <v>42735</v>
      </c>
    </row>
    <row r="38" spans="1:16">
      <c r="A38" t="str">
        <f>ticker&amp;" Actual OCP ($, LHS)"</f>
        <v>MIC Actual OCP ($, LHS)</v>
      </c>
      <c r="B38" s="18">
        <f>B10</f>
        <v>0.99162070534334967</v>
      </c>
      <c r="C38" s="18">
        <f t="shared" ref="C38:K38" si="9">C10</f>
        <v>0.79713921894659312</v>
      </c>
      <c r="D38" s="18">
        <f t="shared" si="9"/>
        <v>0.74433243488493783</v>
      </c>
      <c r="E38" s="18">
        <f t="shared" si="9"/>
        <v>0.6118849624123317</v>
      </c>
      <c r="F38" s="18">
        <f t="shared" si="9"/>
        <v>-4.6472647004397905E-2</v>
      </c>
      <c r="G38" s="18">
        <f t="shared" si="9"/>
        <v>2.4479173489814468</v>
      </c>
      <c r="H38" s="18">
        <f t="shared" si="9"/>
        <v>0.35197092659106533</v>
      </c>
      <c r="I38" s="18">
        <f t="shared" si="9"/>
        <v>2.0029438458309134</v>
      </c>
      <c r="J38" s="18">
        <f t="shared" si="9"/>
        <v>3.0232234465028842</v>
      </c>
      <c r="K38" s="18">
        <f t="shared" si="9"/>
        <v>5.2874249672445846</v>
      </c>
    </row>
    <row r="39" spans="1:16">
      <c r="A39" t="str">
        <f>ticker&amp;" OCP if GDP-Growth ($, LHS)"</f>
        <v>MIC OCP if GDP-Growth ($, LHS)</v>
      </c>
      <c r="B39" s="18">
        <f>B38</f>
        <v>0.99162070534334967</v>
      </c>
      <c r="C39" s="18">
        <f>(1+'Company Analysis'!C40)*B39</f>
        <v>0.98216351944691649</v>
      </c>
      <c r="D39" s="18">
        <f>(1+'Company Analysis'!D40)*C39</f>
        <v>0.9832840710948878</v>
      </c>
      <c r="E39" s="18">
        <f>(1+'Company Analysis'!E40)*D39</f>
        <v>1.0280858860803461</v>
      </c>
      <c r="F39" s="18">
        <f>(1+'Company Analysis'!F40)*E39</f>
        <v>1.0655568631760637</v>
      </c>
      <c r="G39" s="18">
        <f>(1+'Company Analysis'!G40)*F39</f>
        <v>1.1024945656923253</v>
      </c>
      <c r="H39" s="18">
        <f>(1+'Company Analysis'!H40)*G39</f>
        <v>1.1528383861174492</v>
      </c>
      <c r="I39" s="18">
        <f>(1+'Company Analysis'!I40)*H39</f>
        <v>1.1950548319392145</v>
      </c>
      <c r="J39" s="18">
        <f>(1+'Company Analysis'!J40)*I39</f>
        <v>1.1924424615309919</v>
      </c>
      <c r="K39" s="18">
        <f>(1+'Company Analysis'!K40)*J39</f>
        <v>1.1924424615309919</v>
      </c>
    </row>
    <row r="40" spans="1:16" ht="16.5">
      <c r="A40" t="str">
        <f>ticker&amp;" - GDP Growth Difference (YoY, %, RHS)"</f>
        <v>MIC - GDP Growth Difference (YoY, %, RHS)</v>
      </c>
      <c r="B40" s="133"/>
      <c r="C40" s="99">
        <f>'Company Analysis'!C41-'Company Analysis'!C40</f>
        <v>-0.18658777444169894</v>
      </c>
      <c r="D40" s="99">
        <f>'Company Analysis'!D41-'Company Analysis'!D40</f>
        <v>-6.7386273270323316E-2</v>
      </c>
      <c r="E40" s="99">
        <f>'Company Analysis'!E41-'Company Analysis'!E40</f>
        <v>-0.22350473879787025</v>
      </c>
      <c r="F40" s="99">
        <f>'Company Analysis'!F41-'Company Analysis'!F40</f>
        <v>-1.1123972957983197</v>
      </c>
      <c r="G40" s="99">
        <f>'Company Analysis'!G41-'Company Analysis'!G40</f>
        <v>-53.709033996717146</v>
      </c>
      <c r="H40" s="99">
        <f>'Company Analysis'!H41-'Company Analysis'!H40</f>
        <v>-0.9018797264562386</v>
      </c>
      <c r="I40" s="99">
        <f>'Company Analysis'!I41-'Company Analysis'!I40</f>
        <v>4.6540318291880309</v>
      </c>
      <c r="J40" s="99">
        <f>'Company Analysis'!J41-'Company Analysis'!J40</f>
        <v>0.51157600121724489</v>
      </c>
      <c r="K40" s="99">
        <f>'Company Analysis'!K41-'Company Analysis'!K40</f>
        <v>0.74893621355074402</v>
      </c>
    </row>
    <row r="41" spans="1:16" ht="16.5">
      <c r="A41" t="str">
        <f>ticker&amp;" - GDP Growth Difference (3Y, %, RHS)"</f>
        <v>MIC - GDP Growth Difference (3Y, %, RHS)</v>
      </c>
      <c r="B41" s="134"/>
      <c r="C41" s="99"/>
      <c r="D41" s="99"/>
      <c r="E41" s="99">
        <f>'Company Analysis'!E43-'Company Analysis'!E42</f>
        <v>-0.16224147910565401</v>
      </c>
      <c r="F41" s="99">
        <f>'Company Analysis'!F43-'Company Analysis'!F42</f>
        <v>-0.4196238094279291</v>
      </c>
      <c r="G41" s="99">
        <f>'Company Analysis'!G43-'Company Analysis'!G42</f>
        <v>1.2619565733186355</v>
      </c>
      <c r="H41" s="99">
        <f>'Company Analysis'!H43-'Company Analysis'!H42</f>
        <v>-0.12528703461695234</v>
      </c>
      <c r="I41" s="99">
        <f>'Company Analysis'!I43-'Company Analysis'!I42</f>
        <v>0.70532292243875272</v>
      </c>
      <c r="J41" s="99">
        <f>'Company Analysis'!J43-'Company Analysis'!J42</f>
        <v>9.3715837254104262E-2</v>
      </c>
      <c r="K41" s="99">
        <f>'Company Analysis'!K43-'Company Analysis'!K42</f>
        <v>0.90650167983848395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5"/>
  <sheetViews>
    <sheetView topLeftCell="B1" zoomScale="110" zoomScaleNormal="110" workbookViewId="0">
      <selection activeCell="E2" sqref="E2"/>
    </sheetView>
  </sheetViews>
  <sheetFormatPr defaultColWidth="9.140625" defaultRowHeight="15"/>
  <cols>
    <col min="1" max="1" width="4.7109375" style="77" bestFit="1" customWidth="1"/>
    <col min="2" max="2" width="14.42578125" style="77" bestFit="1" customWidth="1"/>
    <col min="3" max="3" width="9.28515625" style="77" bestFit="1" customWidth="1"/>
    <col min="4" max="4" width="12.28515625" style="77" bestFit="1" customWidth="1"/>
    <col min="5" max="7" width="12.28515625" style="77" customWidth="1"/>
    <col min="8" max="8" width="16.140625" style="77" bestFit="1" customWidth="1"/>
    <col min="9" max="10" width="12.28515625" style="77" customWidth="1"/>
    <col min="11" max="11" width="10.85546875" style="77" bestFit="1" customWidth="1"/>
    <col min="12" max="12" width="10.5703125" style="77" bestFit="1" customWidth="1"/>
    <col min="13" max="14" width="9.140625" style="77"/>
    <col min="15" max="15" width="13.85546875" style="77" bestFit="1" customWidth="1"/>
    <col min="16" max="16384" width="9.140625" style="77"/>
  </cols>
  <sheetData>
    <row r="1" spans="1:15">
      <c r="A1" s="77" t="s">
        <v>100</v>
      </c>
      <c r="B1" s="78">
        <f ca="1">MAX(C5:C12)+10</f>
        <v>131</v>
      </c>
      <c r="D1" s="77" t="s">
        <v>101</v>
      </c>
      <c r="E1" s="77">
        <v>7</v>
      </c>
    </row>
    <row r="2" spans="1:15">
      <c r="A2" s="77" t="s">
        <v>102</v>
      </c>
      <c r="B2" s="78">
        <f ca="1">MIN(C5:C12)-10</f>
        <v>57</v>
      </c>
    </row>
    <row r="4" spans="1:15" s="79" customFormat="1" ht="12">
      <c r="B4" s="80" t="s">
        <v>103</v>
      </c>
      <c r="C4" s="81" t="s">
        <v>104</v>
      </c>
      <c r="D4" s="79" t="s">
        <v>105</v>
      </c>
      <c r="E4" s="79" t="s">
        <v>106</v>
      </c>
      <c r="F4" s="79" t="s">
        <v>107</v>
      </c>
      <c r="G4" s="79" t="s">
        <v>108</v>
      </c>
      <c r="H4" s="79" t="s">
        <v>109</v>
      </c>
      <c r="J4" s="79" t="s">
        <v>110</v>
      </c>
      <c r="K4" s="79" t="s">
        <v>111</v>
      </c>
      <c r="L4" s="79" t="s">
        <v>56</v>
      </c>
      <c r="M4" s="79" t="s">
        <v>112</v>
      </c>
      <c r="N4" s="79" t="s">
        <v>113</v>
      </c>
      <c r="O4" s="79" t="s">
        <v>114</v>
      </c>
    </row>
    <row r="5" spans="1:15" s="79" customFormat="1" ht="12">
      <c r="A5" s="82"/>
      <c r="B5" s="88" t="str">
        <f>'Valuation Model'!I2</f>
        <v>3% | 22% | 2%</v>
      </c>
      <c r="C5" s="89">
        <f ca="1">'Valuation Model'!K2</f>
        <v>67</v>
      </c>
      <c r="D5" s="84">
        <f ca="1">IF(ABS(INDEX($K$6:$K$55,MATCH(C5,$K$6:$K$55,1)+IF(C5&gt;=MAX($K$6:$K$55),0,1),1)-C5)&lt;ABS(INDEX($K$6:$K$55,MATCH(C5,$K$6:$K$55,1))-C5),INDEX($K$6:$K$55,MATCH(C5,$K$6:$K$55,1)+IF(C5&gt;=MAX($K$6:$K$55),0,1),1),INDEX($K$6:$K$55,MATCH(C5,$K$6:$K$55,1)))</f>
        <v>68.120000000000019</v>
      </c>
      <c r="E5" s="85">
        <f>IF(H5="N",5%/COUNTIF('Valuation Model'!$L$2:$L$9,"No"),IF(G5&lt;&gt;"Y",50%/(COUNTIF('Valuation Model'!$L$2:$L$9,"Yes")-COUNTIF(G$5:G$12,"Y")),45%/(COUNTIF(G$5:G$12,"Y"))))</f>
        <v>6.25E-2</v>
      </c>
      <c r="F5" s="79" t="s">
        <v>51</v>
      </c>
      <c r="G5" s="79" t="str">
        <f>IF(LEFT('Valuation Model'!L2,1)="M","Y","")</f>
        <v/>
      </c>
      <c r="H5" s="79" t="str">
        <f>IF(LEFT('Valuation Model'!L2,1)="M","Y",LEFT('Valuation Model'!L2,1))</f>
        <v>Y</v>
      </c>
      <c r="J5" s="86">
        <v>0</v>
      </c>
      <c r="K5" s="84">
        <f t="shared" ref="K5:K55" ca="1" si="0">$B$1*J5</f>
        <v>0</v>
      </c>
      <c r="L5" s="87" t="str">
        <f t="shared" ref="L5:L55" ca="1" si="1">IFERROR(IF(VLOOKUP(K5,$D$5:$F$16,3,FALSE)="Scenario",IF(VLOOKUP(K5,$D$5:$H$16,5,FALSE)="Y",VLOOKUP(K5,$D$5:$E$16,2,0),""),IF(VLOOKUP(K5,$D$5:$F$16,3,FALSE)&lt;&gt;"Scenario","")),"")</f>
        <v/>
      </c>
      <c r="M5" s="85" t="str">
        <f t="shared" ref="M5:M55" ca="1" si="2">IFERROR(IF(VLOOKUP(K5,$D$5:$F$16,3,FALSE)="Scenario",IF(VLOOKUP(K5,$D$5:$H$16,5,FALSE)="N",VLOOKUP(K5,$D$5:$E$16,2,0),""),IF(VLOOKUP(K5,$D$5:$F$16,3,FALSE)&lt;&gt;"Scenario","")),"")</f>
        <v/>
      </c>
      <c r="N5" s="84">
        <f ca="1">LN('Histogram Data'!K5+0.01)-LN(price)</f>
        <v>-8.9226582995244001</v>
      </c>
      <c r="O5" s="84">
        <f ca="1">_xlfn.NORM.DIST(N5,0+0.03^3,AVERAGE('Valuation Model'!$K$22:$L$22),FALSE)/scaling</f>
        <v>0</v>
      </c>
    </row>
    <row r="6" spans="1:15" s="79" customFormat="1" ht="12">
      <c r="A6" s="82"/>
      <c r="B6" s="88" t="str">
        <f>'Valuation Model'!I6</f>
        <v>6% | 22% | 2%</v>
      </c>
      <c r="C6" s="89">
        <f ca="1">'Valuation Model'!K6</f>
        <v>74</v>
      </c>
      <c r="D6" s="84">
        <f ca="1">IF(ABS(INDEX($K$6:$K$55,MATCH(C6,$K$6:$K$55,1)+IF(C6&gt;=MAX($K$6:$K$55),0,1),1)-C6)&lt;ABS(INDEX($K$6:$K$55,MATCH(C6,$K$6:$K$55,1))-C6),INDEX($K$6:$K$55,MATCH(C6,$K$6:$K$55,1)+IF(C6&gt;=MAX($K$6:$K$55),0,1),1),INDEX($K$6:$K$55,MATCH(C6,$K$6:$K$55,1)))</f>
        <v>73.360000000000028</v>
      </c>
      <c r="E6" s="85">
        <f>IF(H6="N",5%/COUNTIF('Valuation Model'!$L$2:$L$9,"No"),IF(G6&lt;&gt;"Y",50%/(COUNTIF('Valuation Model'!$L$2:$L$9,"Yes")-COUNTIF(G$5:G$12,"Y")),45%/(COUNTIF(G$5:G$12,"Y"))))</f>
        <v>6.25E-2</v>
      </c>
      <c r="F6" s="79" t="s">
        <v>51</v>
      </c>
      <c r="G6" s="79" t="str">
        <f>IF(LEFT('Valuation Model'!L3,1)="M","Y","")</f>
        <v/>
      </c>
      <c r="H6" s="79" t="str">
        <f>IF(LEFT('Valuation Model'!L6,1)="M","Y",LEFT('Valuation Model'!L6,1))</f>
        <v>Y</v>
      </c>
      <c r="J6" s="86">
        <v>0.02</v>
      </c>
      <c r="K6" s="84">
        <f t="shared" ca="1" si="0"/>
        <v>2.62</v>
      </c>
      <c r="L6" s="87" t="str">
        <f t="shared" ca="1" si="1"/>
        <v/>
      </c>
      <c r="M6" s="85" t="str">
        <f t="shared" ca="1" si="2"/>
        <v/>
      </c>
      <c r="N6" s="84">
        <f ca="1">LN('Histogram Data'!K6+0.01)-LN(price)</f>
        <v>-3.3505042673466372</v>
      </c>
      <c r="O6" s="84">
        <f ca="1">_xlfn.NORM.DIST(N6,0+0.03^3,AVERAGE('Valuation Model'!$K$22:$L$22),FALSE)/scaling</f>
        <v>1.4983337149249496E-85</v>
      </c>
    </row>
    <row r="7" spans="1:15" s="79" customFormat="1" ht="12">
      <c r="A7" s="82"/>
      <c r="B7" s="88" t="str">
        <f>'Valuation Model'!I3</f>
        <v>3% | 22% | 5%</v>
      </c>
      <c r="C7" s="89">
        <f ca="1">'Valuation Model'!K3</f>
        <v>74</v>
      </c>
      <c r="D7" s="84">
        <f ca="1">IF(ABS(INDEX($K$6:$K$55,MATCH(C7,$K$6:$K$55,1)+IF(C7&gt;=MAX($K$6:$K$55),0,1),1)-C7)&lt;ABS(INDEX($K$6:$K$55,MATCH(C7,$K$6:$K$55,1))-C7),INDEX($K$6:$K$55,MATCH(C7,$K$6:$K$55,1)+IF(C7&gt;=MAX($K$6:$K$55),0,1),1),INDEX($K$6:$K$55,MATCH(C7,$K$6:$K$55,1)))</f>
        <v>73.360000000000028</v>
      </c>
      <c r="E7" s="85">
        <f>IF(H7="N",5%/COUNTIF('Valuation Model'!$L$2:$L$9,"No"),IF(G7&lt;&gt;"Y",50%/(COUNTIF('Valuation Model'!$L$2:$L$9,"Yes")-COUNTIF(G$5:G$12,"Y")),45%/(COUNTIF(G$5:G$12,"Y"))))</f>
        <v>6.25E-2</v>
      </c>
      <c r="F7" s="79" t="s">
        <v>51</v>
      </c>
      <c r="G7" s="79" t="str">
        <f>IF(LEFT('Valuation Model'!L6,1)="M","Y","")</f>
        <v/>
      </c>
      <c r="H7" s="79" t="str">
        <f>IF(LEFT('Valuation Model'!L3,1)="M","Y",LEFT('Valuation Model'!L3,1))</f>
        <v>Y</v>
      </c>
      <c r="J7" s="86">
        <f>J6+2%</f>
        <v>0.04</v>
      </c>
      <c r="K7" s="84">
        <f t="shared" ca="1" si="0"/>
        <v>5.24</v>
      </c>
      <c r="L7" s="87" t="str">
        <f t="shared" ca="1" si="1"/>
        <v/>
      </c>
      <c r="M7" s="85" t="str">
        <f t="shared" ca="1" si="2"/>
        <v/>
      </c>
      <c r="N7" s="84">
        <f ca="1">LN('Histogram Data'!K7+0.01)-LN(price)</f>
        <v>-2.6592600369327775</v>
      </c>
      <c r="O7" s="84">
        <f ca="1">_xlfn.NORM.DIST(N7,0+0.03^3,AVERAGE('Valuation Model'!$K$22:$L$22),FALSE)/scaling</f>
        <v>2.4524601893447664E-54</v>
      </c>
    </row>
    <row r="8" spans="1:15" s="79" customFormat="1" ht="12">
      <c r="A8" s="82"/>
      <c r="B8" s="88" t="str">
        <f>'Valuation Model'!I7</f>
        <v>6% | 22% | 5%</v>
      </c>
      <c r="C8" s="89">
        <f ca="1">'Valuation Model'!K7</f>
        <v>82</v>
      </c>
      <c r="D8" s="84">
        <f ca="1">IF(ABS(INDEX($K$6:$K$55,MATCH(C8,$K$6:$K$55,1)+IF(C8&gt;=MAX($K$6:$K$55),0,1),1)-C8)&lt;ABS(INDEX($K$6:$K$55,MATCH(C8,$K$6:$K$55,1))-C8),INDEX($K$6:$K$55,MATCH(C8,$K$6:$K$55,1)+IF(C8&gt;=MAX($K$6:$K$55),0,1),1),INDEX($K$6:$K$55,MATCH(C8,$K$6:$K$55,1)))</f>
        <v>81.220000000000027</v>
      </c>
      <c r="E8" s="85">
        <f>IF(H8="N",5%/COUNTIF('Valuation Model'!$L$2:$L$9,"No"),IF(G8&lt;&gt;"Y",50%/(COUNTIF('Valuation Model'!$L$2:$L$9,"Yes")-COUNTIF(G$5:G$12,"Y")),45%/(COUNTIF(G$5:G$12,"Y"))))</f>
        <v>6.25E-2</v>
      </c>
      <c r="F8" s="79" t="s">
        <v>51</v>
      </c>
      <c r="G8" s="79" t="str">
        <f>IF(LEFT('Valuation Model'!L7,1)="M","Y","")</f>
        <v/>
      </c>
      <c r="H8" s="79" t="str">
        <f>IF(LEFT('Valuation Model'!L7,1)="M","Y",LEFT('Valuation Model'!L7,1))</f>
        <v>Y</v>
      </c>
      <c r="J8" s="86">
        <f t="shared" ref="J8:J55" si="3">J7+2%</f>
        <v>0.06</v>
      </c>
      <c r="K8" s="84">
        <f t="shared" ca="1" si="0"/>
        <v>7.8599999999999994</v>
      </c>
      <c r="L8" s="87" t="str">
        <f t="shared" ca="1" si="1"/>
        <v/>
      </c>
      <c r="M8" s="85" t="str">
        <f t="shared" ca="1" si="2"/>
        <v/>
      </c>
      <c r="N8" s="84">
        <f ca="1">LN('Histogram Data'!K8+0.01)-LN(price)</f>
        <v>-2.2544300511069983</v>
      </c>
      <c r="O8" s="84">
        <f ca="1">_xlfn.NORM.DIST(N8,0+0.03^3,AVERAGE('Valuation Model'!$K$22:$L$22),FALSE)/scaling</f>
        <v>2.1685866823799947E-39</v>
      </c>
    </row>
    <row r="9" spans="1:15" s="79" customFormat="1" ht="12">
      <c r="A9" s="82"/>
      <c r="B9" s="88" t="str">
        <f>'Valuation Model'!I4</f>
        <v>3% | 30% | 2%</v>
      </c>
      <c r="C9" s="89">
        <f ca="1">'Valuation Model'!K4</f>
        <v>98</v>
      </c>
      <c r="D9" s="84">
        <f ca="1">IF(ABS(INDEX($K$6:$K$55,MATCH(C9,$K$6:$K$55,1)+IF(C9&gt;=MAX($K$6:$K$55),0,1),1)-C9)&lt;ABS(INDEX($K$6:$K$55,MATCH(C9,$K$6:$K$55,1))-C9),INDEX($K$6:$K$55,MATCH(C9,$K$6:$K$55,1)+IF(C9&gt;=MAX($K$6:$K$55),0,1),1),INDEX($K$6:$K$55,MATCH(C9,$K$6:$K$55,1)))</f>
        <v>96.94000000000004</v>
      </c>
      <c r="E9" s="85">
        <f>IF(H9="N",5%/COUNTIF('Valuation Model'!$L$2:$L$9,"No"),IF(G9&lt;&gt;"Y",50%/(COUNTIF('Valuation Model'!$L$2:$L$9,"Yes")-COUNTIF(G$5:G$12,"Y")),45%/(COUNTIF(G$5:G$12,"Y"))))</f>
        <v>6.25E-2</v>
      </c>
      <c r="F9" s="79" t="s">
        <v>51</v>
      </c>
      <c r="G9" s="79" t="str">
        <f>IF(LEFT('Valuation Model'!L4,1)="M","Y","")</f>
        <v/>
      </c>
      <c r="H9" s="79" t="str">
        <f>IF(LEFT('Valuation Model'!L4,1)="M","Y",LEFT('Valuation Model'!L4,1))</f>
        <v>Y</v>
      </c>
      <c r="J9" s="86">
        <f t="shared" si="3"/>
        <v>0.08</v>
      </c>
      <c r="K9" s="84">
        <f t="shared" ca="1" si="0"/>
        <v>10.48</v>
      </c>
      <c r="L9" s="87" t="str">
        <f t="shared" ca="1" si="1"/>
        <v/>
      </c>
      <c r="M9" s="85" t="str">
        <f t="shared" ca="1" si="2"/>
        <v/>
      </c>
      <c r="N9" s="84">
        <f ca="1">LN('Histogram Data'!K9+0.01)-LN(price)</f>
        <v>-1.9670656911281044</v>
      </c>
      <c r="O9" s="84">
        <f ca="1">_xlfn.NORM.DIST(N9,0+0.03^3,AVERAGE('Valuation Model'!$K$22:$L$22),FALSE)/scaling</f>
        <v>2.8266604889620866E-30</v>
      </c>
    </row>
    <row r="10" spans="1:15" s="79" customFormat="1" ht="12">
      <c r="A10" s="82"/>
      <c r="B10" s="88" t="str">
        <f>'Valuation Model'!I5</f>
        <v>3% | 30% | 5%</v>
      </c>
      <c r="C10" s="89">
        <f ca="1">'Valuation Model'!K5</f>
        <v>108</v>
      </c>
      <c r="D10" s="84">
        <f ca="1">IF(ABS(INDEX($K$6:$K$55,MATCH(C10,$K$6:$K$55,1)+IF(C10&gt;=MAX($K$6:$K$55),0,1),1)-C10)&lt;ABS(INDEX($K$6:$K$55,MATCH(C10,$K$6:$K$55,1))-C10),INDEX($K$6:$K$55,MATCH(C10,$K$6:$K$55,1)+IF(C10&gt;=MAX($K$6:$K$55),0,1),1),INDEX($K$6:$K$55,MATCH(C10,$K$6:$K$55,1)))</f>
        <v>107.42000000000006</v>
      </c>
      <c r="E10" s="85">
        <f>IF(H10="N",5%/COUNTIF('Valuation Model'!$L$2:$L$9,"No"),IF(G10&lt;&gt;"Y",50%/(COUNTIF('Valuation Model'!$L$2:$L$9,"Yes")-COUNTIF(G$5:G$12,"Y")),45%/(COUNTIF(G$5:G$12,"Y"))))</f>
        <v>6.25E-2</v>
      </c>
      <c r="F10" s="79" t="s">
        <v>51</v>
      </c>
      <c r="G10" s="79" t="str">
        <f>IF(LEFT('Valuation Model'!L8,1)="M","Y","")</f>
        <v/>
      </c>
      <c r="H10" s="79" t="str">
        <f>IF(LEFT('Valuation Model'!L5,1)="M","Y",LEFT('Valuation Model'!L5,1))</f>
        <v>Y</v>
      </c>
      <c r="J10" s="86">
        <f t="shared" si="3"/>
        <v>0.1</v>
      </c>
      <c r="K10" s="84">
        <f t="shared" ca="1" si="0"/>
        <v>13.100000000000001</v>
      </c>
      <c r="L10" s="87" t="str">
        <f t="shared" ca="1" si="1"/>
        <v/>
      </c>
      <c r="M10" s="85" t="str">
        <f t="shared" ca="1" si="2"/>
        <v/>
      </c>
      <c r="N10" s="84">
        <f ca="1">LN('Histogram Data'!K10+0.01)-LN(price)</f>
        <v>-1.7441128157607015</v>
      </c>
      <c r="O10" s="84">
        <f ca="1">_xlfn.NORM.DIST(N10,0+0.03^3,AVERAGE('Valuation Model'!$K$22:$L$22),FALSE)/scaling</f>
        <v>4.6598470453671624E-24</v>
      </c>
    </row>
    <row r="11" spans="1:15" s="79" customFormat="1" ht="12">
      <c r="A11" s="82"/>
      <c r="B11" s="88" t="str">
        <f>'Valuation Model'!I8</f>
        <v>6% | 30% | 2%</v>
      </c>
      <c r="C11" s="89">
        <f ca="1">'Valuation Model'!K8</f>
        <v>109</v>
      </c>
      <c r="D11" s="84">
        <f ca="1">IF(ABS(INDEX($K$6:$K$55,MATCH(C11,$K$6:$K$55,1)+IF(C11&gt;=MAX($K$6:$K$55),0,1),1)-C11)&lt;ABS(INDEX($K$6:$K$55,MATCH(C11,$K$6:$K$55,1))-C11),INDEX($K$6:$K$55,MATCH(C11,$K$6:$K$55,1)+IF(C11&gt;=MAX($K$6:$K$55),0,1),1),INDEX($K$6:$K$55,MATCH(C11,$K$6:$K$55,1)))</f>
        <v>110.04000000000005</v>
      </c>
      <c r="E11" s="85">
        <f>IF(H11="N",5%/COUNTIF('Valuation Model'!$L$2:$L$9,"No"),IF(G11&lt;&gt;"Y",50%/(COUNTIF('Valuation Model'!$L$2:$L$9,"Yes")-COUNTIF(G$5:G$12,"Y")),45%/(COUNTIF(G$5:G$12,"Y"))))</f>
        <v>6.25E-2</v>
      </c>
      <c r="F11" s="79" t="s">
        <v>51</v>
      </c>
      <c r="G11" s="79" t="str">
        <f>IF(LEFT('Valuation Model'!L5,1)="M","Y","")</f>
        <v/>
      </c>
      <c r="H11" s="79" t="str">
        <f>IF(LEFT('Valuation Model'!L8,1)="M","Y",LEFT('Valuation Model'!L8,1))</f>
        <v>Y</v>
      </c>
      <c r="J11" s="86">
        <f t="shared" si="3"/>
        <v>0.12000000000000001</v>
      </c>
      <c r="K11" s="84">
        <f t="shared" ca="1" si="0"/>
        <v>15.72</v>
      </c>
      <c r="L11" s="87" t="str">
        <f t="shared" ca="1" si="1"/>
        <v/>
      </c>
      <c r="M11" s="85" t="str">
        <f t="shared" ca="1" si="2"/>
        <v/>
      </c>
      <c r="N11" s="84">
        <f ca="1">LN('Histogram Data'!K11+0.01)-LN(price)</f>
        <v>-1.5619183964661238</v>
      </c>
      <c r="O11" s="84">
        <f ca="1">_xlfn.NORM.DIST(N11,0+0.03^3,AVERAGE('Valuation Model'!$K$22:$L$22),FALSE)/scaling</f>
        <v>1.56414946110489E-19</v>
      </c>
    </row>
    <row r="12" spans="1:15" s="79" customFormat="1" ht="12">
      <c r="A12" s="82"/>
      <c r="B12" s="88" t="str">
        <f>'Valuation Model'!I9</f>
        <v>6% | 30% | 5%</v>
      </c>
      <c r="C12" s="89">
        <f ca="1">'Valuation Model'!K9</f>
        <v>121</v>
      </c>
      <c r="D12" s="84">
        <f ca="1">IF(ABS(INDEX($K$6:$K$55,MATCH(C12,$K$6:$K$55,1)+IF(C12&gt;=MAX($K$6:$K$55),0,1),1)-C12)&lt;ABS(INDEX($K$6:$K$55,MATCH(C12,$K$6:$K$55,1))-C12),INDEX($K$6:$K$55,MATCH(C12,$K$6:$K$55,1)+IF(C12&gt;=MAX($K$6:$K$55),0,1),1),INDEX($K$6:$K$55,MATCH(C12,$K$6:$K$55,1)))</f>
        <v>120.52000000000007</v>
      </c>
      <c r="E12" s="85">
        <f>IF(H12="N",5%/COUNTIF('Valuation Model'!$L$2:$L$9,"No"),IF(G12&lt;&gt;"Y",50%/(COUNTIF('Valuation Model'!$L$2:$L$9,"Yes")-COUNTIF(G$5:G$12,"Y")),45%/(COUNTIF(G$5:G$12,"Y"))))</f>
        <v>6.25E-2</v>
      </c>
      <c r="F12" s="79" t="s">
        <v>51</v>
      </c>
      <c r="G12" s="79" t="str">
        <f>IF(LEFT('Valuation Model'!L9,1)="M","Y","")</f>
        <v/>
      </c>
      <c r="H12" s="79" t="str">
        <f>IF(LEFT('Valuation Model'!L9,1)="M","Y",LEFT('Valuation Model'!L9,1))</f>
        <v>Y</v>
      </c>
      <c r="J12" s="86">
        <f t="shared" si="3"/>
        <v>0.14000000000000001</v>
      </c>
      <c r="K12" s="84">
        <f t="shared" ca="1" si="0"/>
        <v>18.340000000000003</v>
      </c>
      <c r="L12" s="87" t="str">
        <f t="shared" ca="1" si="1"/>
        <v/>
      </c>
      <c r="M12" s="85" t="str">
        <f t="shared" ca="1" si="2"/>
        <v/>
      </c>
      <c r="N12" s="84">
        <f ca="1">LN('Histogram Data'!K12+0.01)-LN(price)</f>
        <v>-1.4078585390357308</v>
      </c>
      <c r="O12" s="84">
        <f ca="1">_xlfn.NORM.DIST(N12,0+0.03^3,AVERAGE('Valuation Model'!$K$22:$L$22),FALSE)/scaling</f>
        <v>4.2860296131313886E-16</v>
      </c>
    </row>
    <row r="13" spans="1:15" s="79" customFormat="1" ht="12">
      <c r="A13" s="82"/>
      <c r="J13" s="86">
        <f t="shared" si="3"/>
        <v>0.16</v>
      </c>
      <c r="K13" s="84">
        <f t="shared" ca="1" si="0"/>
        <v>20.96</v>
      </c>
      <c r="L13" s="87" t="str">
        <f t="shared" ca="1" si="1"/>
        <v/>
      </c>
      <c r="M13" s="85" t="str">
        <f t="shared" ca="1" si="2"/>
        <v/>
      </c>
      <c r="N13" s="84">
        <f ca="1">LN('Histogram Data'!K13+0.01)-LN(price)</f>
        <v>-1.2743952686224813</v>
      </c>
      <c r="O13" s="84">
        <f ca="1">_xlfn.NORM.DIST(N13,0+0.03^3,AVERAGE('Valuation Model'!$K$22:$L$22),FALSE)/scaling</f>
        <v>2.0984453120867788E-13</v>
      </c>
    </row>
    <row r="14" spans="1:15" s="79" customFormat="1" ht="12">
      <c r="A14" s="82"/>
      <c r="J14" s="86">
        <f t="shared" si="3"/>
        <v>0.18</v>
      </c>
      <c r="K14" s="84">
        <f t="shared" ca="1" si="0"/>
        <v>23.58</v>
      </c>
      <c r="L14" s="87" t="str">
        <f t="shared" ca="1" si="1"/>
        <v/>
      </c>
      <c r="M14" s="85" t="str">
        <f t="shared" ca="1" si="2"/>
        <v/>
      </c>
      <c r="N14" s="84">
        <f ca="1">LN('Histogram Data'!K14+0.01)-LN(price)</f>
        <v>-1.1566652201167265</v>
      </c>
      <c r="O14" s="84">
        <f ca="1">_xlfn.NORM.DIST(N14,0+0.03^3,AVERAGE('Valuation Model'!$K$22:$L$22),FALSE)/scaling</f>
        <v>2.9678776096723999E-11</v>
      </c>
    </row>
    <row r="15" spans="1:15" s="79" customFormat="1" ht="12">
      <c r="A15" s="82"/>
      <c r="J15" s="86">
        <f t="shared" si="3"/>
        <v>0.19999999999999998</v>
      </c>
      <c r="K15" s="84">
        <f t="shared" ca="1" si="0"/>
        <v>26.2</v>
      </c>
      <c r="L15" s="87" t="str">
        <f t="shared" ca="1" si="1"/>
        <v/>
      </c>
      <c r="M15" s="85" t="str">
        <f t="shared" ca="1" si="2"/>
        <v/>
      </c>
      <c r="N15" s="84">
        <f ca="1">LN('Histogram Data'!K15+0.01)-LN(price)</f>
        <v>-1.051347096200995</v>
      </c>
      <c r="O15" s="84">
        <f ca="1">_xlfn.NORM.DIST(N15,0+0.03^3,AVERAGE('Valuation Model'!$K$22:$L$22),FALSE)/scaling</f>
        <v>1.6586814105812844E-9</v>
      </c>
    </row>
    <row r="16" spans="1:15" s="79" customFormat="1" ht="12">
      <c r="A16" s="82"/>
      <c r="C16" s="83"/>
      <c r="D16" s="84"/>
      <c r="E16" s="85"/>
      <c r="J16" s="86">
        <f t="shared" si="3"/>
        <v>0.21999999999999997</v>
      </c>
      <c r="K16" s="84">
        <f t="shared" ca="1" si="0"/>
        <v>28.819999999999997</v>
      </c>
      <c r="L16" s="87" t="str">
        <f t="shared" ca="1" si="1"/>
        <v/>
      </c>
      <c r="M16" s="85" t="str">
        <f t="shared" ca="1" si="2"/>
        <v/>
      </c>
      <c r="N16" s="84">
        <f ca="1">LN('Histogram Data'!K16+0.01)-LN(price)</f>
        <v>-0.95607160188599938</v>
      </c>
      <c r="O16" s="84">
        <f ca="1">_xlfn.NORM.DIST(N16,0+0.03^3,AVERAGE('Valuation Model'!$K$22:$L$22),FALSE)/scaling</f>
        <v>4.5379959935010465E-8</v>
      </c>
    </row>
    <row r="17" spans="4:15" s="79" customFormat="1" ht="12">
      <c r="J17" s="86">
        <f t="shared" si="3"/>
        <v>0.23999999999999996</v>
      </c>
      <c r="K17" s="84">
        <f t="shared" ca="1" si="0"/>
        <v>31.439999999999994</v>
      </c>
      <c r="L17" s="87" t="str">
        <f t="shared" ca="1" si="1"/>
        <v/>
      </c>
      <c r="M17" s="85" t="str">
        <f t="shared" ca="1" si="2"/>
        <v/>
      </c>
      <c r="N17" s="84">
        <f ca="1">LN('Histogram Data'!K17+0.01)-LN(price)</f>
        <v>-0.86908913038986091</v>
      </c>
      <c r="O17" s="84">
        <f ca="1">_xlfn.NORM.DIST(N17,0+0.03^3,AVERAGE('Valuation Model'!$K$22:$L$22),FALSE)/scaling</f>
        <v>7.075530512029139E-7</v>
      </c>
    </row>
    <row r="18" spans="4:15" s="79" customFormat="1" ht="12">
      <c r="D18" s="86"/>
      <c r="J18" s="86">
        <f t="shared" si="3"/>
        <v>0.25999999999999995</v>
      </c>
      <c r="K18" s="84">
        <f t="shared" ca="1" si="0"/>
        <v>34.059999999999995</v>
      </c>
      <c r="L18" s="87" t="str">
        <f t="shared" ca="1" si="1"/>
        <v/>
      </c>
      <c r="M18" s="85" t="str">
        <f t="shared" ca="1" si="2"/>
        <v/>
      </c>
      <c r="N18" s="84">
        <f ca="1">LN('Histogram Data'!K18+0.01)-LN(price)</f>
        <v>-0.78907088186343532</v>
      </c>
      <c r="O18" s="84">
        <f ca="1">_xlfn.NORM.DIST(N18,0+0.03^3,AVERAGE('Valuation Model'!$K$22:$L$22),FALSE)/scaling</f>
        <v>7.0264862580660706E-6</v>
      </c>
    </row>
    <row r="19" spans="4:15" s="79" customFormat="1" ht="12">
      <c r="D19" s="90"/>
      <c r="J19" s="86">
        <f t="shared" si="3"/>
        <v>0.27999999999999997</v>
      </c>
      <c r="K19" s="84">
        <f t="shared" ca="1" si="0"/>
        <v>36.68</v>
      </c>
      <c r="L19" s="87" t="str">
        <f t="shared" ca="1" si="1"/>
        <v/>
      </c>
      <c r="M19" s="85" t="str">
        <f t="shared" ca="1" si="2"/>
        <v/>
      </c>
      <c r="N19" s="84">
        <f ca="1">LN('Histogram Data'!K19+0.01)-LN(price)</f>
        <v>-0.71498387516911954</v>
      </c>
      <c r="O19" s="84">
        <f ca="1">_xlfn.NORM.DIST(N19,0+0.03^3,AVERAGE('Valuation Model'!$K$22:$L$22),FALSE)/scaling</f>
        <v>4.8309415292168487E-5</v>
      </c>
    </row>
    <row r="20" spans="4:15" s="79" customFormat="1" ht="12">
      <c r="J20" s="86">
        <f t="shared" si="3"/>
        <v>0.3</v>
      </c>
      <c r="K20" s="84">
        <f t="shared" ca="1" si="0"/>
        <v>39.299999999999997</v>
      </c>
      <c r="L20" s="87" t="str">
        <f t="shared" ca="1" si="1"/>
        <v/>
      </c>
      <c r="M20" s="85" t="str">
        <f t="shared" ca="1" si="2"/>
        <v/>
      </c>
      <c r="N20" s="84">
        <f ca="1">LN('Histogram Data'!K20+0.01)-LN(price)</f>
        <v>-0.64600917410254111</v>
      </c>
      <c r="O20" s="84">
        <f ca="1">_xlfn.NORM.DIST(N20,0+0.03^3,AVERAGE('Valuation Model'!$K$22:$L$22),FALSE)/scaling</f>
        <v>2.451352495998975E-4</v>
      </c>
    </row>
    <row r="21" spans="4:15" s="79" customFormat="1" ht="12">
      <c r="J21" s="86">
        <f t="shared" si="3"/>
        <v>0.32</v>
      </c>
      <c r="K21" s="84">
        <f t="shared" ca="1" si="0"/>
        <v>41.92</v>
      </c>
      <c r="L21" s="87" t="str">
        <f t="shared" ca="1" si="1"/>
        <v/>
      </c>
      <c r="M21" s="85" t="str">
        <f t="shared" ca="1" si="2"/>
        <v/>
      </c>
      <c r="N21" s="84">
        <f ca="1">LN('Histogram Data'!K21+0.01)-LN(price)</f>
        <v>-0.58148655235363877</v>
      </c>
      <c r="O21" s="84">
        <f ca="1">_xlfn.NORM.DIST(N21,0+0.03^3,AVERAGE('Valuation Model'!$K$22:$L$22),FALSE)/scaling</f>
        <v>9.6500577751284296E-4</v>
      </c>
    </row>
    <row r="22" spans="4:15" s="79" customFormat="1" ht="12">
      <c r="J22" s="86">
        <f t="shared" si="3"/>
        <v>0.34</v>
      </c>
      <c r="K22" s="84">
        <f t="shared" ca="1" si="0"/>
        <v>44.540000000000006</v>
      </c>
      <c r="L22" s="87" t="str">
        <f t="shared" ca="1" si="1"/>
        <v/>
      </c>
      <c r="M22" s="85" t="str">
        <f t="shared" ca="1" si="2"/>
        <v/>
      </c>
      <c r="N22" s="84">
        <f ca="1">LN('Histogram Data'!K22+0.01)-LN(price)</f>
        <v>-0.52087595961949162</v>
      </c>
      <c r="O22" s="84">
        <f ca="1">_xlfn.NORM.DIST(N22,0+0.03^3,AVERAGE('Valuation Model'!$K$22:$L$22),FALSE)/scaling</f>
        <v>3.0660853454657078E-3</v>
      </c>
    </row>
    <row r="23" spans="4:15" s="79" customFormat="1" ht="12">
      <c r="J23" s="86">
        <f t="shared" si="3"/>
        <v>0.36000000000000004</v>
      </c>
      <c r="K23" s="84">
        <f t="shared" ca="1" si="0"/>
        <v>47.160000000000004</v>
      </c>
      <c r="L23" s="87" t="str">
        <f t="shared" ca="1" si="1"/>
        <v/>
      </c>
      <c r="M23" s="85" t="str">
        <f t="shared" ca="1" si="2"/>
        <v/>
      </c>
      <c r="N23" s="84">
        <f ca="1">LN('Histogram Data'!K23+0.01)-LN(price)</f>
        <v>-0.46373001624013988</v>
      </c>
      <c r="O23" s="84">
        <f ca="1">_xlfn.NORM.DIST(N23,0+0.03^3,AVERAGE('Valuation Model'!$K$22:$L$22),FALSE)/scaling</f>
        <v>8.1166647041340124E-3</v>
      </c>
    </row>
    <row r="24" spans="4:15" s="79" customFormat="1" ht="12">
      <c r="J24" s="86">
        <f t="shared" si="3"/>
        <v>0.38000000000000006</v>
      </c>
      <c r="K24" s="84">
        <f t="shared" ca="1" si="0"/>
        <v>49.780000000000008</v>
      </c>
      <c r="L24" s="87" t="str">
        <f t="shared" ca="1" si="1"/>
        <v/>
      </c>
      <c r="M24" s="85" t="str">
        <f t="shared" ca="1" si="2"/>
        <v/>
      </c>
      <c r="N24" s="84">
        <f ca="1">LN('Histogram Data'!K24+0.01)-LN(price)</f>
        <v>-0.40967395288221864</v>
      </c>
      <c r="O24" s="84">
        <f ca="1">_xlfn.NORM.DIST(N24,0+0.03^3,AVERAGE('Valuation Model'!$K$22:$L$22),FALSE)/scaling</f>
        <v>1.8371488598026755E-2</v>
      </c>
    </row>
    <row r="25" spans="4:15" s="79" customFormat="1" ht="12">
      <c r="J25" s="86">
        <f t="shared" si="3"/>
        <v>0.40000000000000008</v>
      </c>
      <c r="K25" s="84">
        <f t="shared" ca="1" si="0"/>
        <v>52.400000000000013</v>
      </c>
      <c r="L25" s="87" t="str">
        <f t="shared" ca="1" si="1"/>
        <v/>
      </c>
      <c r="M25" s="85" t="str">
        <f t="shared" ca="1" si="2"/>
        <v/>
      </c>
      <c r="N25" s="84">
        <f ca="1">LN('Histogram Data'!K25+0.01)-LN(price)</f>
        <v>-0.35839070072223489</v>
      </c>
      <c r="O25" s="84">
        <f ca="1">_xlfn.NORM.DIST(N25,0+0.03^3,AVERAGE('Valuation Model'!$K$22:$L$22),FALSE)/scaling</f>
        <v>3.6318087379727491E-2</v>
      </c>
    </row>
    <row r="26" spans="4:15" s="79" customFormat="1" ht="12">
      <c r="J26" s="86">
        <f t="shared" si="3"/>
        <v>0.4200000000000001</v>
      </c>
      <c r="K26" s="84">
        <f t="shared" ca="1" si="0"/>
        <v>55.02000000000001</v>
      </c>
      <c r="L26" s="87" t="str">
        <f t="shared" ca="1" si="1"/>
        <v/>
      </c>
      <c r="M26" s="85" t="str">
        <f t="shared" ca="1" si="2"/>
        <v/>
      </c>
      <c r="N26" s="84">
        <f ca="1">LN('Histogram Data'!K26+0.01)-LN(price)</f>
        <v>-0.30960962246464252</v>
      </c>
      <c r="O26" s="84">
        <f ca="1">_xlfn.NORM.DIST(N26,0+0.03^3,AVERAGE('Valuation Model'!$K$22:$L$22),FALSE)/scaling</f>
        <v>6.3823995055812002E-2</v>
      </c>
    </row>
    <row r="27" spans="4:15" s="79" customFormat="1" ht="12">
      <c r="J27" s="86">
        <f t="shared" si="3"/>
        <v>0.44000000000000011</v>
      </c>
      <c r="K27" s="84">
        <f t="shared" ca="1" si="0"/>
        <v>57.640000000000015</v>
      </c>
      <c r="L27" s="87" t="str">
        <f t="shared" ca="1" si="1"/>
        <v/>
      </c>
      <c r="M27" s="85" t="str">
        <f t="shared" ca="1" si="2"/>
        <v/>
      </c>
      <c r="N27" s="84">
        <f ca="1">LN('Histogram Data'!K27+0.01)-LN(price)</f>
        <v>-0.26309786682124159</v>
      </c>
      <c r="O27" s="84">
        <f ca="1">_xlfn.NORM.DIST(N27,0+0.03^3,AVERAGE('Valuation Model'!$K$22:$L$22),FALSE)/scaling</f>
        <v>0.10119317722862206</v>
      </c>
    </row>
    <row r="28" spans="4:15" s="79" customFormat="1" ht="12">
      <c r="J28" s="86">
        <f t="shared" si="3"/>
        <v>0.46000000000000013</v>
      </c>
      <c r="K28" s="84">
        <f t="shared" ca="1" si="0"/>
        <v>60.260000000000019</v>
      </c>
      <c r="L28" s="87" t="str">
        <f t="shared" ca="1" si="1"/>
        <v/>
      </c>
      <c r="M28" s="85" t="str">
        <f t="shared" ca="1" si="2"/>
        <v/>
      </c>
      <c r="N28" s="84">
        <f ca="1">LN('Histogram Data'!K28+0.01)-LN(price)</f>
        <v>-0.21865364604135706</v>
      </c>
      <c r="O28" s="84">
        <f ca="1">_xlfn.NORM.DIST(N28,0+0.03^3,AVERAGE('Valuation Model'!$K$22:$L$22),FALSE)/scaling</f>
        <v>0.14657050940738284</v>
      </c>
    </row>
    <row r="29" spans="4:15" s="79" customFormat="1" ht="12">
      <c r="J29" s="86">
        <f t="shared" si="3"/>
        <v>0.48000000000000015</v>
      </c>
      <c r="K29" s="84">
        <f t="shared" ca="1" si="0"/>
        <v>62.880000000000017</v>
      </c>
      <c r="L29" s="87" t="str">
        <f t="shared" ca="1" si="1"/>
        <v/>
      </c>
      <c r="M29" s="85" t="str">
        <f t="shared" ca="1" si="2"/>
        <v/>
      </c>
      <c r="N29" s="84">
        <f ca="1">LN('Histogram Data'!K29+0.01)-LN(price)</f>
        <v>-0.1761009449808979</v>
      </c>
      <c r="O29" s="84">
        <f ca="1">_xlfn.NORM.DIST(N29,0+0.03^3,AVERAGE('Valuation Model'!$K$22:$L$22),FALSE)/scaling</f>
        <v>0.19601026296257804</v>
      </c>
    </row>
    <row r="30" spans="4:15" s="79" customFormat="1" ht="12">
      <c r="J30" s="86">
        <f t="shared" si="3"/>
        <v>0.50000000000000011</v>
      </c>
      <c r="K30" s="84">
        <f t="shared" ca="1" si="0"/>
        <v>65.500000000000014</v>
      </c>
      <c r="L30" s="87">
        <f ca="1">L33</f>
        <v>6.25E-2</v>
      </c>
      <c r="M30" s="85" t="str">
        <f t="shared" ca="1" si="2"/>
        <v/>
      </c>
      <c r="N30" s="84">
        <f ca="1">LN('Histogram Data'!K30+0.01)-LN(price)</f>
        <v>-0.1352853107925247</v>
      </c>
      <c r="O30" s="84">
        <f ca="1">_xlfn.NORM.DIST(N30,0+0.03^3,AVERAGE('Valuation Model'!$K$22:$L$22),FALSE)/scaling</f>
        <v>0.24422536870074124</v>
      </c>
    </row>
    <row r="31" spans="4:15" s="79" customFormat="1" ht="12">
      <c r="J31" s="86">
        <f t="shared" si="3"/>
        <v>0.52000000000000013</v>
      </c>
      <c r="K31" s="84">
        <f t="shared" ca="1" si="0"/>
        <v>68.120000000000019</v>
      </c>
      <c r="L31" s="87">
        <f t="shared" ca="1" si="1"/>
        <v>6.25E-2</v>
      </c>
      <c r="M31" s="85" t="str">
        <f t="shared" ca="1" si="2"/>
        <v/>
      </c>
      <c r="N31" s="84">
        <f ca="1">LN('Histogram Data'!K31+0.01)-LN(price)</f>
        <v>-9.6070468750732552E-2</v>
      </c>
      <c r="O31" s="84">
        <f ca="1">_xlfn.NORM.DIST(N31,0+0.03^3,AVERAGE('Valuation Model'!$K$22:$L$22),FALSE)/scaling</f>
        <v>0.28574309442199602</v>
      </c>
    </row>
    <row r="32" spans="4:15" s="79" customFormat="1" ht="12">
      <c r="J32" s="86">
        <f t="shared" si="3"/>
        <v>0.54000000000000015</v>
      </c>
      <c r="K32" s="84">
        <f t="shared" ca="1" si="0"/>
        <v>70.740000000000023</v>
      </c>
      <c r="L32" s="87" t="str">
        <f t="shared" ca="1" si="1"/>
        <v/>
      </c>
      <c r="M32" s="85" t="str">
        <f t="shared" ca="1" si="2"/>
        <v/>
      </c>
      <c r="N32" s="84">
        <f ca="1">LN('Histogram Data'!K32+0.01)-LN(price)</f>
        <v>-5.8335577012962325E-2</v>
      </c>
      <c r="O32" s="84">
        <f ca="1">_xlfn.NORM.DIST(N32,0+0.03^3,AVERAGE('Valuation Model'!$K$22:$L$22),FALSE)/scaling</f>
        <v>0.31606023388180393</v>
      </c>
    </row>
    <row r="33" spans="10:15" s="79" customFormat="1" ht="12">
      <c r="J33" s="86">
        <f t="shared" si="3"/>
        <v>0.56000000000000016</v>
      </c>
      <c r="K33" s="84">
        <f t="shared" ca="1" si="0"/>
        <v>73.360000000000028</v>
      </c>
      <c r="L33" s="87">
        <f t="shared" ca="1" si="1"/>
        <v>6.25E-2</v>
      </c>
      <c r="M33" s="85" t="str">
        <f t="shared" ca="1" si="2"/>
        <v/>
      </c>
      <c r="N33" s="84">
        <f ca="1">LN('Histogram Data'!K33+0.01)-LN(price)</f>
        <v>-2.1972980810406995E-2</v>
      </c>
      <c r="O33" s="84">
        <f ca="1">_xlfn.NORM.DIST(N33,0+0.03^3,AVERAGE('Valuation Model'!$K$22:$L$22),FALSE)/scaling</f>
        <v>0.33245009241825552</v>
      </c>
    </row>
    <row r="34" spans="10:15" s="79" customFormat="1" ht="12">
      <c r="J34" s="86">
        <f t="shared" si="3"/>
        <v>0.58000000000000018</v>
      </c>
      <c r="K34" s="84">
        <f t="shared" ca="1" si="0"/>
        <v>75.980000000000018</v>
      </c>
      <c r="L34" s="87" t="str">
        <f t="shared" ca="1" si="1"/>
        <v/>
      </c>
      <c r="M34" s="85" t="str">
        <f t="shared" ca="1" si="2"/>
        <v/>
      </c>
      <c r="N34" s="84">
        <f ca="1">LN('Histogram Data'!K34+0.01)-LN(price)</f>
        <v>1.3113639145383438E-2</v>
      </c>
      <c r="O34" s="84">
        <f ca="1">_xlfn.NORM.DIST(N34,0+0.03^3,AVERAGE('Valuation Model'!$K$22:$L$22),FALSE)/scaling</f>
        <v>0.33425375857748146</v>
      </c>
    </row>
    <row r="35" spans="10:15" s="79" customFormat="1" ht="12">
      <c r="J35" s="86">
        <f t="shared" si="3"/>
        <v>0.6000000000000002</v>
      </c>
      <c r="K35" s="84">
        <f t="shared" ca="1" si="0"/>
        <v>78.600000000000023</v>
      </c>
      <c r="L35" s="87" t="str">
        <f t="shared" ca="1" si="1"/>
        <v/>
      </c>
      <c r="M35" s="85" t="str">
        <f t="shared" ca="1" si="2"/>
        <v/>
      </c>
      <c r="N35" s="84">
        <f ca="1">LN('Histogram Data'!K35+0.01)-LN(price)</f>
        <v>4.7010804269355333E-2</v>
      </c>
      <c r="O35" s="84">
        <f ca="1">_xlfn.NORM.DIST(N35,0+0.03^3,AVERAGE('Valuation Model'!$K$22:$L$22),FALSE)/scaling</f>
        <v>0.32268343980168551</v>
      </c>
    </row>
    <row r="36" spans="10:15" s="79" customFormat="1" ht="12">
      <c r="J36" s="86">
        <f t="shared" si="3"/>
        <v>0.62000000000000022</v>
      </c>
      <c r="K36" s="84">
        <f t="shared" ca="1" si="0"/>
        <v>81.220000000000027</v>
      </c>
      <c r="L36" s="87">
        <f t="shared" ca="1" si="1"/>
        <v>6.25E-2</v>
      </c>
      <c r="M36" s="85" t="str">
        <f t="shared" ca="1" si="2"/>
        <v/>
      </c>
      <c r="N36" s="84">
        <f ca="1">LN('Histogram Data'!K36+0.01)-LN(price)</f>
        <v>7.9796523526552754E-2</v>
      </c>
      <c r="O36" s="84">
        <f ca="1">_xlfn.NORM.DIST(N36,0+0.03^3,AVERAGE('Valuation Model'!$K$22:$L$22),FALSE)/scaling</f>
        <v>0.30029756704040056</v>
      </c>
    </row>
    <row r="37" spans="10:15" s="79" customFormat="1" ht="12">
      <c r="J37" s="86">
        <f t="shared" si="3"/>
        <v>0.64000000000000024</v>
      </c>
      <c r="K37" s="84">
        <f t="shared" ca="1" si="0"/>
        <v>83.840000000000032</v>
      </c>
      <c r="L37" s="87" t="str">
        <f t="shared" ca="1" si="1"/>
        <v/>
      </c>
      <c r="M37" s="85" t="str">
        <f t="shared" ca="1" si="2"/>
        <v/>
      </c>
      <c r="N37" s="84">
        <f ca="1">LN('Histogram Data'!K37+0.01)-LN(price)</f>
        <v>0.11154137473290859</v>
      </c>
      <c r="O37" s="84">
        <f ca="1">_xlfn.NORM.DIST(N37,0+0.03^3,AVERAGE('Valuation Model'!$K$22:$L$22),FALSE)/scaling</f>
        <v>0.27034992678694714</v>
      </c>
    </row>
    <row r="38" spans="10:15" s="79" customFormat="1" ht="12">
      <c r="J38" s="86">
        <f t="shared" si="3"/>
        <v>0.66000000000000025</v>
      </c>
      <c r="K38" s="84">
        <f t="shared" ca="1" si="0"/>
        <v>86.460000000000036</v>
      </c>
      <c r="L38" s="87" t="str">
        <f t="shared" ca="1" si="1"/>
        <v/>
      </c>
      <c r="M38" s="85" t="str">
        <f t="shared" ca="1" si="2"/>
        <v/>
      </c>
      <c r="N38" s="84">
        <f ca="1">LN('Histogram Data'!K38+0.01)-LN(price)</f>
        <v>0.14230941943602904</v>
      </c>
      <c r="O38" s="84">
        <f ca="1">_xlfn.NORM.DIST(N38,0+0.03^3,AVERAGE('Valuation Model'!$K$22:$L$22),FALSE)/scaling</f>
        <v>0.23618520419302705</v>
      </c>
    </row>
    <row r="39" spans="10:15" s="79" customFormat="1" ht="12">
      <c r="J39" s="86">
        <f t="shared" si="3"/>
        <v>0.68000000000000027</v>
      </c>
      <c r="K39" s="84">
        <f t="shared" ca="1" si="0"/>
        <v>89.080000000000041</v>
      </c>
      <c r="L39" s="87" t="str">
        <f t="shared" ca="1" si="1"/>
        <v/>
      </c>
      <c r="M39" s="85" t="str">
        <f t="shared" ca="1" si="2"/>
        <v/>
      </c>
      <c r="N39" s="84">
        <f ca="1">LN('Histogram Data'!K39+0.01)-LN(price)</f>
        <v>0.17215898119624296</v>
      </c>
      <c r="O39" s="84">
        <f ca="1">_xlfn.NORM.DIST(N39,0+0.03^3,AVERAGE('Valuation Model'!$K$22:$L$22),FALSE)/scaling</f>
        <v>0.20078681707135856</v>
      </c>
    </row>
    <row r="40" spans="10:15" s="79" customFormat="1" ht="12">
      <c r="J40" s="86">
        <f t="shared" si="3"/>
        <v>0.70000000000000029</v>
      </c>
      <c r="K40" s="84">
        <f t="shared" ca="1" si="0"/>
        <v>91.700000000000031</v>
      </c>
      <c r="L40" s="87" t="str">
        <f t="shared" ca="1" si="1"/>
        <v/>
      </c>
      <c r="M40" s="85" t="str">
        <f t="shared" ca="1" si="2"/>
        <v/>
      </c>
      <c r="N40" s="84">
        <f ca="1">LN('Histogram Data'!K40+0.01)-LN(price)</f>
        <v>0.20114331103454308</v>
      </c>
      <c r="O40" s="84">
        <f ca="1">_xlfn.NORM.DIST(N40,0+0.03^3,AVERAGE('Valuation Model'!$K$22:$L$22),FALSE)/scaling</f>
        <v>0.16651327243857378</v>
      </c>
    </row>
    <row r="41" spans="10:15" s="79" customFormat="1" ht="12">
      <c r="J41" s="86">
        <f t="shared" si="3"/>
        <v>0.72000000000000031</v>
      </c>
      <c r="K41" s="84">
        <f t="shared" ca="1" si="0"/>
        <v>94.320000000000036</v>
      </c>
      <c r="L41" s="87" t="str">
        <f t="shared" ca="1" si="1"/>
        <v/>
      </c>
      <c r="M41" s="85" t="str">
        <f t="shared" ca="1" si="2"/>
        <v/>
      </c>
      <c r="N41" s="84">
        <f ca="1">LN('Histogram Data'!K41+0.01)-LN(price)</f>
        <v>0.22931115912545241</v>
      </c>
      <c r="O41" s="84">
        <f ca="1">_xlfn.NORM.DIST(N41,0+0.03^3,AVERAGE('Valuation Model'!$K$22:$L$22),FALSE)/scaling</f>
        <v>0.13500700461372869</v>
      </c>
    </row>
    <row r="42" spans="10:15" s="79" customFormat="1" ht="12">
      <c r="J42" s="86">
        <f t="shared" si="3"/>
        <v>0.74000000000000032</v>
      </c>
      <c r="K42" s="84">
        <f t="shared" ca="1" si="0"/>
        <v>96.94000000000004</v>
      </c>
      <c r="L42" s="87">
        <f t="shared" ca="1" si="1"/>
        <v>6.25E-2</v>
      </c>
      <c r="M42" s="85" t="str">
        <f t="shared" ca="1" si="2"/>
        <v/>
      </c>
      <c r="N42" s="84">
        <f ca="1">LN('Histogram Data'!K42+0.01)-LN(price)</f>
        <v>0.25670726815235145</v>
      </c>
      <c r="O42" s="84">
        <f ca="1">_xlfn.NORM.DIST(N42,0+0.03^3,AVERAGE('Valuation Model'!$K$22:$L$22),FALSE)/scaling</f>
        <v>0.10723135506558802</v>
      </c>
    </row>
    <row r="43" spans="10:15" s="79" customFormat="1" ht="12">
      <c r="J43" s="86">
        <f t="shared" si="3"/>
        <v>0.76000000000000034</v>
      </c>
      <c r="K43" s="84">
        <f t="shared" ca="1" si="0"/>
        <v>99.560000000000045</v>
      </c>
      <c r="L43" s="87" t="str">
        <f t="shared" ca="1" si="1"/>
        <v/>
      </c>
      <c r="M43" s="85" t="str">
        <f t="shared" ca="1" si="2"/>
        <v/>
      </c>
      <c r="N43" s="84">
        <f ca="1">LN('Histogram Data'!K43+0.01)-LN(price)</f>
        <v>0.28337280086368288</v>
      </c>
      <c r="O43" s="84">
        <f ca="1">_xlfn.NORM.DIST(N43,0+0.03^3,AVERAGE('Valuation Model'!$K$22:$L$22),FALSE)/scaling</f>
        <v>8.3584016898368182E-2</v>
      </c>
    </row>
    <row r="44" spans="10:15" s="79" customFormat="1" ht="12">
      <c r="J44" s="86">
        <f t="shared" si="3"/>
        <v>0.78000000000000036</v>
      </c>
      <c r="K44" s="84">
        <f t="shared" ca="1" si="0"/>
        <v>102.18000000000005</v>
      </c>
      <c r="L44" s="87" t="str">
        <f t="shared" ca="1" si="1"/>
        <v/>
      </c>
      <c r="M44" s="85" t="str">
        <f t="shared" ca="1" si="2"/>
        <v/>
      </c>
      <c r="N44" s="84">
        <f ca="1">LN('Histogram Data'!K44+0.01)-LN(price)</f>
        <v>0.30934571208780781</v>
      </c>
      <c r="O44" s="84">
        <f ca="1">_xlfn.NORM.DIST(N44,0+0.03^3,AVERAGE('Valuation Model'!$K$22:$L$22),FALSE)/scaling</f>
        <v>6.4041645530840477E-2</v>
      </c>
    </row>
    <row r="45" spans="10:15" s="79" customFormat="1" ht="12">
      <c r="J45" s="86">
        <f t="shared" si="3"/>
        <v>0.80000000000000038</v>
      </c>
      <c r="K45" s="84">
        <f t="shared" ca="1" si="0"/>
        <v>104.80000000000005</v>
      </c>
      <c r="L45" s="87" t="str">
        <f t="shared" ca="1" si="1"/>
        <v/>
      </c>
      <c r="M45" s="85" t="str">
        <f t="shared" ca="1" si="2"/>
        <v/>
      </c>
      <c r="N45" s="84">
        <f ca="1">LN('Histogram Data'!K45+0.01)-LN(price)</f>
        <v>0.33466107364577624</v>
      </c>
      <c r="O45" s="84">
        <f ca="1">_xlfn.NORM.DIST(N45,0+0.03^3,AVERAGE('Valuation Model'!$K$22:$L$22),FALSE)/scaling</f>
        <v>4.8303007816018761E-2</v>
      </c>
    </row>
    <row r="46" spans="10:15" s="79" customFormat="1" ht="12">
      <c r="J46" s="86">
        <f t="shared" si="3"/>
        <v>0.8200000000000004</v>
      </c>
      <c r="K46" s="84">
        <f t="shared" ca="1" si="0"/>
        <v>107.42000000000006</v>
      </c>
      <c r="L46" s="87">
        <f t="shared" ca="1" si="1"/>
        <v>6.25E-2</v>
      </c>
      <c r="M46" s="85" t="str">
        <f t="shared" ca="1" si="2"/>
        <v/>
      </c>
      <c r="N46" s="84">
        <f ca="1">LN('Histogram Data'!K46+0.01)-LN(price)</f>
        <v>0.35935135914214111</v>
      </c>
      <c r="O46" s="84">
        <f ca="1">_xlfn.NORM.DIST(N46,0+0.03^3,AVERAGE('Valuation Model'!$K$22:$L$22),FALSE)/scaling</f>
        <v>3.5911489839348235E-2</v>
      </c>
    </row>
    <row r="47" spans="10:15" s="79" customFormat="1" ht="12">
      <c r="J47" s="86">
        <f t="shared" si="3"/>
        <v>0.84000000000000041</v>
      </c>
      <c r="K47" s="84">
        <f t="shared" ca="1" si="0"/>
        <v>110.04000000000005</v>
      </c>
      <c r="L47" s="87">
        <f t="shared" ca="1" si="1"/>
        <v>6.25E-2</v>
      </c>
      <c r="M47" s="85" t="str">
        <f t="shared" ca="1" si="2"/>
        <v/>
      </c>
      <c r="N47" s="84">
        <f ca="1">LN('Histogram Data'!K47+0.01)-LN(price)</f>
        <v>0.3834466944361612</v>
      </c>
      <c r="O47" s="84">
        <f ca="1">_xlfn.NORM.DIST(N47,0+0.03^3,AVERAGE('Valuation Model'!$K$22:$L$22),FALSE)/scaling</f>
        <v>2.6348896048579235E-2</v>
      </c>
    </row>
    <row r="48" spans="10:15" s="79" customFormat="1" ht="12">
      <c r="J48" s="86">
        <f t="shared" si="3"/>
        <v>0.86000000000000043</v>
      </c>
      <c r="K48" s="84">
        <f t="shared" ca="1" si="0"/>
        <v>112.66000000000005</v>
      </c>
      <c r="L48" s="87" t="str">
        <f t="shared" ca="1" si="1"/>
        <v/>
      </c>
      <c r="M48" s="85" t="str">
        <f t="shared" ca="1" si="2"/>
        <v/>
      </c>
      <c r="N48" s="84">
        <f ca="1">LN('Histogram Data'!K48+0.01)-LN(price)</f>
        <v>0.40697507863976501</v>
      </c>
      <c r="O48" s="84">
        <f ca="1">_xlfn.NORM.DIST(N48,0+0.03^3,AVERAGE('Valuation Model'!$K$22:$L$22),FALSE)/scaling</f>
        <v>1.9100126324634516E-2</v>
      </c>
    </row>
    <row r="49" spans="10:15" s="79" customFormat="1" ht="12">
      <c r="J49" s="86">
        <f t="shared" si="3"/>
        <v>0.88000000000000045</v>
      </c>
      <c r="K49" s="84">
        <f t="shared" ca="1" si="0"/>
        <v>115.28000000000006</v>
      </c>
      <c r="L49" s="87" t="str">
        <f t="shared" ca="1" si="1"/>
        <v/>
      </c>
      <c r="M49" s="85" t="str">
        <f t="shared" ca="1" si="2"/>
        <v/>
      </c>
      <c r="N49" s="84">
        <f ca="1">LN('Histogram Data'!K49+0.01)-LN(price)</f>
        <v>0.42996257970855289</v>
      </c>
      <c r="O49" s="84">
        <f ca="1">_xlfn.NORM.DIST(N49,0+0.03^3,AVERAGE('Valuation Model'!$K$22:$L$22),FALSE)/scaling</f>
        <v>1.3692660121982501E-2</v>
      </c>
    </row>
    <row r="50" spans="10:15" s="79" customFormat="1" ht="12">
      <c r="J50" s="86">
        <f t="shared" si="3"/>
        <v>0.90000000000000047</v>
      </c>
      <c r="K50" s="84">
        <f t="shared" ca="1" si="0"/>
        <v>117.90000000000006</v>
      </c>
      <c r="L50" s="87" t="str">
        <f t="shared" ca="1" si="1"/>
        <v/>
      </c>
      <c r="M50" s="85" t="str">
        <f t="shared" ca="1" si="2"/>
        <v/>
      </c>
      <c r="N50" s="84">
        <f ca="1">LN('Histogram Data'!K50+0.01)-LN(price)</f>
        <v>0.45243350805227234</v>
      </c>
      <c r="O50" s="84">
        <f ca="1">_xlfn.NORM.DIST(N50,0+0.03^3,AVERAGE('Valuation Model'!$K$22:$L$22),FALSE)/scaling</f>
        <v>9.7165581619502849E-3</v>
      </c>
    </row>
    <row r="51" spans="10:15" s="79" customFormat="1" ht="12">
      <c r="J51" s="86">
        <f t="shared" si="3"/>
        <v>0.92000000000000048</v>
      </c>
      <c r="K51" s="84">
        <f t="shared" ca="1" si="0"/>
        <v>120.52000000000007</v>
      </c>
      <c r="L51" s="87">
        <f t="shared" ca="1" si="1"/>
        <v>6.25E-2</v>
      </c>
      <c r="M51" s="85" t="str">
        <f t="shared" ca="1" si="2"/>
        <v/>
      </c>
      <c r="N51" s="84">
        <f ca="1">LN('Histogram Data'!K51+0.01)-LN(price)</f>
        <v>0.47441057106394258</v>
      </c>
      <c r="O51" s="84">
        <f ca="1">_xlfn.NORM.DIST(N51,0+0.03^3,AVERAGE('Valuation Model'!$K$22:$L$22),FALSE)/scaling</f>
        <v>6.8307998097817619E-3</v>
      </c>
    </row>
    <row r="52" spans="10:15" s="79" customFormat="1" ht="12">
      <c r="J52" s="86">
        <f t="shared" si="3"/>
        <v>0.9400000000000005</v>
      </c>
      <c r="K52" s="84">
        <f t="shared" ca="1" si="0"/>
        <v>123.14000000000007</v>
      </c>
      <c r="L52" s="87" t="str">
        <f t="shared" ca="1" si="1"/>
        <v/>
      </c>
      <c r="M52" s="85" t="str">
        <f t="shared" ca="1" si="2"/>
        <v/>
      </c>
      <c r="N52" s="84">
        <f ca="1">LN('Histogram Data'!K52+0.01)-LN(price)</f>
        <v>0.49591501103023727</v>
      </c>
      <c r="O52" s="84">
        <f ca="1">_xlfn.NORM.DIST(N52,0+0.03^3,AVERAGE('Valuation Model'!$K$22:$L$22),FALSE)/scaling</f>
        <v>4.760977798339304E-3</v>
      </c>
    </row>
    <row r="53" spans="10:15" s="79" customFormat="1" ht="12">
      <c r="J53" s="86">
        <f t="shared" si="3"/>
        <v>0.96000000000000052</v>
      </c>
      <c r="K53" s="84">
        <f t="shared" ca="1" si="0"/>
        <v>125.76000000000006</v>
      </c>
      <c r="L53" s="87" t="str">
        <f t="shared" ca="1" si="1"/>
        <v/>
      </c>
      <c r="M53" s="85" t="str">
        <f t="shared" ca="1" si="2"/>
        <v/>
      </c>
      <c r="N53" s="84">
        <f ca="1">LN('Histogram Data'!K53+0.01)-LN(price)</f>
        <v>0.51696672852275416</v>
      </c>
      <c r="O53" s="84">
        <f ca="1">_xlfn.NORM.DIST(N53,0+0.03^3,AVERAGE('Valuation Model'!$K$22:$L$22),FALSE)/scaling</f>
        <v>3.2922276275894591E-3</v>
      </c>
    </row>
    <row r="54" spans="10:15" s="79" customFormat="1" ht="12">
      <c r="J54" s="86">
        <f t="shared" si="3"/>
        <v>0.98000000000000054</v>
      </c>
      <c r="K54" s="84">
        <f t="shared" ca="1" si="0"/>
        <v>128.38000000000008</v>
      </c>
      <c r="L54" s="87" t="str">
        <f t="shared" ca="1" si="1"/>
        <v/>
      </c>
      <c r="M54" s="85" t="str">
        <f t="shared" ca="1" si="2"/>
        <v/>
      </c>
      <c r="N54" s="84">
        <f ca="1">LN('Histogram Data'!K54+0.01)-LN(price)</f>
        <v>0.53758439306668304</v>
      </c>
      <c r="O54" s="84">
        <f ca="1">_xlfn.NORM.DIST(N54,0+0.03^3,AVERAGE('Valuation Model'!$K$22:$L$22),FALSE)/scaling</f>
        <v>2.2601200297434516E-3</v>
      </c>
    </row>
    <row r="55" spans="10:15">
      <c r="J55" s="86">
        <f t="shared" si="3"/>
        <v>1.0000000000000004</v>
      </c>
      <c r="K55" s="84">
        <f t="shared" ca="1" si="0"/>
        <v>131.00000000000006</v>
      </c>
      <c r="L55" s="87" t="str">
        <f t="shared" ca="1" si="1"/>
        <v/>
      </c>
      <c r="M55" s="85" t="str">
        <f t="shared" ca="1" si="2"/>
        <v/>
      </c>
      <c r="N55" s="84">
        <f ca="1">LN('Histogram Data'!K55+0.01)-LN(price)</f>
        <v>0.55778554262926949</v>
      </c>
      <c r="O55" s="84">
        <f ca="1">_xlfn.NORM.DIST(N55,0+0.03^3,AVERAGE('Valuation Model'!$K$22:$L$22),FALSE)/scaling</f>
        <v>1.5412658566797753E-3</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2"/>
  <sheetViews>
    <sheetView topLeftCell="A44" workbookViewId="0">
      <selection activeCell="A71" sqref="A71"/>
    </sheetView>
  </sheetViews>
  <sheetFormatPr defaultRowHeight="15"/>
  <cols>
    <col min="1" max="1" width="10.7109375" bestFit="1" customWidth="1"/>
    <col min="3" max="3" width="10.7109375" bestFit="1" customWidth="1"/>
  </cols>
  <sheetData>
    <row r="1" spans="1:3">
      <c r="A1" t="s">
        <v>159</v>
      </c>
      <c r="B1" t="s">
        <v>160</v>
      </c>
    </row>
    <row r="2" spans="1:3">
      <c r="A2" s="130">
        <v>36616</v>
      </c>
      <c r="B2">
        <v>10036.1</v>
      </c>
      <c r="C2" s="130"/>
    </row>
    <row r="3" spans="1:3">
      <c r="A3" s="130">
        <v>36707</v>
      </c>
      <c r="B3">
        <v>10283.700000000001</v>
      </c>
      <c r="C3" s="130"/>
    </row>
    <row r="4" spans="1:3">
      <c r="A4" s="130">
        <v>36799</v>
      </c>
      <c r="B4">
        <v>10363.799999999999</v>
      </c>
      <c r="C4" s="130"/>
    </row>
    <row r="5" spans="1:3">
      <c r="A5" s="130">
        <v>36891</v>
      </c>
      <c r="B5">
        <v>10475.299999999999</v>
      </c>
      <c r="C5" s="130"/>
    </row>
    <row r="6" spans="1:3">
      <c r="A6" s="130">
        <v>36981</v>
      </c>
      <c r="B6">
        <v>10512.5</v>
      </c>
      <c r="C6" s="130"/>
    </row>
    <row r="7" spans="1:3">
      <c r="A7" s="130">
        <v>37072</v>
      </c>
      <c r="B7">
        <v>10641.6</v>
      </c>
      <c r="C7" s="130"/>
    </row>
    <row r="8" spans="1:3">
      <c r="A8" s="130">
        <v>37164</v>
      </c>
      <c r="B8">
        <v>10644.3</v>
      </c>
      <c r="C8" s="130"/>
    </row>
    <row r="9" spans="1:3">
      <c r="A9" s="130">
        <v>37256</v>
      </c>
      <c r="B9">
        <v>10702.7</v>
      </c>
      <c r="C9" s="130"/>
    </row>
    <row r="10" spans="1:3">
      <c r="A10" s="130">
        <v>37346</v>
      </c>
      <c r="B10">
        <v>10837.3</v>
      </c>
      <c r="C10" s="130"/>
    </row>
    <row r="11" spans="1:3">
      <c r="A11" s="130">
        <v>37437</v>
      </c>
      <c r="B11">
        <v>10938</v>
      </c>
      <c r="C11" s="130"/>
    </row>
    <row r="12" spans="1:3">
      <c r="A12" s="130">
        <v>37529</v>
      </c>
      <c r="B12">
        <v>11039.8</v>
      </c>
      <c r="C12" s="130"/>
    </row>
    <row r="13" spans="1:3">
      <c r="A13" s="130">
        <v>37621</v>
      </c>
      <c r="B13">
        <v>11105.7</v>
      </c>
      <c r="C13" s="130"/>
    </row>
    <row r="14" spans="1:3">
      <c r="A14" s="130">
        <v>37711</v>
      </c>
      <c r="B14">
        <v>11230.8</v>
      </c>
      <c r="C14" s="130"/>
    </row>
    <row r="15" spans="1:3">
      <c r="A15" s="130">
        <v>37802</v>
      </c>
      <c r="B15">
        <v>11371.4</v>
      </c>
      <c r="C15" s="130"/>
    </row>
    <row r="16" spans="1:3">
      <c r="A16" s="130">
        <v>37894</v>
      </c>
      <c r="B16">
        <v>11628.4</v>
      </c>
      <c r="C16" s="130"/>
    </row>
    <row r="17" spans="1:3">
      <c r="A17" s="130">
        <v>37986</v>
      </c>
      <c r="B17">
        <v>11818.5</v>
      </c>
      <c r="C17" s="130"/>
    </row>
    <row r="18" spans="1:3">
      <c r="A18" s="130">
        <v>38077</v>
      </c>
      <c r="B18">
        <v>11991.4</v>
      </c>
      <c r="C18" s="130"/>
    </row>
    <row r="19" spans="1:3">
      <c r="A19" s="130">
        <v>38168</v>
      </c>
      <c r="B19">
        <v>12183.5</v>
      </c>
      <c r="C19" s="130"/>
    </row>
    <row r="20" spans="1:3">
      <c r="A20" s="130">
        <v>38260</v>
      </c>
      <c r="B20">
        <v>12369.4</v>
      </c>
      <c r="C20" s="130"/>
    </row>
    <row r="21" spans="1:3">
      <c r="A21" s="130">
        <v>38352</v>
      </c>
      <c r="B21">
        <v>12563.8</v>
      </c>
      <c r="C21" s="130"/>
    </row>
    <row r="22" spans="1:3">
      <c r="A22" s="130">
        <v>38442</v>
      </c>
      <c r="B22">
        <v>12816.2</v>
      </c>
      <c r="C22" s="130"/>
    </row>
    <row r="23" spans="1:3">
      <c r="A23" s="130">
        <v>38533</v>
      </c>
      <c r="B23">
        <v>12975.7</v>
      </c>
      <c r="C23" s="130"/>
    </row>
    <row r="24" spans="1:3">
      <c r="A24" s="130">
        <v>38625</v>
      </c>
      <c r="B24">
        <v>13206.5</v>
      </c>
      <c r="C24" s="130"/>
    </row>
    <row r="25" spans="1:3">
      <c r="A25" s="130">
        <v>38717</v>
      </c>
      <c r="B25">
        <v>13383.3</v>
      </c>
      <c r="C25" s="130"/>
    </row>
    <row r="26" spans="1:3">
      <c r="A26" s="130">
        <v>38807</v>
      </c>
      <c r="B26">
        <v>13649.8</v>
      </c>
      <c r="C26" s="130"/>
    </row>
    <row r="27" spans="1:3">
      <c r="A27" s="130">
        <v>38898</v>
      </c>
      <c r="B27">
        <v>13802.9</v>
      </c>
      <c r="C27" s="130"/>
    </row>
    <row r="28" spans="1:3">
      <c r="A28" s="130">
        <v>38990</v>
      </c>
      <c r="B28">
        <v>13910.5</v>
      </c>
      <c r="C28" s="130"/>
    </row>
    <row r="29" spans="1:3">
      <c r="A29" s="130">
        <v>39082</v>
      </c>
      <c r="B29">
        <v>14068.4</v>
      </c>
    </row>
    <row r="30" spans="1:3">
      <c r="A30" s="130">
        <v>39172</v>
      </c>
      <c r="B30">
        <v>14235</v>
      </c>
    </row>
    <row r="31" spans="1:3">
      <c r="A31" s="130">
        <v>39263</v>
      </c>
      <c r="B31">
        <v>14424.5</v>
      </c>
    </row>
    <row r="32" spans="1:3">
      <c r="A32" s="130">
        <v>39355</v>
      </c>
      <c r="B32">
        <v>14571.9</v>
      </c>
    </row>
    <row r="33" spans="1:2">
      <c r="A33" s="130">
        <v>39447</v>
      </c>
      <c r="B33">
        <v>14690</v>
      </c>
    </row>
    <row r="34" spans="1:2">
      <c r="A34" s="130">
        <v>39538</v>
      </c>
      <c r="B34">
        <v>14672.9</v>
      </c>
    </row>
    <row r="35" spans="1:2">
      <c r="A35" s="130">
        <v>39629</v>
      </c>
      <c r="B35">
        <v>14813</v>
      </c>
    </row>
    <row r="36" spans="1:2">
      <c r="A36" s="130">
        <v>39721</v>
      </c>
      <c r="B36">
        <v>14843</v>
      </c>
    </row>
    <row r="37" spans="1:2">
      <c r="A37" s="130">
        <v>39813</v>
      </c>
      <c r="B37">
        <v>14549.9</v>
      </c>
    </row>
    <row r="38" spans="1:2">
      <c r="A38" s="130">
        <v>39903</v>
      </c>
      <c r="B38">
        <v>14383.9</v>
      </c>
    </row>
    <row r="39" spans="1:2">
      <c r="A39" s="130">
        <v>39994</v>
      </c>
      <c r="B39">
        <v>14340.4</v>
      </c>
    </row>
    <row r="40" spans="1:2">
      <c r="A40" s="130">
        <v>40086</v>
      </c>
      <c r="B40">
        <v>14384.1</v>
      </c>
    </row>
    <row r="41" spans="1:2">
      <c r="A41" s="130">
        <v>40178</v>
      </c>
      <c r="B41">
        <v>14566.5</v>
      </c>
    </row>
    <row r="42" spans="1:2">
      <c r="A42" s="130">
        <v>40268</v>
      </c>
      <c r="B42">
        <v>14681.1</v>
      </c>
    </row>
    <row r="43" spans="1:2">
      <c r="A43" s="130">
        <v>40359</v>
      </c>
      <c r="B43">
        <v>14888.6</v>
      </c>
    </row>
    <row r="44" spans="1:2">
      <c r="A44" s="130">
        <v>40451</v>
      </c>
      <c r="B44">
        <v>15057.7</v>
      </c>
    </row>
    <row r="45" spans="1:2">
      <c r="A45" s="130">
        <v>40543</v>
      </c>
      <c r="B45">
        <v>15230.2</v>
      </c>
    </row>
    <row r="46" spans="1:2">
      <c r="A46" s="130">
        <v>40633</v>
      </c>
      <c r="B46">
        <v>15238.4</v>
      </c>
    </row>
    <row r="47" spans="1:2">
      <c r="A47" s="130">
        <v>40724</v>
      </c>
      <c r="B47">
        <v>15460.9</v>
      </c>
    </row>
    <row r="48" spans="1:2">
      <c r="A48" s="130">
        <v>40816</v>
      </c>
      <c r="B48">
        <v>15587.1</v>
      </c>
    </row>
    <row r="49" spans="1:5">
      <c r="A49" s="130">
        <v>40908</v>
      </c>
      <c r="B49">
        <v>15785.3</v>
      </c>
    </row>
    <row r="50" spans="1:5">
      <c r="A50" s="130">
        <v>40999</v>
      </c>
      <c r="B50">
        <v>15956.5</v>
      </c>
    </row>
    <row r="51" spans="1:5">
      <c r="A51" s="130">
        <v>41090</v>
      </c>
      <c r="B51">
        <v>16094.7</v>
      </c>
    </row>
    <row r="52" spans="1:5">
      <c r="A52" s="130">
        <v>41182</v>
      </c>
      <c r="B52">
        <v>16268.9</v>
      </c>
    </row>
    <row r="53" spans="1:5">
      <c r="A53" s="130">
        <v>41274</v>
      </c>
      <c r="B53">
        <v>16332.5</v>
      </c>
    </row>
    <row r="54" spans="1:5">
      <c r="A54" s="130">
        <v>41364</v>
      </c>
      <c r="B54">
        <v>16502.400000000001</v>
      </c>
    </row>
    <row r="55" spans="1:5">
      <c r="A55" s="130">
        <v>41455</v>
      </c>
      <c r="B55">
        <v>16619.2</v>
      </c>
    </row>
    <row r="56" spans="1:5">
      <c r="A56" s="130">
        <v>41547</v>
      </c>
      <c r="B56">
        <v>16872.3</v>
      </c>
    </row>
    <row r="57" spans="1:5">
      <c r="A57" s="130">
        <v>41639</v>
      </c>
      <c r="B57">
        <v>17078.3</v>
      </c>
    </row>
    <row r="58" spans="1:5">
      <c r="A58" s="130">
        <v>41729</v>
      </c>
      <c r="B58">
        <v>17044</v>
      </c>
    </row>
    <row r="59" spans="1:5">
      <c r="A59" s="130">
        <v>41820</v>
      </c>
      <c r="B59">
        <v>17328.2</v>
      </c>
    </row>
    <row r="60" spans="1:5">
      <c r="A60" s="130">
        <v>41912</v>
      </c>
      <c r="B60">
        <v>17599.8</v>
      </c>
    </row>
    <row r="61" spans="1:5">
      <c r="A61" s="130">
        <v>42004</v>
      </c>
      <c r="B61">
        <v>17703.7</v>
      </c>
    </row>
    <row r="62" spans="1:5">
      <c r="A62" s="130">
        <v>42094</v>
      </c>
      <c r="B62">
        <v>17665</v>
      </c>
      <c r="E62" s="130"/>
    </row>
    <row r="63" spans="1:5">
      <c r="A63" s="130">
        <v>42185</v>
      </c>
      <c r="B63">
        <v>17913.7</v>
      </c>
      <c r="E63" s="130"/>
    </row>
    <row r="64" spans="1:5">
      <c r="A64" s="130">
        <v>42277</v>
      </c>
      <c r="B64">
        <v>18060.2</v>
      </c>
    </row>
    <row r="65" spans="1:2">
      <c r="A65" s="130">
        <v>42369</v>
      </c>
      <c r="B65">
        <v>18164.8</v>
      </c>
    </row>
    <row r="66" spans="1:2">
      <c r="A66" s="130">
        <v>42460</v>
      </c>
      <c r="B66">
        <v>18229.5</v>
      </c>
    </row>
    <row r="67" spans="1:2">
      <c r="A67" s="130">
        <v>42551</v>
      </c>
      <c r="B67">
        <v>18450.099999999999</v>
      </c>
    </row>
    <row r="68" spans="1:2">
      <c r="A68" s="130">
        <v>42643</v>
      </c>
      <c r="B68">
        <v>18651.2</v>
      </c>
    </row>
    <row r="69" spans="1:2">
      <c r="A69" s="130">
        <v>42735</v>
      </c>
      <c r="B69">
        <v>18869.400000000001</v>
      </c>
    </row>
    <row r="70" spans="1:2">
      <c r="A70" s="130">
        <v>42825</v>
      </c>
      <c r="B70">
        <v>19007.3</v>
      </c>
    </row>
    <row r="71" spans="1:2">
      <c r="A71" s="130"/>
    </row>
    <row r="72" spans="1:2">
      <c r="A72" s="13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showGridLines="0" workbookViewId="0"/>
  </sheetViews>
  <sheetFormatPr defaultRowHeight="1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8</vt:i4>
      </vt:variant>
      <vt:variant>
        <vt:lpstr>Charts</vt:lpstr>
      </vt:variant>
      <vt:variant>
        <vt:i4>8</vt:i4>
      </vt:variant>
      <vt:variant>
        <vt:lpstr>Named Ranges</vt:lpstr>
      </vt:variant>
      <vt:variant>
        <vt:i4>44</vt:i4>
      </vt:variant>
    </vt:vector>
  </HeadingPairs>
  <TitlesOfParts>
    <vt:vector size="60" baseType="lpstr">
      <vt:lpstr>Valuation Model</vt:lpstr>
      <vt:lpstr>Company Analysis</vt:lpstr>
      <vt:lpstr>Funding</vt:lpstr>
      <vt:lpstr>Shares Out</vt:lpstr>
      <vt:lpstr>Graphing Data</vt:lpstr>
      <vt:lpstr>Histogram Data</vt:lpstr>
      <vt:lpstr>GDP Data</vt:lpstr>
      <vt:lpstr>Disclaimer</vt:lpstr>
      <vt:lpstr>Funding Chart</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2017-09-04T15:04:43Z</dcterms:modified>
</cp:coreProperties>
</file>