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CORR - CorEnergy/"/>
    </mc:Choice>
  </mc:AlternateContent>
  <xr:revisionPtr revIDLastSave="106" documentId="047B3D14FD27574DE173E20D1B981F83EE6CB00C" xr6:coauthVersionLast="21" xr6:coauthVersionMax="21" xr10:uidLastSave="{36172712-45B8-4C46-9061-1815A06F805C}"/>
  <bookViews>
    <workbookView xWindow="480" yWindow="0" windowWidth="18690" windowHeight="15" tabRatio="825" activeTab="1" xr2:uid="{00000000-000D-0000-FFFF-FFFF00000000}"/>
  </bookViews>
  <sheets>
    <sheet name="Valuation Model" sheetId="1" r:id="rId1"/>
    <sheet name="Company Analysis" sheetId="19" r:id="rId2"/>
    <sheet name="CORR_OpData" sheetId="36" r:id="rId3"/>
    <sheet name="Graphing Data" sheetId="21" r:id="rId4"/>
    <sheet name="Revenue Chart" sheetId="22" r:id="rId5"/>
    <sheet name="Profit Chart" sheetId="23" r:id="rId6"/>
    <sheet name="ECF to OCP Chart" sheetId="25" r:id="rId7"/>
    <sheet name="ECF Breakdown Chart" sheetId="26" r:id="rId8"/>
    <sheet name="FCFO Chart" sheetId="27" r:id="rId9"/>
    <sheet name="Investment Efficacy Chart" sheetId="28" r:id="rId10"/>
    <sheet name="Valuation Histogram" sheetId="16" r:id="rId11"/>
    <sheet name="Histogram Data" sheetId="17" r:id="rId12"/>
    <sheet name="GDP Data" sheetId="20" r:id="rId13"/>
    <sheet name="Disclaimer" sheetId="18" r:id="rId14"/>
    <sheet name="PSW_Sheet" sheetId="11" state="veryHidden" r:id="rId15"/>
    <sheet name="_SSC" sheetId="12" state="veryHidden" r:id="rId16"/>
    <sheet name="_Options" sheetId="13" state="very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Ctrl_1" hidden="1">'Valuation Model'!$L$13</definedName>
    <definedName name="_Ctrl_10" localSheetId="2" hidden="1">'[1]Valuation Model'!#REF!</definedName>
    <definedName name="_Ctrl_10" hidden="1">'Valuation Model'!#REF!</definedName>
    <definedName name="_Ctrl_11" localSheetId="2" hidden="1">'[1]Valuation Model'!#REF!</definedName>
    <definedName name="_Ctrl_11" hidden="1">'Valuation Model'!#REF!</definedName>
    <definedName name="_Ctrl_2" hidden="1">'Valuation Model'!$L$14</definedName>
    <definedName name="_Ctrl_3" hidden="1">'Valuation Model'!$L$15</definedName>
    <definedName name="_Ctrl_4" localSheetId="2" hidden="1">'[1]Valuation Model'!#REF!</definedName>
    <definedName name="_Ctrl_4" hidden="1">'Valuation Model'!#REF!</definedName>
    <definedName name="_Ctrl_5" localSheetId="2" hidden="1">'[1]Valuation Model'!#REF!</definedName>
    <definedName name="_Ctrl_5" hidden="1">'Valuation Model'!#REF!</definedName>
    <definedName name="_Ctrl_6" localSheetId="2" hidden="1">'[1]Valuation Model'!#REF!</definedName>
    <definedName name="_Ctrl_6" hidden="1">'Valuation Model'!#REF!</definedName>
    <definedName name="_Ctrl_7" localSheetId="2" hidden="1">'[1]Valuation Model'!#REF!</definedName>
    <definedName name="_Ctrl_7" hidden="1">'Valuation Model'!#REF!</definedName>
    <definedName name="_Ctrl_8" localSheetId="2" hidden="1">'[1]Valuation Model'!#REF!</definedName>
    <definedName name="_Ctrl_8" hidden="1">'Valuation Model'!#REF!</definedName>
    <definedName name="_Ctrl_9" localSheetId="2" hidden="1">'[1]Valuation Model'!#REF!</definedName>
    <definedName name="_Ctrl_9" hidden="1">'Valuation Model'!#REF!</definedName>
    <definedName name="_Fill" hidden="1">#REF!</definedName>
    <definedName name="_xlnm._FilterDatabase" localSheetId="11" hidden="1">'Histogram Data'!$B$4:$L$54</definedName>
    <definedName name="_inputcolorcell" localSheetId="2" hidden="1">'[1]Company Analysis'!#REF!</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 localSheetId="2">[1]_Options!$C$1:$C$2</definedName>
    <definedName name="_options3">_Options!$C$1:$C$2</definedName>
    <definedName name="_options4" localSheetId="2">[1]_Options!$D$1:$D$2</definedName>
    <definedName name="_options4">_Options!$D$1:$D$2</definedName>
    <definedName name="_options5" localSheetId="2">[1]_Options!$E$1:$E$2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[2]Assumptions!$V$2</definedName>
    <definedName name="AbnormalMultiple">'[2]Valuation Overview'!$J$15</definedName>
    <definedName name="AnalysisDate">'[2]Valuation Overview'!$D$8</definedName>
    <definedName name="ar_AutoRefresh">[3]arConfig_StkPrice!$B$5</definedName>
    <definedName name="ar_enabled">[3]arConfig_StkPrice!$B$3</definedName>
    <definedName name="BestCase">'Valuation Model'!$I$20</definedName>
    <definedName name="BoundLower">'[2]Valuation Overview'!$N$28</definedName>
    <definedName name="BoundUpper">'[2]Valuation Overview'!$N$27</definedName>
    <definedName name="bsEffectPerShare">[4]Model!$C$17</definedName>
    <definedName name="DCFExplicit">[2]Assumptions!$V$102:$Z$102</definedName>
    <definedName name="DCFLastAbnormal">[2]Assumptions!$Z$185</definedName>
    <definedName name="DCFLastExplicit">[2]Assumptions!$Z$102</definedName>
    <definedName name="DiscountRate">'[2]Valuation Overview'!$D$12</definedName>
    <definedName name="DivYield">'[2]Valuation Overview'!$D$14</definedName>
    <definedName name="exp_best">[5]Control!$L$6</definedName>
    <definedName name="exp_likely">[5]Control!$J$6</definedName>
    <definedName name="exp_worst">[5]Control!$K$6</definedName>
    <definedName name="ExplicitYears">'[2]Valuation Overview'!$D$6</definedName>
    <definedName name="FairValue">'[2]Valuation Overview'!$O$10</definedName>
    <definedName name="GrowthRateAbnormal">'[2]Valuation Overview'!$J$13</definedName>
    <definedName name="GrowthYears">'[2]Valuation Overview'!$J$12</definedName>
    <definedName name="Inflation">'[2]Valuation Overview'!$D$15</definedName>
    <definedName name="iVol">'[2]Valuation Overview'!$D$24</definedName>
    <definedName name="iVol2">'[2]Valuation Overview'!$D$25</definedName>
    <definedName name="LikelyCase">[4]Model!$K$22</definedName>
    <definedName name="med_best">[5]Control!$L$7</definedName>
    <definedName name="med_likely">[5]Control!$J$7</definedName>
    <definedName name="med_worst">[5]Control!$K$7</definedName>
    <definedName name="NetDrift">'[2]Valuation Overview'!$D$19</definedName>
    <definedName name="ocp_best">[5]Control!$L$5</definedName>
    <definedName name="ocp_likely">[5]Control!$J$5</definedName>
    <definedName name="ocp_worst">[5]Control!$K$5</definedName>
    <definedName name="OptionChain">'[2]Security Pricing Data'!$F$3:$I$17</definedName>
    <definedName name="OutstandingShares">'[2]Valuation Overview'!$D$17</definedName>
    <definedName name="PerpetualMultiple">'[2]Valuation Overview'!$J$22</definedName>
    <definedName name="price" localSheetId="2">'[1]Valuation Model'!$G$2</definedName>
    <definedName name="price">'Valuation Model'!$G$2</definedName>
    <definedName name="ProfitScenario">[2]Assumptions!$BP$6</definedName>
    <definedName name="ProjectionY1">'[2]Valuation Overview'!$D$7</definedName>
    <definedName name="PSRatioData">[6]Data!$Q$2:$Q$2516</definedName>
    <definedName name="PSRHigh">'Valuation Model'!$P$21</definedName>
    <definedName name="PSRLow">'Valuation Model'!$P$22</definedName>
    <definedName name="rev_best">[5]Control!$L$4</definedName>
    <definedName name="rev_likely">[5]Control!$J$4</definedName>
    <definedName name="rev_worst">[5]Control!$K$4</definedName>
    <definedName name="RevScenario">[2]Assumptions!$BP$4</definedName>
    <definedName name="RiskFree">'[2]Valuation Overview'!$D$13</definedName>
    <definedName name="scaling" localSheetId="2">'[1]Histogram Data'!$E$1</definedName>
    <definedName name="scaling">'Histogram Data'!$E$1</definedName>
    <definedName name="Scenario1" localSheetId="2">'[1]Valuation Model'!$G$67</definedName>
    <definedName name="Scenario1">'Valuation Model'!$G$67</definedName>
    <definedName name="Scenario2" localSheetId="2">'[1]Valuation Model'!$G$78</definedName>
    <definedName name="Scenario2">'Valuation Model'!$G$78</definedName>
    <definedName name="Scenario3" localSheetId="2">'[1]Valuation Model'!$G$89</definedName>
    <definedName name="Scenario3">'Valuation Model'!$G$89</definedName>
    <definedName name="Scenario4" localSheetId="2">'[1]Valuation Model'!$G$100</definedName>
    <definedName name="Scenario4">'Valuation Model'!$G$100</definedName>
    <definedName name="Scenario5" localSheetId="2">'[1]Valuation Model'!$G$111</definedName>
    <definedName name="Scenario5">'Valuation Model'!$G$111</definedName>
    <definedName name="Scenario6" localSheetId="2">'[1]Valuation Model'!$G$122</definedName>
    <definedName name="Scenario6">'Valuation Model'!$G$122</definedName>
    <definedName name="Scenario7" localSheetId="2">'[1]Valuation Model'!$G$133</definedName>
    <definedName name="Scenario7">'Valuation Model'!$G$133</definedName>
    <definedName name="Scenario8" localSheetId="2">'[1]Valuation Model'!$G$144</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[5]Control!$L$8</definedName>
    <definedName name="StockPriceData">[6]Data!$K$2:$K$2516</definedName>
    <definedName name="TerminalDayCount">[2]Assumptions!$Z$184</definedName>
    <definedName name="TerminalMethod">'[2]Valuation Overview'!$D$11</definedName>
    <definedName name="ticker" localSheetId="2">'[1]Valuation Model'!$B$2</definedName>
    <definedName name="ticker">'Valuation Model'!$B$2</definedName>
    <definedName name="ValuationMethod">'[2]Valuation Overview'!$D$11</definedName>
    <definedName name="value1">[7]Model!$J$9</definedName>
    <definedName name="value2">[7]Model!$J$10</definedName>
    <definedName name="value3">[7]Model!$J$11</definedName>
    <definedName name="value4">[7]Model!$J$12</definedName>
    <definedName name="value5">[7]Model!$J$13</definedName>
    <definedName name="value6">[7]Model!$J$14</definedName>
    <definedName name="value7">[7]Model!$J$15</definedName>
    <definedName name="value8">[7]Model!$J$16</definedName>
    <definedName name="WorstCase" localSheetId="2">'[1]Valuation Model'!#REF!</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O30" i="36" l="1"/>
  <c r="O31" i="36"/>
  <c r="O32" i="36"/>
  <c r="O29" i="36"/>
  <c r="R24" i="36"/>
  <c r="R25" i="36"/>
  <c r="R26" i="36"/>
  <c r="R23" i="36"/>
  <c r="V24" i="36"/>
  <c r="V25" i="36"/>
  <c r="V26" i="36"/>
  <c r="V23" i="36"/>
  <c r="X24" i="36"/>
  <c r="X25" i="36"/>
  <c r="X26" i="36"/>
  <c r="X23" i="36"/>
  <c r="U24" i="36"/>
  <c r="U25" i="36"/>
  <c r="U26" i="36"/>
  <c r="U23" i="36"/>
  <c r="I18" i="19" l="1"/>
  <c r="J18" i="19"/>
  <c r="K18" i="19"/>
  <c r="H18" i="19"/>
  <c r="P26" i="36"/>
  <c r="O24" i="36"/>
  <c r="P24" i="36" s="1"/>
  <c r="O25" i="36"/>
  <c r="P25" i="36" s="1"/>
  <c r="O26" i="36"/>
  <c r="O23" i="36"/>
  <c r="P23" i="36" s="1"/>
  <c r="N24" i="36"/>
  <c r="N25" i="36"/>
  <c r="N26" i="36"/>
  <c r="N23" i="36"/>
  <c r="M24" i="36"/>
  <c r="M25" i="36"/>
  <c r="M26" i="36"/>
  <c r="M23" i="36"/>
  <c r="I26" i="36"/>
  <c r="I25" i="36"/>
  <c r="I24" i="36"/>
  <c r="I23" i="36"/>
  <c r="I22" i="36"/>
  <c r="I21" i="36"/>
  <c r="E19" i="19" l="1"/>
  <c r="K19" i="19"/>
  <c r="G19" i="19"/>
  <c r="B11" i="19"/>
  <c r="C11" i="19"/>
  <c r="D11" i="19"/>
  <c r="D12" i="19" s="1"/>
  <c r="E11" i="19"/>
  <c r="E12" i="19" s="1"/>
  <c r="F11" i="19"/>
  <c r="F13" i="19" s="1"/>
  <c r="G11" i="19"/>
  <c r="H11" i="19"/>
  <c r="H12" i="19" s="1"/>
  <c r="I11" i="19"/>
  <c r="I12" i="19" s="1"/>
  <c r="J11" i="19"/>
  <c r="K11" i="19"/>
  <c r="B12" i="19"/>
  <c r="F12" i="19"/>
  <c r="G12" i="19"/>
  <c r="B19" i="19"/>
  <c r="C19" i="19"/>
  <c r="D19" i="19"/>
  <c r="F19" i="19"/>
  <c r="H19" i="19"/>
  <c r="I19" i="19"/>
  <c r="J19" i="19"/>
  <c r="K14" i="19" l="1"/>
  <c r="G13" i="19"/>
  <c r="C13" i="19"/>
  <c r="J13" i="19"/>
  <c r="J12" i="19"/>
  <c r="K13" i="19"/>
  <c r="J15" i="19"/>
  <c r="K12" i="19"/>
  <c r="C12" i="19"/>
  <c r="G14" i="19"/>
  <c r="I15" i="19"/>
  <c r="J14" i="19"/>
  <c r="F14" i="19"/>
  <c r="I13" i="19"/>
  <c r="E13" i="19"/>
  <c r="H15" i="19"/>
  <c r="I14" i="19"/>
  <c r="E14" i="19"/>
  <c r="H13" i="19"/>
  <c r="D13" i="19"/>
  <c r="K15" i="19"/>
  <c r="G15" i="19"/>
  <c r="H14"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D2" i="19"/>
  <c r="E2" i="19"/>
  <c r="F2" i="19"/>
  <c r="G2" i="19"/>
  <c r="H2" i="19"/>
  <c r="I2" i="19"/>
  <c r="J2" i="19"/>
  <c r="K2" i="19"/>
  <c r="B2" i="19"/>
  <c r="G1" i="21" l="1"/>
  <c r="G17" i="19"/>
  <c r="J1" i="21"/>
  <c r="J17" i="19"/>
  <c r="F1" i="21"/>
  <c r="F17" i="19"/>
  <c r="C1" i="21"/>
  <c r="C17" i="19"/>
  <c r="I1" i="21"/>
  <c r="I17" i="19"/>
  <c r="E1" i="21"/>
  <c r="E17" i="19"/>
  <c r="K1" i="21"/>
  <c r="K17" i="19"/>
  <c r="B1" i="21"/>
  <c r="B17" i="19"/>
  <c r="H1" i="21"/>
  <c r="H17" i="19"/>
  <c r="D1" i="21"/>
  <c r="D17" i="19"/>
  <c r="M4" i="2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8" i="19"/>
  <c r="I8" i="19"/>
  <c r="G8" i="19"/>
  <c r="E8" i="19"/>
  <c r="C8" i="19"/>
  <c r="K6" i="19"/>
  <c r="J6" i="19"/>
  <c r="I6" i="19"/>
  <c r="H6" i="19"/>
  <c r="G6" i="19"/>
  <c r="K5" i="19"/>
  <c r="J5" i="19"/>
  <c r="I5" i="19"/>
  <c r="H5" i="19"/>
  <c r="G5" i="19"/>
  <c r="F5" i="19"/>
  <c r="E5" i="19"/>
  <c r="K4" i="19"/>
  <c r="J4" i="19"/>
  <c r="I4" i="19"/>
  <c r="H4" i="19"/>
  <c r="G4" i="19"/>
  <c r="F4" i="19"/>
  <c r="E4" i="19"/>
  <c r="D4" i="19"/>
  <c r="C4" i="19"/>
  <c r="J38" i="19"/>
  <c r="J39" i="19" s="1"/>
  <c r="I31" i="19"/>
  <c r="H31" i="19"/>
  <c r="F38" i="19"/>
  <c r="F39" i="19" s="1"/>
  <c r="E31" i="19"/>
  <c r="D31" i="19"/>
  <c r="B38" i="19"/>
  <c r="B39" i="19" s="1"/>
  <c r="C10" i="21" l="1"/>
  <c r="C38" i="21" s="1"/>
  <c r="G10" i="21"/>
  <c r="G38" i="21" s="1"/>
  <c r="K10" i="21"/>
  <c r="K38" i="21" s="1"/>
  <c r="D10" i="21"/>
  <c r="D38" i="21" s="1"/>
  <c r="H10" i="21"/>
  <c r="H38" i="21" s="1"/>
  <c r="B28" i="19"/>
  <c r="F28" i="19"/>
  <c r="F19" i="21" s="1"/>
  <c r="J28" i="19"/>
  <c r="C28" i="19"/>
  <c r="K28" i="19"/>
  <c r="G28" i="19"/>
  <c r="D22" i="21"/>
  <c r="D28" i="19"/>
  <c r="H22" i="21"/>
  <c r="H28" i="19"/>
  <c r="E22" i="21"/>
  <c r="E28" i="19"/>
  <c r="I22" i="21"/>
  <c r="I28" i="19"/>
  <c r="M12" i="21"/>
  <c r="M32" i="21" s="1"/>
  <c r="O4" i="21"/>
  <c r="N12" i="21"/>
  <c r="N32" i="21" s="1"/>
  <c r="O3" i="21"/>
  <c r="N11" i="21"/>
  <c r="N31" i="21" s="1"/>
  <c r="L29" i="21"/>
  <c r="L9" i="21"/>
  <c r="M1" i="21"/>
  <c r="C40" i="19"/>
  <c r="B22" i="21"/>
  <c r="F22" i="21"/>
  <c r="J22" i="21"/>
  <c r="C13" i="21"/>
  <c r="C18" i="21"/>
  <c r="C22" i="21"/>
  <c r="G22" i="21"/>
  <c r="K22" i="21"/>
  <c r="H13" i="21"/>
  <c r="I45" i="19"/>
  <c r="E10" i="21"/>
  <c r="E38" i="21" s="1"/>
  <c r="I41" i="19"/>
  <c r="I10" i="21"/>
  <c r="I38" i="21" s="1"/>
  <c r="B10" i="21"/>
  <c r="B38" i="21" s="1"/>
  <c r="B39" i="21" s="1"/>
  <c r="F10" i="21"/>
  <c r="F38" i="21" s="1"/>
  <c r="J10" i="21"/>
  <c r="J38" i="21" s="1"/>
  <c r="F43" i="19"/>
  <c r="J43" i="19"/>
  <c r="K40" i="19"/>
  <c r="G40" i="19"/>
  <c r="F41" i="19"/>
  <c r="J45" i="19"/>
  <c r="D8" i="19"/>
  <c r="H8" i="19"/>
  <c r="C41" i="19"/>
  <c r="G41" i="19"/>
  <c r="K41" i="19"/>
  <c r="H43" i="19"/>
  <c r="G45" i="19"/>
  <c r="K45" i="19"/>
  <c r="C31" i="19"/>
  <c r="G31" i="19"/>
  <c r="K31" i="19"/>
  <c r="D38" i="19"/>
  <c r="D39" i="19" s="1"/>
  <c r="D40" i="19" s="1"/>
  <c r="H38" i="19"/>
  <c r="H39" i="19" s="1"/>
  <c r="E43" i="19"/>
  <c r="I43" i="19"/>
  <c r="H45" i="19"/>
  <c r="E38" i="19"/>
  <c r="E39" i="19" s="1"/>
  <c r="I38" i="19"/>
  <c r="I39" i="19" s="1"/>
  <c r="J40" i="19" s="1"/>
  <c r="J41" i="19"/>
  <c r="G43" i="19"/>
  <c r="K43" i="19"/>
  <c r="B31" i="19"/>
  <c r="F31" i="19"/>
  <c r="J31" i="19"/>
  <c r="D41" i="19"/>
  <c r="H41" i="19"/>
  <c r="B8" i="19"/>
  <c r="F8" i="19"/>
  <c r="J8" i="19"/>
  <c r="E41" i="19"/>
  <c r="H9" i="17"/>
  <c r="H11" i="17"/>
  <c r="H6" i="17"/>
  <c r="G6" i="17"/>
  <c r="G9" i="17"/>
  <c r="G11" i="17"/>
  <c r="G7" i="17"/>
  <c r="G8" i="17"/>
  <c r="G10" i="17"/>
  <c r="G12" i="17"/>
  <c r="G5" i="17"/>
  <c r="H5" i="17"/>
  <c r="C2" i="1"/>
  <c r="H7" i="17"/>
  <c r="H10" i="17"/>
  <c r="H8" i="17"/>
  <c r="H12" i="17"/>
  <c r="J7" i="17"/>
  <c r="K18" i="21" l="1"/>
  <c r="H18" i="21"/>
  <c r="K13" i="21"/>
  <c r="K15" i="21" s="1"/>
  <c r="D18" i="21"/>
  <c r="G13" i="21"/>
  <c r="J19" i="21"/>
  <c r="K19" i="21"/>
  <c r="B32" i="19"/>
  <c r="G18" i="21"/>
  <c r="B19" i="21"/>
  <c r="E32" i="19"/>
  <c r="E30" i="21" s="1"/>
  <c r="E33" i="21" s="1"/>
  <c r="C19" i="21"/>
  <c r="D13" i="21"/>
  <c r="H19" i="21"/>
  <c r="G19" i="21"/>
  <c r="B29" i="19"/>
  <c r="G29" i="19"/>
  <c r="F32" i="19"/>
  <c r="F30" i="21" s="1"/>
  <c r="F33" i="21" s="1"/>
  <c r="G32" i="19"/>
  <c r="G33" i="19" s="1"/>
  <c r="C32" i="19"/>
  <c r="C33" i="19" s="1"/>
  <c r="F29" i="19"/>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H42" i="19"/>
  <c r="H41" i="21" s="1"/>
  <c r="E8" i="17"/>
  <c r="E6" i="17"/>
  <c r="E7" i="17"/>
  <c r="E12" i="17"/>
  <c r="E10" i="17"/>
  <c r="E11" i="17"/>
  <c r="E9" i="17"/>
  <c r="E5" i="17"/>
  <c r="J8" i="17"/>
  <c r="K14" i="21" l="1"/>
  <c r="E33" i="19"/>
  <c r="F34" i="19"/>
  <c r="C34" i="19"/>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1" i="17" s="1"/>
  <c r="I7" i="1"/>
  <c r="B8" i="17" s="1"/>
  <c r="I6" i="1"/>
  <c r="B6" i="17" s="1"/>
  <c r="I2" i="1"/>
  <c r="B5" i="17" s="1"/>
  <c r="I4" i="1"/>
  <c r="B9" i="17" s="1"/>
  <c r="I5" i="1"/>
  <c r="B10"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8" i="17" s="1"/>
  <c r="K5" i="1"/>
  <c r="C10" i="17" s="1"/>
  <c r="G128" i="1"/>
  <c r="G129" i="1"/>
  <c r="G107" i="1"/>
  <c r="G106" i="1"/>
  <c r="G62" i="1"/>
  <c r="G66" i="1" s="1"/>
  <c r="G67" i="1" s="1"/>
  <c r="K2" i="1" s="1"/>
  <c r="C5" i="17" s="1"/>
  <c r="G85" i="1"/>
  <c r="G84" i="1"/>
  <c r="G74" i="1"/>
  <c r="G73" i="1"/>
  <c r="G132" i="1" l="1"/>
  <c r="G133" i="1" s="1"/>
  <c r="G110" i="1"/>
  <c r="G111" i="1" s="1"/>
  <c r="G88" i="1"/>
  <c r="G89" i="1" s="1"/>
  <c r="G77" i="1"/>
  <c r="G78" i="1" s="1"/>
  <c r="K8" i="1" l="1"/>
  <c r="C11" i="17" s="1"/>
  <c r="K6" i="1"/>
  <c r="C6" i="17" s="1"/>
  <c r="K4" i="1"/>
  <c r="C9"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9" i="17"/>
  <c r="D10" i="17"/>
  <c r="D11" i="17"/>
  <c r="D8"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<sst xmlns="http://schemas.openxmlformats.org/spreadsheetml/2006/main" count="419" uniqueCount="220">
  <si>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</si>
  <si>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</si>
  <si>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</si>
  <si>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</si>
  <si>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</si>
  <si>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</si>
  <si>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</si>
  <si>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</si>
  <si>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</si>
  <si>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</si>
  <si>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</si>
  <si>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</si>
  <si>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</si>
  <si>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</si>
  <si>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</si>
  <si>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</si>
  <si>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</si>
  <si>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</si>
  <si>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</si>
  <si>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</si>
  <si>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</si>
  <si>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</si>
  <si>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</si>
  <si>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</si>
  <si>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</si>
  <si>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</si>
  <si>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</si>
  <si>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</si>
  <si>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</si>
  <si>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</si>
  <si>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</si>
  <si>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</si>
  <si>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</si>
  <si>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</si>
  <si>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</si>
  <si>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</si>
  <si>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</si>
  <si>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</si>
  <si>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</si>
  <si>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</si>
  <si>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</si>
  <si>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</si>
  <si>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</si>
  <si>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</si>
  <si>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</si>
  <si>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</si>
  <si>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</si>
  <si>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</si>
  <si>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</si>
  <si>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</si>
  <si>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</si>
  <si>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</si>
  <si>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</si>
  <si>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</si>
  <si>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</si>
  <si>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</si>
  <si>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</si>
  <si>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</si>
  <si>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</si>
  <si>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</si>
  <si>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</si>
  <si>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</si>
  <si>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</si>
  <si>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</si>
  <si>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</si>
  <si>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</si>
  <si>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</si>
  <si>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</si>
  <si>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</si>
  <si>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</si>
  <si>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</si>
  <si>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</si>
  <si>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</si>
  <si>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</si>
  <si>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</si>
  <si>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</si>
  <si>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</si>
  <si>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</si>
  <si>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</si>
  <si>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</si>
  <si>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</si>
  <si>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</si>
  <si>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</si>
  <si>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</si>
  <si>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</si>
  <si>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</si>
  <si>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</si>
  <si>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</si>
  <si>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</si>
  <si>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</si>
  <si>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</si>
  <si>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</si>
  <si>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</si>
  <si>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</si>
  <si>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</si>
  <si>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</si>
  <si>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</si>
  <si>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</si>
  <si>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</si>
  <si>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</si>
  <si>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</si>
  <si>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</si>
  <si>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</si>
  <si>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</si>
  <si>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</si>
  <si>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</si>
  <si>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</si>
  <si>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</si>
  <si>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</si>
  <si>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</si>
  <si>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</si>
  <si>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</si>
  <si>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</si>
  <si>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</si>
  <si>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</si>
  <si>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</si>
  <si>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</si>
  <si>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</si>
  <si>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</si>
  <si>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</si>
  <si>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</si>
  <si>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</si>
  <si>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</si>
  <si>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</si>
  <si>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</si>
  <si>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</si>
  <si>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</si>
  <si>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</si>
  <si>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</si>
  <si>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</si>
  <si>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</si>
  <si>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</si>
  <si>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</si>
  <si>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</si>
  <si>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</si>
  <si>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</si>
  <si>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</si>
  <si>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</si>
  <si>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</si>
  <si>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</si>
  <si>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</si>
  <si>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</si>
  <si>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</si>
  <si>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</si>
  <si>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</si>
  <si>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</si>
  <si>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</si>
  <si>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</si>
  <si>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</si>
  <si>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</si>
  <si>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</si>
  <si>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</si>
  <si>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</si>
  <si>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</si>
  <si>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</si>
  <si>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</si>
  <si>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</si>
  <si>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</si>
  <si>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</si>
  <si>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</si>
  <si>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</si>
  <si>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</si>
  <si>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</si>
  <si>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</si>
  <si>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</si>
  <si>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</si>
  <si>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</si>
  <si>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</si>
  <si>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</si>
  <si>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</si>
  <si>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</si>
  <si>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</si>
  <si>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</si>
  <si>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</si>
  <si>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</si>
  <si>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</si>
  <si>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</si>
  <si>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</si>
  <si>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</si>
  <si>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</si>
  <si>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</si>
  <si>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</si>
  <si>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</si>
  <si>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</si>
  <si>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</si>
  <si>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</si>
  <si>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</si>
  <si>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</si>
  <si>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</si>
  <si>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Dividends</t>
  </si>
  <si>
    <t>MAINX</t>
  </si>
  <si>
    <t>Revenues per Share</t>
  </si>
  <si>
    <t>Cash added (subtracted) to back into dividend</t>
  </si>
  <si>
    <t>CorEnergy, Inc.</t>
  </si>
  <si>
    <t>CORR</t>
  </si>
  <si>
    <t>YCharts Data Tables: Multi-Security Timeseries</t>
  </si>
  <si>
    <t xml:space="preserve">Date Range: 01/01/2006 - </t>
  </si>
  <si>
    <t>Frequency: Unchanged Frequency</t>
  </si>
  <si>
    <t>Aggregation Method: End of Period (default)</t>
  </si>
  <si>
    <t>Fill Method: No Fill</t>
  </si>
  <si>
    <t>Symbol</t>
  </si>
  <si>
    <t>Name</t>
  </si>
  <si>
    <t>Metric</t>
  </si>
  <si>
    <t>CorEnergy Infr Trust</t>
  </si>
  <si>
    <t>Revenue (Annual)</t>
  </si>
  <si>
    <t>Cash from Operations (Annual)</t>
  </si>
  <si>
    <t>Total Depreciation and Amortization (Annual)</t>
  </si>
  <si>
    <t>Owners' Cash Profits (Annual)</t>
  </si>
  <si>
    <t>Net Change in Capital Expenditures (Annual)</t>
  </si>
  <si>
    <t>Sharesout</t>
  </si>
  <si>
    <t>R/S</t>
  </si>
  <si>
    <t>CFO/S</t>
  </si>
  <si>
    <t>Mainx/S</t>
  </si>
  <si>
    <t>Div/S</t>
  </si>
  <si>
    <t>OCP/S</t>
  </si>
  <si>
    <t>OCP / Share</t>
  </si>
  <si>
    <t>Dividends / Share</t>
  </si>
  <si>
    <t>Depreciation / Share</t>
  </si>
  <si>
    <t>Deficit / Share</t>
  </si>
  <si>
    <t>Mainx/S (divided by 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</si>
</sst>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6">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43" fontId="0" fillId="2" borderId="1" xfId="1" applyNumberFormat="1" applyFont="1" applyFill="1" applyBorder="1" applyProtection="1">
      <protection locked="0"/>
    </xf>
    <xf numFmtId="43" fontId="0" fillId="2" borderId="0" xfId="1" applyNumberFormat="1" applyFont="1" applyFill="1" applyProtection="1">
      <protection locked="0"/>
    </xf>
    <xf numFmtId="43" fontId="0" fillId="0" borderId="0" xfId="1" applyNumberFormat="1" applyFont="1" applyFill="1" applyProtection="1">
      <protection locked="0"/>
    </xf>
    <xf numFmtId="43" fontId="0" fillId="0" borderId="2" xfId="1" applyNumberFormat="1" applyFont="1" applyBorder="1"/>
    <xf numFmtId="0" fontId="0" fillId="9" borderId="2" xfId="0" applyFill="1" applyBorder="1"/>
    <xf numFmtId="0" fontId="0" fillId="9" borderId="0" xfId="0" applyFill="1" applyAlignment="1">
      <alignment horizontal="left" indent="1"/>
    </xf>
    <xf numFmtId="43" fontId="0" fillId="2" borderId="0" xfId="1" applyNumberFormat="1" applyFont="1" applyFill="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575A5D"/>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6.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3.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externalLink" Target="externalLinks/externalLink7.xml"/><Relationship Id="rId5" Type="http://schemas.openxmlformats.org/officeDocument/2006/relationships/chartsheet" Target="chartsheets/sheet1.xml"/><Relationship Id="rId15" Type="http://schemas.openxmlformats.org/officeDocument/2006/relationships/worksheet" Target="worksheets/sheet8.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chartsheet" Target="chartsheets/sheet6.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7.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CorEnergy OCP and Dividends per Share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CORR_OpData!$U$22</c:f>
              <c:strCache>
                <c:ptCount val="1"/>
                <c:pt idx="0">
                  <c:v>OCP / Share</c:v>
                </c:pt>
              </c:strCache>
            </c:strRef>
          </c:tx>
          <c:spPr>
            <a:solidFill>
              <a:srgbClr val="0049AA"/>
            </a:solidFill>
            <a:ln>
              <a:noFill/>
            </a:ln>
            <a:effectLst/>
          </c:spPr>
          <c:invertIfNegative val="0"/>
          <c:cat>
            <c:numRef>
              <c:f>CORR_OpData!$L$23:$L$26</c:f>
              <c:numCache>
                <c:formatCode>General</c:formatCode>
                <c:ptCount val="4"/>
                <c:pt idx="0">
                  <c:v>2013</c:v>
                </c:pt>
                <c:pt idx="1">
                  <c:v>2014</c:v>
                </c:pt>
                <c:pt idx="2">
                  <c:v>2015</c:v>
                </c:pt>
                <c:pt idx="3">
                  <c:v>2016</c:v>
                </c:pt>
              </c:numCache>
            </c:numRef>
          </c:cat>
          <c:val>
            <c:numRef>
              <c:f>CORR_OpData!$U$23:$U$26</c:f>
              <c:numCache>
                <c:formatCode>General</c:formatCode>
                <c:ptCount val="4"/>
                <c:pt idx="0">
                  <c:v>-0.99705416754980947</c:v>
                </c:pt>
                <c:pt idx="1">
                  <c:v>0.27587139161957785</c:v>
                </c:pt>
                <c:pt idx="2">
                  <c:v>1.8248034267536271</c:v>
                </c:pt>
                <c:pt idx="3">
                  <c:v>2.1916983504254</c:v>
                </c:pt>
              </c:numCache>
            </c:numRef>
          </c:val>
          <c:extLst>
            <c:ext xmlns:c16="http://schemas.microsoft.com/office/drawing/2014/chart" uri="{C3380CC4-5D6E-409C-BE32-E72D297353CC}">
              <c16:uniqueId val="{00000000-F58B-4441-97DF-635B9BB3ECA1}"/>
            </c:ext>
          </c:extLst>
        </c:ser>
        <c:ser>
          <c:idx val="2"/>
          <c:order val="1"/>
          <c:tx>
            <c:strRef>
              <c:f>CORR_OpData!$X$22</c:f>
              <c:strCache>
                <c:ptCount val="1"/>
                <c:pt idx="0">
                  <c:v>Dividends / Share</c:v>
                </c:pt>
              </c:strCache>
            </c:strRef>
          </c:tx>
          <c:spPr>
            <a:solidFill>
              <a:srgbClr val="575A5D"/>
            </a:solidFill>
            <a:ln>
              <a:noFill/>
            </a:ln>
            <a:effectLst/>
          </c:spPr>
          <c:invertIfNegative val="0"/>
          <c:cat>
            <c:numRef>
              <c:f>CORR_OpData!$L$23:$L$26</c:f>
              <c:numCache>
                <c:formatCode>General</c:formatCode>
                <c:ptCount val="4"/>
                <c:pt idx="0">
                  <c:v>2013</c:v>
                </c:pt>
                <c:pt idx="1">
                  <c:v>2014</c:v>
                </c:pt>
                <c:pt idx="2">
                  <c:v>2015</c:v>
                </c:pt>
                <c:pt idx="3">
                  <c:v>2016</c:v>
                </c:pt>
              </c:numCache>
            </c:numRef>
          </c:cat>
          <c:val>
            <c:numRef>
              <c:f>CORR_OpData!$X$23:$X$26</c:f>
              <c:numCache>
                <c:formatCode>General</c:formatCode>
                <c:ptCount val="4"/>
                <c:pt idx="0">
                  <c:v>1.875</c:v>
                </c:pt>
                <c:pt idx="1">
                  <c:v>2.57</c:v>
                </c:pt>
                <c:pt idx="2">
                  <c:v>2.75</c:v>
                </c:pt>
                <c:pt idx="3">
                  <c:v>3</c:v>
                </c:pt>
              </c:numCache>
            </c:numRef>
          </c:val>
          <c:extLst>
            <c:ext xmlns:c16="http://schemas.microsoft.com/office/drawing/2014/chart" uri="{C3380CC4-5D6E-409C-BE32-E72D297353CC}">
              <c16:uniqueId val="{00000002-F58B-4441-97DF-635B9BB3ECA1}"/>
            </c:ext>
          </c:extLst>
        </c:ser>
        <c:dLbls>
          <c:showLegendKey val="0"/>
          <c:showVal val="0"/>
          <c:showCatName val="0"/>
          <c:showSerName val="0"/>
          <c:showPercent val="0"/>
          <c:showBubbleSize val="0"/>
        </c:dLbls>
        <c:gapWidth val="150"/>
        <c:axId val="483541528"/>
        <c:axId val="483537264"/>
      </c:barChart>
      <c:lineChart>
        <c:grouping val="standard"/>
        <c:varyColors val="0"/>
        <c:ser>
          <c:idx val="1"/>
          <c:order val="2"/>
          <c:tx>
            <c:strRef>
              <c:f>CORR_OpData!$R$22</c:f>
              <c:strCache>
                <c:ptCount val="1"/>
                <c:pt idx="0">
                  <c:v>Deficit / Share</c:v>
                </c:pt>
              </c:strCache>
            </c:strRef>
          </c:tx>
          <c:spPr>
            <a:ln w="28575" cap="rnd">
              <a:solidFill>
                <a:srgbClr val="FF0000"/>
              </a:solidFill>
              <a:round/>
            </a:ln>
            <a:effectLst/>
          </c:spPr>
          <c:marker>
            <c:symbol val="none"/>
          </c:marker>
          <c:cat>
            <c:numRef>
              <c:f>CORR_OpData!$L$23:$L$26</c:f>
              <c:numCache>
                <c:formatCode>General</c:formatCode>
                <c:ptCount val="4"/>
                <c:pt idx="0">
                  <c:v>2013</c:v>
                </c:pt>
                <c:pt idx="1">
                  <c:v>2014</c:v>
                </c:pt>
                <c:pt idx="2">
                  <c:v>2015</c:v>
                </c:pt>
                <c:pt idx="3">
                  <c:v>2016</c:v>
                </c:pt>
              </c:numCache>
            </c:numRef>
          </c:cat>
          <c:val>
            <c:numRef>
              <c:f>CORR_OpData!$R$23:$R$26</c:f>
              <c:numCache>
                <c:formatCode>General</c:formatCode>
                <c:ptCount val="4"/>
                <c:pt idx="0">
                  <c:v>-2.8720541675498095</c:v>
                </c:pt>
                <c:pt idx="1">
                  <c:v>-2.2941286083804222</c:v>
                </c:pt>
                <c:pt idx="2">
                  <c:v>-0.92519657324637294</c:v>
                </c:pt>
                <c:pt idx="3">
                  <c:v>-0.80830164957460005</c:v>
                </c:pt>
              </c:numCache>
            </c:numRef>
          </c:val>
          <c:smooth val="0"/>
          <c:extLst>
            <c:ext xmlns:c16="http://schemas.microsoft.com/office/drawing/2014/chart" uri="{C3380CC4-5D6E-409C-BE32-E72D297353CC}">
              <c16:uniqueId val="{00000003-F58B-4441-97DF-635B9BB3ECA1}"/>
            </c:ext>
          </c:extLst>
        </c:ser>
        <c:dLbls>
          <c:showLegendKey val="0"/>
          <c:showVal val="0"/>
          <c:showCatName val="0"/>
          <c:showSerName val="0"/>
          <c:showPercent val="0"/>
          <c:showBubbleSize val="0"/>
        </c:dLbls>
        <c:marker val="1"/>
        <c:smooth val="0"/>
        <c:axId val="483541528"/>
        <c:axId val="483537264"/>
      </c:lineChart>
      <c:catAx>
        <c:axId val="4835415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483537264"/>
        <c:crosses val="autoZero"/>
        <c:auto val="1"/>
        <c:lblAlgn val="ctr"/>
        <c:lblOffset val="100"/>
        <c:noMultiLvlLbl val="0"/>
      </c:catAx>
      <c:valAx>
        <c:axId val="4835372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48354152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0</c:v>
                </c:pt>
                <c:pt idx="1">
                  <c:v>0</c:v>
                </c:pt>
                <c:pt idx="2">
                  <c:v>0</c:v>
                </c:pt>
                <c:pt idx="3">
                  <c:v>0</c:v>
                </c:pt>
                <c:pt idx="4">
                  <c:v>0</c:v>
                </c:pt>
                <c:pt idx="5">
                  <c:v>0</c:v>
                </c:pt>
                <c:pt idx="6">
                  <c:v>7.0269879401361797</c:v>
                </c:pt>
                <c:pt idx="7">
                  <c:v>4.0772628717274202</c:v>
                </c:pt>
                <c:pt idx="8">
                  <c:v>5.1688826776759909</c:v>
                </c:pt>
                <c:pt idx="9">
                  <c:v>6.4611019183901757</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6.4611019183901757</c:v>
                </c:pt>
                <c:pt idx="11" formatCode="_(* #,##0_);_(* \(#,##0\);_(* &quot;-&quot;??_);_(@_)">
                  <c:v>6.4611019183901757</c:v>
                </c:pt>
                <c:pt idx="12" formatCode="_(* #,##0_);_(* \(#,##0\);_(* &quot;-&quot;??_);_(@_)">
                  <c:v>6.4611019183901757</c:v>
                </c:pt>
                <c:pt idx="13" formatCode="_(* #,##0_);_(* \(#,##0\);_(* &quot;-&quot;??_);_(@_)">
                  <c:v>6.4611019183901757</c:v>
                </c:pt>
                <c:pt idx="14" formatCode="_(* #,##0_);_(* \(#,##0\);_(* &quot;-&quot;??_);_(@_)">
                  <c:v>6.4611019183901757</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6.4611019183901757</c:v>
                </c:pt>
                <c:pt idx="11" formatCode="_(* #,##0_);_(* \(#,##0\);_(* &quot;-&quot;??_);_(@_)">
                  <c:v>6.4611019183901757</c:v>
                </c:pt>
                <c:pt idx="12" formatCode="_(* #,##0_);_(* \(#,##0\);_(* &quot;-&quot;??_);_(@_)">
                  <c:v>6.4611019183901757</c:v>
                </c:pt>
                <c:pt idx="13" formatCode="_(* #,##0_);_(* \(#,##0\);_(* &quot;-&quot;??_);_(@_)">
                  <c:v>6.4611019183901757</c:v>
                </c:pt>
                <c:pt idx="14" formatCode="_(* #,##0_);_(* \(#,##0\);_(* &quot;-&quot;??_);_(@_)">
                  <c:v>6.4611019183901757</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c:v>
                </c:pt>
                <c:pt idx="2">
                  <c:v>0</c:v>
                </c:pt>
                <c:pt idx="3">
                  <c:v>0</c:v>
                </c:pt>
                <c:pt idx="4">
                  <c:v>0</c:v>
                </c:pt>
                <c:pt idx="5">
                  <c:v>0</c:v>
                </c:pt>
                <c:pt idx="6">
                  <c:v>0</c:v>
                </c:pt>
                <c:pt idx="7">
                  <c:v>-0.41977090234647463</c:v>
                </c:pt>
                <c:pt idx="8">
                  <c:v>0.26773348697188171</c:v>
                </c:pt>
                <c:pt idx="9">
                  <c:v>0.2499997235950393</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0.2499997235950393</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0.2499997235950393</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0</c:v>
                </c:pt>
                <c:pt idx="1">
                  <c:v>0</c:v>
                </c:pt>
                <c:pt idx="2">
                  <c:v>0</c:v>
                </c:pt>
                <c:pt idx="3">
                  <c:v>0</c:v>
                </c:pt>
                <c:pt idx="4">
                  <c:v>0</c:v>
                </c:pt>
                <c:pt idx="5">
                  <c:v>0</c:v>
                </c:pt>
                <c:pt idx="6">
                  <c:v>-0.99705416754980947</c:v>
                </c:pt>
                <c:pt idx="7">
                  <c:v>0.27587139161957785</c:v>
                </c:pt>
                <c:pt idx="8">
                  <c:v>1.8248034267536271</c:v>
                </c:pt>
                <c:pt idx="9">
                  <c:v>2.1916983504254</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c:v>
                </c:pt>
                <c:pt idx="1">
                  <c:v>0</c:v>
                </c:pt>
                <c:pt idx="2">
                  <c:v>0</c:v>
                </c:pt>
                <c:pt idx="3">
                  <c:v>0</c:v>
                </c:pt>
                <c:pt idx="4">
                  <c:v>0</c:v>
                </c:pt>
                <c:pt idx="5">
                  <c:v>0</c:v>
                </c:pt>
                <c:pt idx="6">
                  <c:v>-0.1418892669297063</c:v>
                </c:pt>
                <c:pt idx="7">
                  <c:v>6.7660928495076156E-2</c:v>
                </c:pt>
                <c:pt idx="8">
                  <c:v>0.35303634083915536</c:v>
                </c:pt>
                <c:pt idx="9">
                  <c:v>0.33921432877992358</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0.33921432877992358</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0.33921432877992358</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0</c:v>
                </c:pt>
                <c:pt idx="1">
                  <c:v>0</c:v>
                </c:pt>
                <c:pt idx="2">
                  <c:v>0</c:v>
                </c:pt>
                <c:pt idx="3">
                  <c:v>0</c:v>
                </c:pt>
                <c:pt idx="4">
                  <c:v>0</c:v>
                </c:pt>
                <c:pt idx="5">
                  <c:v>0</c:v>
                </c:pt>
                <c:pt idx="6">
                  <c:v>-0.99705416754980947</c:v>
                </c:pt>
                <c:pt idx="7">
                  <c:v>0.27587139161957785</c:v>
                </c:pt>
                <c:pt idx="8">
                  <c:v>1.8248034267536271</c:v>
                </c:pt>
                <c:pt idx="9">
                  <c:v>2.1916983504254</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0</c:v>
                </c:pt>
                <c:pt idx="1">
                  <c:v>0</c:v>
                </c:pt>
                <c:pt idx="2">
                  <c:v>0</c:v>
                </c:pt>
                <c:pt idx="3">
                  <c:v>0</c:v>
                </c:pt>
                <c:pt idx="4">
                  <c:v>0</c:v>
                </c:pt>
                <c:pt idx="5">
                  <c:v>0</c:v>
                </c:pt>
                <c:pt idx="6">
                  <c:v>-2.8720541675498095</c:v>
                </c:pt>
                <c:pt idx="7">
                  <c:v>-2.2941286083804222</c:v>
                </c:pt>
                <c:pt idx="8">
                  <c:v>-0.92519657324637294</c:v>
                </c:pt>
                <c:pt idx="9">
                  <c:v>-0.80830164957460005</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0</c:v>
                </c:pt>
                <c:pt idx="1">
                  <c:v>0</c:v>
                </c:pt>
                <c:pt idx="2">
                  <c:v>0</c:v>
                </c:pt>
                <c:pt idx="3">
                  <c:v>0</c:v>
                </c:pt>
                <c:pt idx="4">
                  <c:v>0</c:v>
                </c:pt>
                <c:pt idx="5">
                  <c:v>0</c:v>
                </c:pt>
                <c:pt idx="6">
                  <c:v>-2.8720541675498095</c:v>
                </c:pt>
                <c:pt idx="7">
                  <c:v>-2.2941286083804222</c:v>
                </c:pt>
                <c:pt idx="8">
                  <c:v>-0.92519657324637294</c:v>
                </c:pt>
                <c:pt idx="9">
                  <c:v>-0.80830164957460005</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0</c:v>
                </c:pt>
                <c:pt idx="4">
                  <c:v>0</c:v>
                </c:pt>
                <c:pt idx="5">
                  <c:v>0</c:v>
                </c:pt>
                <c:pt idx="6">
                  <c:v>1.875</c:v>
                </c:pt>
                <c:pt idx="7">
                  <c:v>2.5700000000000003</c:v>
                </c:pt>
                <c:pt idx="8">
                  <c:v>2.75</c:v>
                </c:pt>
                <c:pt idx="9">
                  <c:v>3</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c:v>
                </c:pt>
                <c:pt idx="1">
                  <c:v>0</c:v>
                </c:pt>
                <c:pt idx="2">
                  <c:v>0</c:v>
                </c:pt>
                <c:pt idx="3">
                  <c:v>0</c:v>
                </c:pt>
                <c:pt idx="4">
                  <c:v>0</c:v>
                </c:pt>
                <c:pt idx="5">
                  <c:v>0</c:v>
                </c:pt>
                <c:pt idx="6">
                  <c:v>0.26682840727397966</c:v>
                </c:pt>
                <c:pt idx="7">
                  <c:v>0.63032482350375518</c:v>
                </c:pt>
                <c:pt idx="8">
                  <c:v>0.5320298740532533</c:v>
                </c:pt>
                <c:pt idx="9">
                  <c:v>0.46431708366356633</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0.46431708366356633</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0.46431708366356633</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CORR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0</c:v>
                </c:pt>
                <c:pt idx="5">
                  <c:v>0</c:v>
                </c:pt>
                <c:pt idx="6">
                  <c:v>-0.99705416754980947</c:v>
                </c:pt>
                <c:pt idx="7">
                  <c:v>0.27587139161957785</c:v>
                </c:pt>
                <c:pt idx="8">
                  <c:v>1.8248034267536271</c:v>
                </c:pt>
                <c:pt idx="9">
                  <c:v>2.1916983504254</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CORR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CORR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c:v>
                </c:pt>
                <c:pt idx="2">
                  <c:v>0</c:v>
                </c:pt>
                <c:pt idx="3">
                  <c:v>0</c:v>
                </c:pt>
                <c:pt idx="4">
                  <c:v>0</c:v>
                </c:pt>
                <c:pt idx="5">
                  <c:v>0</c:v>
                </c:pt>
                <c:pt idx="6">
                  <c:v>0</c:v>
                </c:pt>
                <c:pt idx="7">
                  <c:v>-1.3133060334460387</c:v>
                </c:pt>
                <c:pt idx="8">
                  <c:v>5.6168748647992466</c:v>
                </c:pt>
                <c:pt idx="9">
                  <c:v>0.20105997078517568</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CORR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c:v>
                </c:pt>
                <c:pt idx="4">
                  <c:v>0</c:v>
                </c:pt>
                <c:pt idx="5">
                  <c:v>0</c:v>
                </c:pt>
                <c:pt idx="6">
                  <c:v>0</c:v>
                </c:pt>
                <c:pt idx="7">
                  <c:v>-0.31568142456520731</c:v>
                </c:pt>
                <c:pt idx="8">
                  <c:v>-2.5563615036819991</c:v>
                </c:pt>
                <c:pt idx="9">
                  <c:v>2.8781690781164624</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CorEnergy, Inc. (CORR)</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2.2941792595229002E-193</c:v>
                </c:pt>
                <c:pt idx="2">
                  <c:v>6.964232304183248E-146</c:v>
                </c:pt>
                <c:pt idx="3">
                  <c:v>7.1772964215628741E-121</c:v>
                </c:pt>
                <c:pt idx="4">
                  <c:v>1.8128845414220645E-104</c:v>
                </c:pt>
                <c:pt idx="5">
                  <c:v>1.535496404405267E-92</c:v>
                </c:pt>
                <c:pt idx="6">
                  <c:v>2.5534289454189624E-83</c:v>
                </c:pt>
                <c:pt idx="7">
                  <c:v>6.7726726328809891E-76</c:v>
                </c:pt>
                <c:pt idx="8">
                  <c:v>9.6242515537675021E-70</c:v>
                </c:pt>
                <c:pt idx="9">
                  <c:v>1.5663756291528365E-64</c:v>
                </c:pt>
                <c:pt idx="10">
                  <c:v>4.8407220466630953E-60</c:v>
                </c:pt>
                <c:pt idx="11">
                  <c:v>4.0397024829802531E-56</c:v>
                </c:pt>
                <c:pt idx="12">
                  <c:v>1.1740409048483057E-52</c:v>
                </c:pt>
                <c:pt idx="13">
                  <c:v>1.4358107783295631E-49</c:v>
                </c:pt>
                <c:pt idx="14">
                  <c:v>8.535970547839721E-47</c:v>
                </c:pt>
                <c:pt idx="15">
                  <c:v>2.7601045877690188E-44</c:v>
                </c:pt>
                <c:pt idx="16">
                  <c:v>5.3059094270598568E-42</c:v>
                </c:pt>
                <c:pt idx="17">
                  <c:v>6.5139914586217074E-40</c:v>
                </c:pt>
                <c:pt idx="18">
                  <c:v>5.414265440093767E-38</c:v>
                </c:pt>
                <c:pt idx="19">
                  <c:v>3.1970886418932226E-36</c:v>
                </c:pt>
                <c:pt idx="20">
                  <c:v>1.396155952574754E-34</c:v>
                </c:pt>
                <c:pt idx="21">
                  <c:v>4.6639860052309099E-33</c:v>
                </c:pt>
                <c:pt idx="22">
                  <c:v>1.2265498221422214E-31</c:v>
                </c:pt>
                <c:pt idx="23">
                  <c:v>2.6024103244198627E-30</c:v>
                </c:pt>
                <c:pt idx="24">
                  <c:v>4.5499717616833914E-29</c:v>
                </c:pt>
                <c:pt idx="25">
                  <c:v>6.6763766675983578E-28</c:v>
                </c:pt>
                <c:pt idx="26">
                  <c:v>8.3542852138958848E-27</c:v>
                </c:pt>
                <c:pt idx="27">
                  <c:v>9.0405463454292711E-26</c:v>
                </c:pt>
                <c:pt idx="28">
                  <c:v>8.5655085984467012E-25</c:v>
                </c:pt>
                <c:pt idx="29">
                  <c:v>7.1833078870179361E-24</c:v>
                </c:pt>
                <c:pt idx="30">
                  <c:v>5.3841949970791203E-23</c:v>
                </c:pt>
                <c:pt idx="31">
                  <c:v>3.6383136861849699E-22</c:v>
                </c:pt>
                <c:pt idx="32">
                  <c:v>2.2337160836557955E-21</c:v>
                </c:pt>
                <c:pt idx="33">
                  <c:v>1.2546670083057331E-20</c:v>
                </c:pt>
                <c:pt idx="34">
                  <c:v>6.4882575686171566E-20</c:v>
                </c:pt>
                <c:pt idx="35">
                  <c:v>3.1066494008648485E-19</c:v>
                </c:pt>
                <c:pt idx="36">
                  <c:v>1.3843848867631907E-18</c:v>
                </c:pt>
                <c:pt idx="37">
                  <c:v>5.7683961602228187E-18</c:v>
                </c:pt>
                <c:pt idx="38">
                  <c:v>2.2570465566929522E-17</c:v>
                </c:pt>
                <c:pt idx="39">
                  <c:v>8.325438357395527E-17</c:v>
                </c:pt>
                <c:pt idx="40">
                  <c:v>2.905403540481532E-16</c:v>
                </c:pt>
                <c:pt idx="41">
                  <c:v>9.6241613362800096E-16</c:v>
                </c:pt>
                <c:pt idx="42">
                  <c:v>3.0351949684962404E-15</c:v>
                </c:pt>
                <c:pt idx="43">
                  <c:v>9.1387147673219061E-15</c:v>
                </c:pt>
                <c:pt idx="44">
                  <c:v>2.633743950872273E-14</c:v>
                </c:pt>
                <c:pt idx="45">
                  <c:v>7.2825483964534691E-14</c:v>
                </c:pt>
                <c:pt idx="46">
                  <c:v>1.9362901231262058E-13</c:v>
                </c:pt>
                <c:pt idx="47">
                  <c:v>4.9604587875519898E-13</c:v>
                </c:pt>
                <c:pt idx="48">
                  <c:v>1.2267676319003967E-12</c:v>
                </c:pt>
                <c:pt idx="49">
                  <c:v>2.9339964529351916E-12</c:v>
                </c:pt>
                <c:pt idx="50">
                  <c:v>6.7971910111499171E-12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7"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4"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15</xdr:col>
      <xdr:colOff>219075</xdr:colOff>
      <xdr:row>3</xdr:row>
      <xdr:rowOff>28575</xdr:rowOff>
    </xdr:from>
    <xdr:to>
      <xdr:col>26</xdr:col>
      <xdr:colOff>371475</xdr:colOff>
      <xdr:row>17</xdr:row>
      <xdr:rowOff>104775</xdr:rowOff>
    </xdr:to>
    <xdr:graphicFrame macro="">
      <xdr:nvGraphicFramePr>
        <xdr:cNvPr id="2" name="Chart 1">
          <a:extLst>
            <a:ext uri="{FF2B5EF4-FFF2-40B4-BE49-F238E27FC236}">
              <a16:creationId xmlns:a16="http://schemas.microsoft.com/office/drawing/2014/main" id="{3ED7EBAC-140A-4945-B535-5492DBAEE7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4907" cy="629076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mework%20Integrated%20Valuation%20Model%20-%20CorEnergy%20(COR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Model"/>
      <sheetName val="Company Analysis"/>
      <sheetName val="CORR_OpData"/>
      <sheetName val="Graphing Data"/>
      <sheetName val="Revenue Chart"/>
      <sheetName val="Profit Chart"/>
      <sheetName val="ECF to OCP Chart"/>
      <sheetName val="ECF Breakdown Chart"/>
      <sheetName val="FCFO Chart"/>
      <sheetName val="Investment Efficacy Chart"/>
      <sheetName val="Valuation Histogram"/>
      <sheetName val="Histogram Data"/>
      <sheetName val="GDP Data"/>
      <sheetName val="Disclaimer"/>
      <sheetName val="PSW_Sheet"/>
      <sheetName val="_SSC"/>
      <sheetName val="_Options"/>
    </sheetNames>
    <sheetDataSet>
      <sheetData sheetId="0">
        <row r="2">
          <cell r="B2" t="str">
            <v>CORR</v>
          </cell>
          <cell r="G2">
            <v>33</v>
          </cell>
        </row>
        <row r="67">
          <cell r="G67">
            <v>0</v>
          </cell>
        </row>
        <row r="78">
          <cell r="G78">
            <v>0</v>
          </cell>
        </row>
        <row r="89">
          <cell r="G89">
            <v>0</v>
          </cell>
        </row>
        <row r="100">
          <cell r="G100">
            <v>0</v>
          </cell>
        </row>
        <row r="111">
          <cell r="G111">
            <v>0</v>
          </cell>
        </row>
        <row r="122">
          <cell r="G122">
            <v>0</v>
          </cell>
        </row>
        <row r="133">
          <cell r="G133">
            <v>0</v>
          </cell>
        </row>
        <row r="144">
          <cell r="G144">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1">
          <cell r="E1">
            <v>5</v>
          </cell>
        </row>
      </sheetData>
      <sheetData sheetId="12"/>
      <sheetData sheetId="13"/>
      <sheetData sheetId="14"/>
      <sheetData sheetId="15"/>
      <sheetData sheetId="16">
        <row r="1">
          <cell r="C1" t="str">
            <v>Best</v>
          </cell>
          <cell r="D1" t="str">
            <v>Best</v>
          </cell>
          <cell r="E1" t="str">
            <v>Best</v>
          </cell>
        </row>
        <row r="2">
          <cell r="C2" t="str">
            <v>Worst</v>
          </cell>
          <cell r="D2" t="str">
            <v>Worst</v>
          </cell>
          <cell r="E2" t="str">
            <v>Worst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opLeftCell="A4" zoomScale="90" zoomScaleNormal="90" workbookViewId="0">
      <selection activeCell="G3" sqref="G3"/>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52" t="s">
        <v>61</v>
      </c>
      <c r="B1" s="152"/>
      <c r="C1" s="152"/>
      <c r="D1" s="152"/>
      <c r="E1" s="152"/>
      <c r="F1" s="152"/>
      <c r="G1" s="152"/>
      <c r="I1" s="161" t="s">
        <v>51</v>
      </c>
      <c r="J1" s="162"/>
      <c r="K1" s="90" t="s">
        <v>58</v>
      </c>
      <c r="L1" s="62" t="s">
        <v>108</v>
      </c>
    </row>
    <row r="2" spans="1:13">
      <c r="A2" s="50" t="s">
        <v>193</v>
      </c>
      <c r="B2" s="43" t="s">
        <v>194</v>
      </c>
      <c r="C2" s="97" t="str">
        <f>A2&amp;" ("&amp;ticker&amp;")"</f>
        <v>CorEnergy, Inc. (CORR)</v>
      </c>
      <c r="E2" s="3" t="s">
        <v>57</v>
      </c>
      <c r="F2" s="3"/>
      <c r="G2" s="49">
        <v>33</v>
      </c>
      <c r="I2" s="157" t="e">
        <f>(ROUND(AVERAGE(C9:G9)*100,0)&amp;"% | "&amp;ROUND(AVERAGE(C11:G11)*100,0)&amp;"% | "&amp;ROUND(C18*100,0)&amp;"%")</f>
        <v>#DIV/0!</v>
      </c>
      <c r="J2" s="158"/>
      <c r="K2" s="91">
        <f ca="1">TRUNC(Scenario1)+B13/G4</f>
        <v>0</v>
      </c>
      <c r="L2" s="93" t="s">
        <v>53</v>
      </c>
      <c r="M2" s="44"/>
    </row>
    <row r="3" spans="1:13">
      <c r="A3" t="s">
        <v>0</v>
      </c>
      <c r="B3" s="13">
        <v>42735</v>
      </c>
      <c r="E3" t="s">
        <v>60</v>
      </c>
      <c r="G3" s="142">
        <f>'Company Analysis'!K3</f>
        <v>6.4611019183901757</v>
      </c>
      <c r="I3" s="157" t="e">
        <f>(ROUND(AVERAGE(C9:G9)*100,0)&amp;"% | "&amp;ROUND(AVERAGE(C11:G11)*100,0)&amp;"% | "&amp;ROUND(C17*100,0)&amp;"%")</f>
        <v>#DIV/0!</v>
      </c>
      <c r="J3" s="158"/>
      <c r="K3" s="91">
        <f ca="1">TRUNC(Scenario2)+B13/G4</f>
        <v>0</v>
      </c>
      <c r="L3" s="93" t="s">
        <v>53</v>
      </c>
      <c r="M3" s="45"/>
    </row>
    <row r="4" spans="1:13" ht="15.75" thickBot="1">
      <c r="A4" s="67" t="s">
        <v>1</v>
      </c>
      <c r="B4" s="51">
        <v>0.12</v>
      </c>
      <c r="C4" s="12"/>
      <c r="D4" s="12"/>
      <c r="E4" s="12" t="s">
        <v>6</v>
      </c>
      <c r="F4" s="12"/>
      <c r="G4" s="52">
        <v>1</v>
      </c>
      <c r="I4" s="157" t="e">
        <f>(ROUND(AVERAGE(C9:G9)*100,0)&amp;"% | "&amp;ROUND(AVERAGE(C10:G10)*100,0)&amp;"% | "&amp;ROUND(C18*100,0)&amp;"%")</f>
        <v>#DIV/0!</v>
      </c>
      <c r="J4" s="158"/>
      <c r="K4" s="91">
        <f ca="1">TRUNC(Scenario3)+B13/G4</f>
        <v>0</v>
      </c>
      <c r="L4" s="94" t="s">
        <v>53</v>
      </c>
      <c r="M4" s="46"/>
    </row>
    <row r="5" spans="1:13">
      <c r="B5" s="2"/>
      <c r="I5" s="157" t="e">
        <f>(ROUND(AVERAGE(C9:G9)*100,0)&amp;"% | "&amp;ROUND(AVERAGE(C10:G10)*100,0)&amp;"% | "&amp;ROUND(C17*100,0)&amp;"%")</f>
        <v>#DIV/0!</v>
      </c>
      <c r="J5" s="158"/>
      <c r="K5" s="91">
        <f ca="1">TRUNC(Scenario4)+B13/G4</f>
        <v>0</v>
      </c>
      <c r="L5" s="94" t="s">
        <v>53</v>
      </c>
      <c r="M5" s="46"/>
    </row>
    <row r="6" spans="1:13" s="9" customFormat="1" ht="15.75" thickBot="1">
      <c r="A6" s="152" t="s">
        <v>96</v>
      </c>
      <c r="B6" s="152"/>
      <c r="C6" s="152"/>
      <c r="D6" s="152"/>
      <c r="E6" s="152"/>
      <c r="F6" s="152"/>
      <c r="G6" s="152"/>
      <c r="H6" s="8"/>
      <c r="I6" s="157" t="e">
        <f>(ROUND(AVERAGE(C8:G8)*100,0)&amp;"% | "&amp;ROUND(AVERAGE(C11:G11)*100,0)&amp;"% | "&amp;ROUND(C18*100,0)&amp;"%")</f>
        <v>#DIV/0!</v>
      </c>
      <c r="J6" s="158"/>
      <c r="K6" s="91">
        <f ca="1">TRUNC(Scenario5)+B13/G4</f>
        <v>0</v>
      </c>
      <c r="L6" s="93" t="s">
        <v>53</v>
      </c>
      <c r="M6" s="47"/>
    </row>
    <row r="7" spans="1:13">
      <c r="A7" s="7"/>
      <c r="B7" s="7" t="s">
        <v>2</v>
      </c>
      <c r="C7" s="39">
        <v>1</v>
      </c>
      <c r="D7" s="39">
        <v>2</v>
      </c>
      <c r="E7" s="39">
        <v>3</v>
      </c>
      <c r="F7" s="39">
        <v>4</v>
      </c>
      <c r="G7" s="39">
        <v>5</v>
      </c>
      <c r="I7" s="157" t="e">
        <f>(ROUND(AVERAGE(C8:G8)*100,0)&amp;"% | "&amp;ROUND(AVERAGE(C11:G11)*100,0)&amp;"% | "&amp;ROUND(C17*100,0)&amp;"%")</f>
        <v>#DIV/0!</v>
      </c>
      <c r="J7" s="158"/>
      <c r="K7" s="91">
        <f ca="1">TRUNC(Scenario6)+B13/G4</f>
        <v>0</v>
      </c>
      <c r="L7" s="95" t="s">
        <v>53</v>
      </c>
    </row>
    <row r="8" spans="1:13">
      <c r="A8" s="155" t="s">
        <v>5</v>
      </c>
      <c r="B8" s="22" t="s">
        <v>3</v>
      </c>
      <c r="C8" s="23"/>
      <c r="D8" s="23"/>
      <c r="E8" s="23"/>
      <c r="F8" s="23"/>
      <c r="G8" s="23"/>
      <c r="I8" s="157" t="e">
        <f>(ROUND(AVERAGE(C8:G8)*100,0)&amp;"% | "&amp;ROUND(AVERAGE(C10:G10)*100,0)&amp;"% | "&amp;ROUND(C18*100,0)&amp;"%")</f>
        <v>#DIV/0!</v>
      </c>
      <c r="J8" s="158"/>
      <c r="K8" s="91">
        <f ca="1">TRUNC(Scenario7)+B13/G4</f>
        <v>0</v>
      </c>
      <c r="L8" s="95" t="s">
        <v>53</v>
      </c>
    </row>
    <row r="9" spans="1:13">
      <c r="A9" s="156"/>
      <c r="B9" s="14" t="s">
        <v>4</v>
      </c>
      <c r="C9" s="24"/>
      <c r="D9" s="24"/>
      <c r="E9" s="24"/>
      <c r="F9" s="24"/>
      <c r="G9" s="24"/>
      <c r="I9" s="159" t="e">
        <f>(ROUND(AVERAGE(C8:G8)*100,0)&amp;"% | "&amp;ROUND(AVERAGE(C10:G10)*100,0)&amp;"% | "&amp;ROUND(C17*100,0)&amp;"%")</f>
        <v>#DIV/0!</v>
      </c>
      <c r="J9" s="160"/>
      <c r="K9" s="92">
        <f ca="1">TRUNC(Scenario8)+B13/G4</f>
        <v>0</v>
      </c>
      <c r="L9" s="96" t="s">
        <v>53</v>
      </c>
    </row>
    <row r="10" spans="1:13">
      <c r="A10" s="153" t="s">
        <v>124</v>
      </c>
      <c r="B10" s="22" t="s">
        <v>3</v>
      </c>
      <c r="C10" s="134"/>
      <c r="D10" s="134"/>
      <c r="E10" s="134"/>
      <c r="F10" s="134"/>
      <c r="G10" s="134"/>
    </row>
    <row r="11" spans="1:13">
      <c r="A11" s="154"/>
      <c r="B11" s="14" t="s">
        <v>4</v>
      </c>
      <c r="C11" s="135"/>
      <c r="D11" s="135"/>
      <c r="E11" s="135"/>
      <c r="F11" s="135"/>
      <c r="G11" s="135"/>
      <c r="I11" s="163" t="str">
        <f>A2&amp;" ("&amp;B2&amp;")"</f>
        <v>CorEnergy, Inc. (CORR)</v>
      </c>
      <c r="J11" s="164"/>
      <c r="K11" s="164"/>
      <c r="L11" s="165"/>
    </row>
    <row r="12" spans="1:13">
      <c r="A12" s="1" t="s">
        <v>62</v>
      </c>
      <c r="B12" s="14"/>
      <c r="C12" s="25"/>
      <c r="D12" s="25"/>
      <c r="E12" s="25"/>
      <c r="F12" s="25"/>
      <c r="G12" s="25"/>
      <c r="I12" s="143" t="str">
        <f ca="1">"$"&amp;ROUND(F21/G4,0)&amp;" Scenario"</f>
        <v>$0 Scenario</v>
      </c>
      <c r="J12" s="144"/>
      <c r="K12" s="144"/>
      <c r="L12" s="145"/>
    </row>
    <row r="13" spans="1:13">
      <c r="A13" s="66" t="s">
        <v>10</v>
      </c>
      <c r="B13" s="26">
        <v>0</v>
      </c>
      <c r="I13" s="72" t="s">
        <v>16</v>
      </c>
      <c r="K13" s="73"/>
      <c r="L13" s="64" t="s">
        <v>4</v>
      </c>
    </row>
    <row r="14" spans="1:13">
      <c r="B14" s="2"/>
      <c r="I14" s="70" t="s">
        <v>17</v>
      </c>
      <c r="K14" s="71"/>
      <c r="L14" s="64" t="s">
        <v>3</v>
      </c>
    </row>
    <row r="15" spans="1:13" ht="15.75" thickBot="1">
      <c r="A15" s="152" t="s">
        <v>97</v>
      </c>
      <c r="B15" s="152"/>
      <c r="C15" s="152"/>
      <c r="D15" s="3"/>
      <c r="E15" s="152" t="s">
        <v>98</v>
      </c>
      <c r="F15" s="152"/>
      <c r="G15" s="152"/>
      <c r="I15" s="74" t="s">
        <v>118</v>
      </c>
      <c r="J15" s="75"/>
      <c r="K15" s="75"/>
      <c r="L15" s="65" t="s">
        <v>4</v>
      </c>
    </row>
    <row r="16" spans="1:13">
      <c r="A16" s="66" t="s">
        <v>11</v>
      </c>
      <c r="B16" s="27">
        <v>5</v>
      </c>
      <c r="C16" t="s">
        <v>12</v>
      </c>
      <c r="E16" s="28" t="s">
        <v>14</v>
      </c>
      <c r="G16" s="31">
        <v>2.5000000000000001E-2</v>
      </c>
      <c r="I16" s="48" t="s">
        <v>117</v>
      </c>
      <c r="K16" s="3"/>
      <c r="L16" s="56">
        <f>(F26/G3)^0.2-1</f>
        <v>0</v>
      </c>
    </row>
    <row r="17" spans="1:12">
      <c r="A17" s="150" t="s">
        <v>59</v>
      </c>
      <c r="B17" s="21" t="s">
        <v>3</v>
      </c>
      <c r="C17" s="23"/>
      <c r="D17" s="36">
        <f>IF(C17=B$4,C17-0.0001,C17)</f>
        <v>0</v>
      </c>
      <c r="E17" s="28" t="s">
        <v>15</v>
      </c>
      <c r="G17" s="31">
        <v>2.5000000000000001E-2</v>
      </c>
      <c r="I17" s="70" t="s">
        <v>116</v>
      </c>
      <c r="K17" s="71"/>
      <c r="L17" s="53">
        <f>SUM(B29:F29)/SUM(B26:F26)</f>
        <v>0</v>
      </c>
    </row>
    <row r="18" spans="1:12">
      <c r="A18" s="151"/>
      <c r="B18" s="15" t="s">
        <v>4</v>
      </c>
      <c r="C18" s="24"/>
      <c r="D18" s="36">
        <f>IF(C18=B$4,C18-0.0001,C18)</f>
        <v>0</v>
      </c>
      <c r="G18" s="11"/>
      <c r="I18" s="74" t="s">
        <v>119</v>
      </c>
      <c r="K18" s="28"/>
      <c r="L18" s="55">
        <f ca="1">(F21/G4)/G2-1</f>
        <v>-1</v>
      </c>
    </row>
    <row r="19" spans="1:12">
      <c r="C19" s="3"/>
      <c r="D19" s="3"/>
      <c r="E19" s="3"/>
      <c r="F19" s="3"/>
      <c r="J19" s="54"/>
      <c r="K19" s="54"/>
      <c r="L19" s="54"/>
    </row>
    <row r="20" spans="1:12" ht="15.75" thickBot="1">
      <c r="A20" s="58" t="s">
        <v>7</v>
      </c>
      <c r="B20" s="63" t="s">
        <v>92</v>
      </c>
      <c r="C20" s="63" t="s">
        <v>93</v>
      </c>
      <c r="D20" s="63" t="s">
        <v>94</v>
      </c>
      <c r="E20" s="63" t="s">
        <v>95</v>
      </c>
      <c r="F20" s="63" t="s">
        <v>8</v>
      </c>
      <c r="I20" s="146" t="s">
        <v>123</v>
      </c>
      <c r="J20" s="147"/>
      <c r="K20" s="147"/>
      <c r="L20" s="148"/>
    </row>
    <row r="21" spans="1:12">
      <c r="A21" s="16" t="s">
        <v>13</v>
      </c>
      <c r="B21" s="17">
        <f ca="1">SUM(B43:F43)</f>
        <v>0</v>
      </c>
      <c r="C21" s="17">
        <f ca="1">B54*F43</f>
        <v>0</v>
      </c>
      <c r="D21" s="17">
        <f ca="1">B51*B50</f>
        <v>0</v>
      </c>
      <c r="E21" s="17">
        <f>B13</f>
        <v>0</v>
      </c>
      <c r="F21" s="17">
        <f ca="1">B21+C21+D21+E21</f>
        <v>0</v>
      </c>
      <c r="I21" s="100"/>
      <c r="J21" s="101"/>
      <c r="K21" s="68" t="s">
        <v>120</v>
      </c>
      <c r="L21" s="69" t="s">
        <v>121</v>
      </c>
    </row>
    <row r="22" spans="1:12">
      <c r="A22" s="16" t="s">
        <v>9</v>
      </c>
      <c r="B22" s="59" t="str">
        <f ca="1">IFERROR(B21/$F21,"")</f>
        <v/>
      </c>
      <c r="C22" s="59" t="str">
        <f ca="1">IFERROR(C21/$F21,"")</f>
        <v/>
      </c>
      <c r="D22" s="59" t="str">
        <f ca="1">IFERROR(D21/$F21,"")</f>
        <v/>
      </c>
      <c r="E22" s="59" t="str">
        <f ca="1">IFERROR(E21/$F21,"")</f>
        <v/>
      </c>
      <c r="F22" s="59">
        <v>1</v>
      </c>
      <c r="I22" s="99" t="s">
        <v>122</v>
      </c>
      <c r="J22" s="15"/>
      <c r="K22" s="102">
        <v>0.17</v>
      </c>
      <c r="L22" s="103">
        <v>0.17</v>
      </c>
    </row>
    <row r="23" spans="1:12">
      <c r="A23" s="16"/>
      <c r="B23" s="20"/>
      <c r="C23" s="20"/>
      <c r="D23" s="20"/>
      <c r="E23" s="20"/>
      <c r="F23" s="20"/>
    </row>
    <row r="24" spans="1:12" ht="15.75" hidden="1" customHeight="1" thickBot="1">
      <c r="A24" s="58" t="s">
        <v>74</v>
      </c>
      <c r="B24" s="60">
        <v>1</v>
      </c>
      <c r="C24" s="60">
        <v>2</v>
      </c>
      <c r="D24" s="60">
        <v>3</v>
      </c>
      <c r="E24" s="60">
        <v>4</v>
      </c>
      <c r="F24" s="60">
        <v>5</v>
      </c>
      <c r="I24" t="s">
        <v>115</v>
      </c>
      <c r="K24" s="98">
        <v>0.25</v>
      </c>
      <c r="L24" s="98">
        <v>0.25</v>
      </c>
    </row>
    <row r="25" spans="1:12" s="9" customFormat="1" ht="12" hidden="1" customHeight="1">
      <c r="B25" s="32">
        <f>DATE(YEAR($B$3)+B24,MONTH($B$3),DAY($B$3))</f>
        <v>43100</v>
      </c>
      <c r="C25" s="32">
        <f t="shared" ref="C25:F25" si="0">DATE(YEAR($B$3)+C24,MONTH($B$3),DAY($B$3))</f>
        <v>43465</v>
      </c>
      <c r="D25" s="32">
        <f t="shared" si="0"/>
        <v>43830</v>
      </c>
      <c r="E25" s="32">
        <f t="shared" si="0"/>
        <v>44196</v>
      </c>
      <c r="F25" s="32">
        <f t="shared" si="0"/>
        <v>44561</v>
      </c>
      <c r="I25" s="9" t="s">
        <v>57</v>
      </c>
      <c r="L25" s="9">
        <v>26.29</v>
      </c>
    </row>
    <row r="26" spans="1:12" hidden="1">
      <c r="A26" t="s">
        <v>37</v>
      </c>
      <c r="B26" s="30">
        <f>(CHOOSE($B36,C8,C9)+1)*G3</f>
        <v>6.4611019183901757</v>
      </c>
      <c r="C26" s="30">
        <f>(CHOOSE($B36,D8,D9)+1)*B26</f>
        <v>6.4611019183901757</v>
      </c>
      <c r="D26" s="30">
        <f>(CHOOSE($B36,E8,E9)+1)*C26</f>
        <v>6.4611019183901757</v>
      </c>
      <c r="E26" s="30">
        <f>(CHOOSE($B36,F8,F9)+1)*D26</f>
        <v>6.4611019183901757</v>
      </c>
      <c r="F26" s="30">
        <f>(CHOOSE($B36,G8,G9)+1)*E26</f>
        <v>6.4611019183901757</v>
      </c>
    </row>
    <row r="27" spans="1:12" hidden="1">
      <c r="A27" t="s">
        <v>71</v>
      </c>
      <c r="B27" s="57">
        <f>CHOOSE($B37,C10,C11)*B26</f>
        <v>0</v>
      </c>
      <c r="C27" s="5">
        <f>CHOOSE($B37,D10,D11)*C26</f>
        <v>0</v>
      </c>
      <c r="D27" s="5">
        <f>CHOOSE($B37,E10,E11)*D26</f>
        <v>0</v>
      </c>
      <c r="E27" s="5">
        <f>CHOOSE($B37,F10,F11)*E26</f>
        <v>0</v>
      </c>
      <c r="F27" s="5">
        <f>CHOOSE($B37,G10,G11)*F26</f>
        <v>0</v>
      </c>
    </row>
    <row r="28" spans="1:12" hidden="1">
      <c r="A28" t="s">
        <v>72</v>
      </c>
      <c r="B28" s="57">
        <f>-C12*B27</f>
        <v>0</v>
      </c>
      <c r="C28" s="57">
        <f t="shared" ref="C28:E28" si="1">-D12*C27</f>
        <v>0</v>
      </c>
      <c r="D28" s="57">
        <f t="shared" si="1"/>
        <v>0</v>
      </c>
      <c r="E28" s="57">
        <f t="shared" si="1"/>
        <v>0</v>
      </c>
      <c r="F28" s="57">
        <f>-G12*F27</f>
        <v>0</v>
      </c>
    </row>
    <row r="29" spans="1:12" ht="15.75" hidden="1" thickBot="1">
      <c r="A29" t="s">
        <v>73</v>
      </c>
      <c r="B29" s="4">
        <f>B27+B28</f>
        <v>0</v>
      </c>
      <c r="C29" s="4">
        <f>C27+C28</f>
        <v>0</v>
      </c>
      <c r="D29" s="4">
        <f>D27+D28</f>
        <v>0</v>
      </c>
      <c r="E29" s="4">
        <f>E27+E28</f>
        <v>0</v>
      </c>
      <c r="F29" s="4">
        <f>F27+F28</f>
        <v>0</v>
      </c>
    </row>
    <row r="30" spans="1:12" ht="15.75" hidden="1" thickTop="1">
      <c r="B30" s="61"/>
      <c r="C30" s="61"/>
      <c r="D30" s="61"/>
      <c r="E30" s="61"/>
      <c r="F30" s="61"/>
    </row>
    <row r="31" spans="1:12" hidden="1">
      <c r="B31" s="34" t="s">
        <v>20</v>
      </c>
      <c r="E31" s="34"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9" t="s">
        <v>35</v>
      </c>
      <c r="B41" s="149"/>
      <c r="C41" s="149"/>
      <c r="D41" s="149"/>
      <c r="E41" s="149"/>
      <c r="F41" s="149"/>
    </row>
    <row r="42" spans="1:16" hidden="1">
      <c r="A42" t="s">
        <v>21</v>
      </c>
      <c r="B42" s="19">
        <f ca="1">B25-TODAY()</f>
        <v>117</v>
      </c>
      <c r="C42" s="19">
        <f ca="1">C25-TODAY()</f>
        <v>482</v>
      </c>
      <c r="D42" s="19">
        <f ca="1">D25-TODAY()</f>
        <v>847</v>
      </c>
      <c r="E42" s="19">
        <f ca="1">E25-TODAY()</f>
        <v>1213</v>
      </c>
      <c r="F42" s="19">
        <f ca="1">F25-TODAY()</f>
        <v>1578</v>
      </c>
      <c r="P42" s="37"/>
    </row>
    <row r="43" spans="1:16" hidden="1">
      <c r="A43" t="s">
        <v>22</v>
      </c>
      <c r="B43" s="17">
        <f ca="1">B29*EXP(-$B$4*B42/365.25)</f>
        <v>0</v>
      </c>
      <c r="C43" s="17">
        <f ca="1">C29*EXP(-$B$4*C42/365.25)</f>
        <v>0</v>
      </c>
      <c r="D43" s="17">
        <f ca="1">D29*EXP(-$B$4*D42/365.25)</f>
        <v>0</v>
      </c>
      <c r="E43" s="17">
        <f ca="1">E29*EXP(-$B$4*E42/365.25)</f>
        <v>0</v>
      </c>
      <c r="F43" s="17">
        <f ca="1">F29*EXP(-$B$4*F42/365.25)</f>
        <v>0</v>
      </c>
      <c r="O43" s="38"/>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3404</v>
      </c>
      <c r="C48" s="33"/>
    </row>
    <row r="49" spans="1:7" hidden="1">
      <c r="A49" s="6" t="s">
        <v>24</v>
      </c>
      <c r="B49" s="17">
        <f>F29*EXP(CHOOSE(B38,C17,C18)*B16)</f>
        <v>0</v>
      </c>
    </row>
    <row r="50" spans="1:7" hidden="1">
      <c r="A50" s="6" t="s">
        <v>29</v>
      </c>
      <c r="B50" s="17">
        <f ca="1">B49*EXP(-B4*B48/365.25)</f>
        <v>0</v>
      </c>
    </row>
    <row r="51" spans="1:7" hidden="1">
      <c r="A51" s="6" t="s">
        <v>31</v>
      </c>
      <c r="B51" s="17">
        <f>(1+SUM(G16,G17))/(B4-SUM(G16,G17))</f>
        <v>15.000000000000002</v>
      </c>
    </row>
    <row r="52" spans="1:7" hidden="1">
      <c r="A52" s="6" t="s">
        <v>32</v>
      </c>
      <c r="B52" s="18">
        <f>(1+CHOOSE(B38,D17,D18))/(B4-(CHOOSE(B38,D17,D18)))</f>
        <v>8.3333333333333339</v>
      </c>
      <c r="F52" s="37"/>
    </row>
    <row r="53" spans="1:7" hidden="1">
      <c r="A53" s="6" t="s">
        <v>33</v>
      </c>
      <c r="B53" s="37">
        <f>1-(((1+CHOOSE(B38,D17,D18))/(1+B4))^B16)</f>
        <v>0.4325731442814007</v>
      </c>
      <c r="F53" s="38"/>
    </row>
    <row r="54" spans="1:7" hidden="1">
      <c r="A54" s="6" t="s">
        <v>30</v>
      </c>
      <c r="B54" s="35">
        <f>B52*B53</f>
        <v>3.6047762023450063</v>
      </c>
    </row>
    <row r="55" spans="1:7" hidden="1"/>
    <row r="56" spans="1:7" hidden="1"/>
    <row r="57" spans="1:7" hidden="1">
      <c r="A57" s="40" t="s">
        <v>36</v>
      </c>
    </row>
    <row r="58" spans="1:7" hidden="1">
      <c r="A58" t="s">
        <v>37</v>
      </c>
      <c r="B58" s="18">
        <f>$G$3*(1+C$9)</f>
        <v>6.4611019183901757</v>
      </c>
      <c r="C58" s="18">
        <f>B58*(1+D$9)</f>
        <v>6.4611019183901757</v>
      </c>
      <c r="D58" s="18">
        <f>C58*(1+E$9)</f>
        <v>6.4611019183901757</v>
      </c>
      <c r="E58" s="18">
        <f>D58*(1+F$9)</f>
        <v>6.4611019183901757</v>
      </c>
      <c r="F58" s="18">
        <f>E58*(1+G$9)</f>
        <v>6.4611019183901757</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7">
        <f t="shared" ref="B61:E61" si="2">B59-(C$12*B59)</f>
        <v>0</v>
      </c>
      <c r="C61" s="37">
        <f t="shared" si="2"/>
        <v>0</v>
      </c>
      <c r="D61" s="37">
        <f t="shared" si="2"/>
        <v>0</v>
      </c>
      <c r="E61" s="37">
        <f t="shared" si="2"/>
        <v>0</v>
      </c>
      <c r="F61" s="37">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7">
        <f>((1+$D$18)/($B$4-$D$18)*(1-(((1+$D$18)/(1+$B$4))^$B$16)))</f>
        <v>3.6047762023450063</v>
      </c>
      <c r="G63" s="18">
        <f ca="1">F63*F62</f>
        <v>0</v>
      </c>
    </row>
    <row r="64" spans="1:7" hidden="1">
      <c r="A64" t="s">
        <v>40</v>
      </c>
      <c r="B64" s="37"/>
      <c r="F64" s="18">
        <f>F61*EXP($C$18*$B$16)</f>
        <v>0</v>
      </c>
    </row>
    <row r="65" spans="1:7" hidden="1">
      <c r="A65" t="s">
        <v>43</v>
      </c>
      <c r="F65" s="18">
        <f ca="1">F64*EXP(-$B$4*B$48/365.25)</f>
        <v>0</v>
      </c>
      <c r="G65" s="41">
        <f ca="1">F65*B$51</f>
        <v>0</v>
      </c>
    </row>
    <row r="66" spans="1:7" hidden="1">
      <c r="A66" t="s">
        <v>44</v>
      </c>
      <c r="G66" s="18">
        <f ca="1">SUM(G62:G63,G65)</f>
        <v>0</v>
      </c>
    </row>
    <row r="67" spans="1:7" hidden="1">
      <c r="A67" t="s">
        <v>25</v>
      </c>
      <c r="G67" s="42">
        <f ca="1">G66/$G$4</f>
        <v>0</v>
      </c>
    </row>
    <row r="68" spans="1:7" hidden="1">
      <c r="G68" s="37"/>
    </row>
    <row r="69" spans="1:7" hidden="1">
      <c r="A69" s="40" t="s">
        <v>45</v>
      </c>
    </row>
    <row r="70" spans="1:7" hidden="1">
      <c r="A70" t="s">
        <v>37</v>
      </c>
      <c r="B70" s="18">
        <f>$G$3*(1+C$9)</f>
        <v>6.4611019183901757</v>
      </c>
      <c r="C70" s="18">
        <f>B70*(1+D$9)</f>
        <v>6.4611019183901757</v>
      </c>
      <c r="D70" s="18">
        <f>C70*(1+E$9)</f>
        <v>6.4611019183901757</v>
      </c>
      <c r="E70" s="18">
        <f>D70*(1+F$9)</f>
        <v>6.4611019183901757</v>
      </c>
      <c r="F70" s="18">
        <f>E70*(1+G$9)</f>
        <v>6.4611019183901757</v>
      </c>
    </row>
    <row r="71" spans="1:7" hidden="1">
      <c r="A71" t="s">
        <v>38</v>
      </c>
      <c r="B71" s="18">
        <f>B70*C$11</f>
        <v>0</v>
      </c>
      <c r="C71" s="18">
        <f>C70*D$11</f>
        <v>0</v>
      </c>
      <c r="D71" s="18">
        <f>D70*E$11</f>
        <v>0</v>
      </c>
      <c r="E71" s="18">
        <f>E70*F$11</f>
        <v>0</v>
      </c>
      <c r="F71" s="18">
        <f>F70*G$11</f>
        <v>0</v>
      </c>
    </row>
    <row r="72" spans="1:7" hidden="1">
      <c r="A72" t="s">
        <v>39</v>
      </c>
      <c r="B72" s="37">
        <f t="shared" ref="B72:E72" si="3">B71-(C$12*B71)</f>
        <v>0</v>
      </c>
      <c r="C72" s="37">
        <f t="shared" si="3"/>
        <v>0</v>
      </c>
      <c r="D72" s="37">
        <f t="shared" si="3"/>
        <v>0</v>
      </c>
      <c r="E72" s="37">
        <f t="shared" si="3"/>
        <v>0</v>
      </c>
      <c r="F72" s="37">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7">
        <f>((1+$D$17)/($B$4-$D$17)*(1-(((1+$D$17)/(1+$B$4))^$B$16)))</f>
        <v>3.6047762023450063</v>
      </c>
      <c r="G74" s="18">
        <f ca="1">F74*F73</f>
        <v>0</v>
      </c>
    </row>
    <row r="75" spans="1:7" hidden="1">
      <c r="A75" t="s">
        <v>40</v>
      </c>
      <c r="B75" s="37"/>
      <c r="F75" s="18">
        <f>F72*EXP($C$17*$B$16)</f>
        <v>0</v>
      </c>
    </row>
    <row r="76" spans="1:7" hidden="1">
      <c r="A76" t="s">
        <v>43</v>
      </c>
      <c r="F76" s="18">
        <f ca="1">F75*EXP(-$B$4*B$48/365.25)</f>
        <v>0</v>
      </c>
      <c r="G76" s="41">
        <f ca="1">F76*B$51</f>
        <v>0</v>
      </c>
    </row>
    <row r="77" spans="1:7" hidden="1">
      <c r="A77" t="s">
        <v>44</v>
      </c>
      <c r="G77" s="18">
        <f ca="1">SUM(G73:G74,G76)</f>
        <v>0</v>
      </c>
    </row>
    <row r="78" spans="1:7" hidden="1">
      <c r="A78" t="s">
        <v>25</v>
      </c>
      <c r="G78" s="42">
        <f ca="1">G77/$G$4</f>
        <v>0</v>
      </c>
    </row>
    <row r="79" spans="1:7" hidden="1"/>
    <row r="80" spans="1:7" hidden="1">
      <c r="A80" s="40" t="s">
        <v>46</v>
      </c>
    </row>
    <row r="81" spans="1:7" hidden="1">
      <c r="A81" t="s">
        <v>37</v>
      </c>
      <c r="B81" s="18">
        <f>$G$3*(1+C$9)</f>
        <v>6.4611019183901757</v>
      </c>
      <c r="C81" s="18">
        <f>B81*(1+D$9)</f>
        <v>6.4611019183901757</v>
      </c>
      <c r="D81" s="18">
        <f>C81*(1+E$9)</f>
        <v>6.4611019183901757</v>
      </c>
      <c r="E81" s="18">
        <f>D81*(1+F$9)</f>
        <v>6.4611019183901757</v>
      </c>
      <c r="F81" s="18">
        <f>E81*(1+G$9)</f>
        <v>6.4611019183901757</v>
      </c>
    </row>
    <row r="82" spans="1:7" hidden="1">
      <c r="A82" t="s">
        <v>38</v>
      </c>
      <c r="B82" s="18">
        <f>B81*C$10</f>
        <v>0</v>
      </c>
      <c r="C82" s="18">
        <f>C81*D$10</f>
        <v>0</v>
      </c>
      <c r="D82" s="18">
        <f>D81*E$10</f>
        <v>0</v>
      </c>
      <c r="E82" s="18">
        <f>E81*F$10</f>
        <v>0</v>
      </c>
      <c r="F82" s="18">
        <f>F81*G$10</f>
        <v>0</v>
      </c>
    </row>
    <row r="83" spans="1:7" hidden="1">
      <c r="A83" t="s">
        <v>39</v>
      </c>
      <c r="B83" s="37">
        <f>B82-(C$12*B82)</f>
        <v>0</v>
      </c>
      <c r="C83" s="37">
        <f t="shared" ref="C83:F83" si="4">C82-(D$12*C82)</f>
        <v>0</v>
      </c>
      <c r="D83" s="37">
        <f t="shared" si="4"/>
        <v>0</v>
      </c>
      <c r="E83" s="37">
        <f t="shared" si="4"/>
        <v>0</v>
      </c>
      <c r="F83" s="37">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7">
        <f>((1+$D$18)/($B$4-$D$18)*(1-(((1+$D$18)/(1+$B$4))^$B$16)))</f>
        <v>3.6047762023450063</v>
      </c>
      <c r="G85" s="18">
        <f ca="1">F85*F84</f>
        <v>0</v>
      </c>
    </row>
    <row r="86" spans="1:7" hidden="1">
      <c r="A86" t="s">
        <v>40</v>
      </c>
      <c r="B86" s="37"/>
      <c r="F86" s="18">
        <f>F83*EXP($C$18*$B$16)</f>
        <v>0</v>
      </c>
    </row>
    <row r="87" spans="1:7" hidden="1">
      <c r="A87" t="s">
        <v>43</v>
      </c>
      <c r="F87" s="18">
        <f ca="1">F86*EXP(-$B$4*B$48/365.25)</f>
        <v>0</v>
      </c>
      <c r="G87" s="41">
        <f ca="1">F87*B$51</f>
        <v>0</v>
      </c>
    </row>
    <row r="88" spans="1:7" hidden="1">
      <c r="A88" t="s">
        <v>44</v>
      </c>
      <c r="G88" s="18">
        <f ca="1">SUM(G84:G85,G87)</f>
        <v>0</v>
      </c>
    </row>
    <row r="89" spans="1:7" hidden="1">
      <c r="A89" t="s">
        <v>25</v>
      </c>
      <c r="G89" s="42">
        <f ca="1">G88/$G$4</f>
        <v>0</v>
      </c>
    </row>
    <row r="90" spans="1:7" hidden="1"/>
    <row r="91" spans="1:7" hidden="1">
      <c r="A91" s="40" t="s">
        <v>47</v>
      </c>
    </row>
    <row r="92" spans="1:7" hidden="1">
      <c r="A92" t="s">
        <v>37</v>
      </c>
      <c r="B92" s="18">
        <f>$G$3*(1+C$9)</f>
        <v>6.4611019183901757</v>
      </c>
      <c r="C92" s="18">
        <f>B92*(1+D$9)</f>
        <v>6.4611019183901757</v>
      </c>
      <c r="D92" s="18">
        <f>C92*(1+E$9)</f>
        <v>6.4611019183901757</v>
      </c>
      <c r="E92" s="18">
        <f>D92*(1+F$9)</f>
        <v>6.4611019183901757</v>
      </c>
      <c r="F92" s="18">
        <f>E92*(1+G$9)</f>
        <v>6.4611019183901757</v>
      </c>
    </row>
    <row r="93" spans="1:7" hidden="1">
      <c r="A93" t="s">
        <v>38</v>
      </c>
      <c r="B93" s="18">
        <f>B92*C$10</f>
        <v>0</v>
      </c>
      <c r="C93" s="18">
        <f>C92*D$10</f>
        <v>0</v>
      </c>
      <c r="D93" s="18">
        <f>D92*E$10</f>
        <v>0</v>
      </c>
      <c r="E93" s="18">
        <f>E92*F$10</f>
        <v>0</v>
      </c>
      <c r="F93" s="18">
        <f>F92*G$10</f>
        <v>0</v>
      </c>
    </row>
    <row r="94" spans="1:7" hidden="1">
      <c r="A94" t="s">
        <v>39</v>
      </c>
      <c r="B94" s="37">
        <f>B93-(C$12*B93)</f>
        <v>0</v>
      </c>
      <c r="C94" s="37">
        <f t="shared" ref="C94" si="5">C93-(D$12*C93)</f>
        <v>0</v>
      </c>
      <c r="D94" s="37">
        <f t="shared" ref="D94" si="6">D93-(E$12*D93)</f>
        <v>0</v>
      </c>
      <c r="E94" s="37">
        <f t="shared" ref="E94" si="7">E93-(F$12*E93)</f>
        <v>0</v>
      </c>
      <c r="F94" s="37">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7">
        <f>((1+$D$17)/($B$4-$D$17)*(1-(((1+$D$17)/(1+$B$4))^$B$16)))</f>
        <v>3.6047762023450063</v>
      </c>
      <c r="G96" s="18">
        <f ca="1">F96*F95</f>
        <v>0</v>
      </c>
    </row>
    <row r="97" spans="1:7" hidden="1">
      <c r="A97" t="s">
        <v>40</v>
      </c>
      <c r="B97" s="37"/>
      <c r="F97" s="18">
        <f>F94*EXP($C$17*$B$16)</f>
        <v>0</v>
      </c>
    </row>
    <row r="98" spans="1:7" hidden="1">
      <c r="A98" t="s">
        <v>43</v>
      </c>
      <c r="F98" s="18">
        <f ca="1">F97*EXP(-$B$4*B$48/365.25)</f>
        <v>0</v>
      </c>
      <c r="G98" s="41">
        <f ca="1">F98*B$51</f>
        <v>0</v>
      </c>
    </row>
    <row r="99" spans="1:7" hidden="1">
      <c r="A99" t="s">
        <v>44</v>
      </c>
      <c r="G99" s="18">
        <f ca="1">SUM(G95:G96,G98)</f>
        <v>0</v>
      </c>
    </row>
    <row r="100" spans="1:7" hidden="1">
      <c r="A100" t="s">
        <v>25</v>
      </c>
      <c r="G100" s="42">
        <f ca="1">G99/$G$4</f>
        <v>0</v>
      </c>
    </row>
    <row r="101" spans="1:7" hidden="1"/>
    <row r="102" spans="1:7" hidden="1">
      <c r="A102" s="40" t="s">
        <v>48</v>
      </c>
    </row>
    <row r="103" spans="1:7" hidden="1">
      <c r="A103" t="s">
        <v>37</v>
      </c>
      <c r="B103" s="18">
        <f>$G$3*(1+C$8)</f>
        <v>6.4611019183901757</v>
      </c>
      <c r="C103" s="18">
        <f>B103*(1+D$8)</f>
        <v>6.4611019183901757</v>
      </c>
      <c r="D103" s="18">
        <f>C103*(1+E$8)</f>
        <v>6.4611019183901757</v>
      </c>
      <c r="E103" s="18">
        <f>D103*(1+F$8)</f>
        <v>6.4611019183901757</v>
      </c>
      <c r="F103" s="18">
        <f>E103*(1+G$8)</f>
        <v>6.4611019183901757</v>
      </c>
    </row>
    <row r="104" spans="1:7" hidden="1">
      <c r="A104" t="s">
        <v>38</v>
      </c>
      <c r="B104" s="18">
        <f>B103*C$11</f>
        <v>0</v>
      </c>
      <c r="C104" s="18">
        <f>C103*D$11</f>
        <v>0</v>
      </c>
      <c r="D104" s="18">
        <f>D103*E$11</f>
        <v>0</v>
      </c>
      <c r="E104" s="18">
        <f>E103*F$11</f>
        <v>0</v>
      </c>
      <c r="F104" s="18">
        <f>F103*G$11</f>
        <v>0</v>
      </c>
    </row>
    <row r="105" spans="1:7" hidden="1">
      <c r="A105" t="s">
        <v>39</v>
      </c>
      <c r="B105" s="37">
        <f>B104-(C$12*B104)</f>
        <v>0</v>
      </c>
      <c r="C105" s="37">
        <f t="shared" ref="C105" si="9">C104-(D$12*C104)</f>
        <v>0</v>
      </c>
      <c r="D105" s="37">
        <f t="shared" ref="D105" si="10">D104-(E$12*D104)</f>
        <v>0</v>
      </c>
      <c r="E105" s="37">
        <f t="shared" ref="E105" si="11">E104-(F$12*E104)</f>
        <v>0</v>
      </c>
      <c r="F105" s="37">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7">
        <f>((1+$D$18)/($B$4-$D$18)*(1-(((1+$D$18)/(1+$B$4))^$B$16)))</f>
        <v>3.6047762023450063</v>
      </c>
      <c r="G107" s="18">
        <f ca="1">F107*F106</f>
        <v>0</v>
      </c>
    </row>
    <row r="108" spans="1:7" hidden="1">
      <c r="A108" t="s">
        <v>40</v>
      </c>
      <c r="B108" s="37"/>
      <c r="F108" s="18">
        <f>F105*EXP($C$18*$B$16)</f>
        <v>0</v>
      </c>
    </row>
    <row r="109" spans="1:7" hidden="1">
      <c r="A109" t="s">
        <v>43</v>
      </c>
      <c r="F109" s="18">
        <f ca="1">F108*EXP(-$B$4*B$48/365.25)</f>
        <v>0</v>
      </c>
      <c r="G109" s="41">
        <f ca="1">F109*B$51</f>
        <v>0</v>
      </c>
    </row>
    <row r="110" spans="1:7" hidden="1">
      <c r="A110" t="s">
        <v>44</v>
      </c>
      <c r="G110" s="18">
        <f ca="1">SUM(G106:G107,G109)</f>
        <v>0</v>
      </c>
    </row>
    <row r="111" spans="1:7" hidden="1">
      <c r="A111" t="s">
        <v>25</v>
      </c>
      <c r="G111" s="42">
        <f ca="1">G110/$G$4</f>
        <v>0</v>
      </c>
    </row>
    <row r="112" spans="1:7" hidden="1"/>
    <row r="113" spans="1:7" hidden="1">
      <c r="A113" s="40" t="s">
        <v>49</v>
      </c>
    </row>
    <row r="114" spans="1:7" hidden="1">
      <c r="A114" t="s">
        <v>37</v>
      </c>
      <c r="B114" s="18">
        <f>$G$3*(1+C$8)</f>
        <v>6.4611019183901757</v>
      </c>
      <c r="C114" s="18">
        <f>B114*(1+D$8)</f>
        <v>6.4611019183901757</v>
      </c>
      <c r="D114" s="18">
        <f>C114*(1+E$8)</f>
        <v>6.4611019183901757</v>
      </c>
      <c r="E114" s="18">
        <f>D114*(1+F$8)</f>
        <v>6.4611019183901757</v>
      </c>
      <c r="F114" s="18">
        <f>E114*(1+G$8)</f>
        <v>6.4611019183901757</v>
      </c>
    </row>
    <row r="115" spans="1:7" hidden="1">
      <c r="A115" t="s">
        <v>38</v>
      </c>
      <c r="B115" s="18">
        <f>B114*C$11</f>
        <v>0</v>
      </c>
      <c r="C115" s="18">
        <f>C114*D$11</f>
        <v>0</v>
      </c>
      <c r="D115" s="18">
        <f>D114*E$11</f>
        <v>0</v>
      </c>
      <c r="E115" s="18">
        <f>E114*F$11</f>
        <v>0</v>
      </c>
      <c r="F115" s="18">
        <f>F114*G$11</f>
        <v>0</v>
      </c>
    </row>
    <row r="116" spans="1:7" hidden="1">
      <c r="A116" t="s">
        <v>39</v>
      </c>
      <c r="B116" s="37">
        <f>B115-(C$12*B115)</f>
        <v>0</v>
      </c>
      <c r="C116" s="37">
        <f t="shared" ref="C116" si="13">C115-(D$12*C115)</f>
        <v>0</v>
      </c>
      <c r="D116" s="37">
        <f t="shared" ref="D116" si="14">D115-(E$12*D115)</f>
        <v>0</v>
      </c>
      <c r="E116" s="37">
        <f t="shared" ref="E116" si="15">E115-(F$12*E115)</f>
        <v>0</v>
      </c>
      <c r="F116" s="37">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7">
        <f>((1+$D$17)/($B$4-$D$17)*(1-(((1+$D$17)/(1+$B$4))^$B$16)))</f>
        <v>3.6047762023450063</v>
      </c>
      <c r="G118" s="18">
        <f ca="1">F118*F117</f>
        <v>0</v>
      </c>
    </row>
    <row r="119" spans="1:7" hidden="1">
      <c r="A119" t="s">
        <v>40</v>
      </c>
      <c r="B119" s="37"/>
      <c r="F119" s="18">
        <f>F116*EXP($C$17*$B$16)</f>
        <v>0</v>
      </c>
    </row>
    <row r="120" spans="1:7" hidden="1">
      <c r="A120" t="s">
        <v>43</v>
      </c>
      <c r="F120" s="18">
        <f ca="1">F119*EXP(-$B$4*B$48/365.25)</f>
        <v>0</v>
      </c>
      <c r="G120" s="41">
        <f ca="1">F120*B$51</f>
        <v>0</v>
      </c>
    </row>
    <row r="121" spans="1:7" hidden="1">
      <c r="A121" t="s">
        <v>44</v>
      </c>
      <c r="G121" s="18">
        <f ca="1">SUM(G117:G118,G120)</f>
        <v>0</v>
      </c>
    </row>
    <row r="122" spans="1:7" hidden="1">
      <c r="A122" t="s">
        <v>25</v>
      </c>
      <c r="G122" s="42">
        <f ca="1">G121/$G$4</f>
        <v>0</v>
      </c>
    </row>
    <row r="123" spans="1:7" hidden="1"/>
    <row r="124" spans="1:7" hidden="1">
      <c r="A124" s="40" t="s">
        <v>50</v>
      </c>
    </row>
    <row r="125" spans="1:7" hidden="1">
      <c r="A125" t="s">
        <v>37</v>
      </c>
      <c r="B125" s="18">
        <f>$G$3*(1+C$8)</f>
        <v>6.4611019183901757</v>
      </c>
      <c r="C125" s="18">
        <f>B125*(1+D$8)</f>
        <v>6.4611019183901757</v>
      </c>
      <c r="D125" s="18">
        <f>C125*(1+E$8)</f>
        <v>6.4611019183901757</v>
      </c>
      <c r="E125" s="18">
        <f>D125*(1+F$8)</f>
        <v>6.4611019183901757</v>
      </c>
      <c r="F125" s="18">
        <f>E125*(1+G$8)</f>
        <v>6.4611019183901757</v>
      </c>
    </row>
    <row r="126" spans="1:7" hidden="1">
      <c r="A126" t="s">
        <v>38</v>
      </c>
      <c r="B126" s="18">
        <f>B125*C$10</f>
        <v>0</v>
      </c>
      <c r="C126" s="18">
        <f>C125*D$10</f>
        <v>0</v>
      </c>
      <c r="D126" s="18">
        <f>D125*E$10</f>
        <v>0</v>
      </c>
      <c r="E126" s="18">
        <f>E125*F$10</f>
        <v>0</v>
      </c>
      <c r="F126" s="18">
        <f>F125*G$10</f>
        <v>0</v>
      </c>
    </row>
    <row r="127" spans="1:7" hidden="1">
      <c r="A127" t="s">
        <v>39</v>
      </c>
      <c r="B127" s="37">
        <f>B126-(C$12*B126)</f>
        <v>0</v>
      </c>
      <c r="C127" s="37">
        <f t="shared" ref="C127" si="17">C126-(D$12*C126)</f>
        <v>0</v>
      </c>
      <c r="D127" s="37">
        <f t="shared" ref="D127" si="18">D126-(E$12*D126)</f>
        <v>0</v>
      </c>
      <c r="E127" s="37">
        <f t="shared" ref="E127" si="19">E126-(F$12*E126)</f>
        <v>0</v>
      </c>
      <c r="F127" s="37">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7">
        <f>((1+$D$18)/($B$4-$D$18)*(1-(((1+$D$18)/(1+$B$4))^$B$16)))</f>
        <v>3.6047762023450063</v>
      </c>
      <c r="G129" s="18">
        <f ca="1">F129*F128</f>
        <v>0</v>
      </c>
    </row>
    <row r="130" spans="1:11" hidden="1">
      <c r="A130" t="s">
        <v>40</v>
      </c>
      <c r="B130" s="37"/>
      <c r="F130" s="18">
        <f>F127*EXP($C$18*$B$16)</f>
        <v>0</v>
      </c>
    </row>
    <row r="131" spans="1:11" hidden="1">
      <c r="A131" t="s">
        <v>43</v>
      </c>
      <c r="F131" s="18">
        <f ca="1">F130*EXP(-$B$4*B$48/365.25)</f>
        <v>0</v>
      </c>
      <c r="G131" s="41">
        <f ca="1">F131*B$51</f>
        <v>0</v>
      </c>
    </row>
    <row r="132" spans="1:11" hidden="1">
      <c r="A132" t="s">
        <v>44</v>
      </c>
      <c r="G132" s="18">
        <f ca="1">SUM(G128:G129,G131)</f>
        <v>0</v>
      </c>
    </row>
    <row r="133" spans="1:11" hidden="1">
      <c r="A133" t="s">
        <v>25</v>
      </c>
      <c r="G133" s="42">
        <f ca="1">G132/$G$4</f>
        <v>0</v>
      </c>
    </row>
    <row r="134" spans="1:11" hidden="1"/>
    <row r="135" spans="1:11" hidden="1">
      <c r="A135" s="40" t="s">
        <v>49</v>
      </c>
    </row>
    <row r="136" spans="1:11" hidden="1">
      <c r="A136" t="s">
        <v>37</v>
      </c>
      <c r="B136" s="18">
        <f>$G$3*(1+C$8)</f>
        <v>6.4611019183901757</v>
      </c>
      <c r="C136" s="18">
        <f>B136*(1+D$8)</f>
        <v>6.4611019183901757</v>
      </c>
      <c r="D136" s="18">
        <f>C136*(1+E$8)</f>
        <v>6.4611019183901757</v>
      </c>
      <c r="E136" s="18">
        <f>D136*(1+F$8)</f>
        <v>6.4611019183901757</v>
      </c>
      <c r="F136" s="18">
        <f>E136*(1+G$8)</f>
        <v>6.4611019183901757</v>
      </c>
    </row>
    <row r="137" spans="1:11" hidden="1">
      <c r="A137" t="s">
        <v>38</v>
      </c>
      <c r="B137" s="18">
        <f>B136*C$10</f>
        <v>0</v>
      </c>
      <c r="C137" s="18">
        <f>C136*D$10</f>
        <v>0</v>
      </c>
      <c r="D137" s="18">
        <f>D136*E$10</f>
        <v>0</v>
      </c>
      <c r="E137" s="18">
        <f>E136*F$10</f>
        <v>0</v>
      </c>
      <c r="F137" s="18">
        <f>F136*G$10</f>
        <v>0</v>
      </c>
    </row>
    <row r="138" spans="1:11" hidden="1">
      <c r="A138" t="s">
        <v>39</v>
      </c>
      <c r="B138" s="37">
        <f>B137-(C$12*B137)</f>
        <v>0</v>
      </c>
      <c r="C138" s="37">
        <f t="shared" ref="C138" si="21">C137-(D$12*C137)</f>
        <v>0</v>
      </c>
      <c r="D138" s="37">
        <f t="shared" ref="D138" si="22">D137-(E$12*D137)</f>
        <v>0</v>
      </c>
      <c r="E138" s="37">
        <f t="shared" ref="E138" si="23">E137-(F$12*E137)</f>
        <v>0</v>
      </c>
      <c r="F138" s="37">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7">
        <f>((1+$D$17)/($B$4-$D$17)*(1-(((1+$D$17)/(1+$B$4))^$B$16)))</f>
        <v>3.6047762023450063</v>
      </c>
      <c r="G140" s="18">
        <f ca="1">F140*F139</f>
        <v>0</v>
      </c>
    </row>
    <row r="141" spans="1:11" hidden="1">
      <c r="A141" t="s">
        <v>40</v>
      </c>
      <c r="B141" s="37"/>
      <c r="F141" s="18">
        <f>F138*EXP($C$17*$B$16)</f>
        <v>0</v>
      </c>
    </row>
    <row r="142" spans="1:11" hidden="1">
      <c r="A142" t="s">
        <v>43</v>
      </c>
      <c r="F142" s="18">
        <f ca="1">F141*EXP(-$B$4*B$48/365.25)</f>
        <v>0</v>
      </c>
      <c r="G142" s="41">
        <f ca="1">F142*B$51</f>
        <v>0</v>
      </c>
    </row>
    <row r="143" spans="1:11" hidden="1">
      <c r="A143" t="s">
        <v>44</v>
      </c>
      <c r="G143" s="18">
        <f ca="1">SUM(G139:G140,G142)</f>
        <v>0</v>
      </c>
    </row>
    <row r="144" spans="1:11" hidden="1">
      <c r="A144" t="s">
        <v>25</v>
      </c>
      <c r="G144" s="42">
        <f ca="1">G143/$G$4</f>
        <v>0</v>
      </c>
    </row>
    <row r="145" spans="11:11">
      <c r="K145" s="104"/>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tabSelected="1" zoomScaleNormal="100" workbookViewId="0">
      <selection activeCell="D12" sqref="D12"/>
    </sheetView>
  </sheetViews>
  <sheetFormatPr defaultRowHeight="15"/>
  <cols>
    <col min="1" max="1" width="43.855468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8" t="s">
        <v>129</v>
      </c>
      <c r="B1" s="60">
        <v>-9</v>
      </c>
      <c r="C1" s="60">
        <v>-8</v>
      </c>
      <c r="D1" s="60">
        <v>-7</v>
      </c>
      <c r="E1" s="60">
        <v>-6</v>
      </c>
      <c r="F1" s="60">
        <v>-5</v>
      </c>
      <c r="G1" s="60">
        <v>-4</v>
      </c>
      <c r="H1" s="60">
        <v>-3</v>
      </c>
      <c r="I1" s="60">
        <v>-2</v>
      </c>
      <c r="J1" s="60">
        <v>-1</v>
      </c>
      <c r="K1" s="60">
        <v>0</v>
      </c>
    </row>
    <row r="2" spans="1:11">
      <c r="A2" s="7" t="s">
        <v>130</v>
      </c>
      <c r="B2" s="105">
        <f>DATE(YEAR('Valuation Model'!$B3)+B1,MONTH('Valuation Model'!$B3),DAY('Valuation Model'!$B3))</f>
        <v>39447</v>
      </c>
      <c r="C2" s="105">
        <f>DATE(YEAR('Valuation Model'!$B3)+C1,MONTH('Valuation Model'!$B3),DAY('Valuation Model'!$B3))</f>
        <v>39813</v>
      </c>
      <c r="D2" s="105">
        <f>DATE(YEAR('Valuation Model'!$B3)+D1,MONTH('Valuation Model'!$B3),DAY('Valuation Model'!$B3))</f>
        <v>40178</v>
      </c>
      <c r="E2" s="105">
        <f>DATE(YEAR('Valuation Model'!$B3)+E1,MONTH('Valuation Model'!$B3),DAY('Valuation Model'!$B3))</f>
        <v>40543</v>
      </c>
      <c r="F2" s="105">
        <f>DATE(YEAR('Valuation Model'!$B3)+F1,MONTH('Valuation Model'!$B3),DAY('Valuation Model'!$B3))</f>
        <v>40908</v>
      </c>
      <c r="G2" s="105">
        <f>DATE(YEAR('Valuation Model'!$B3)+G1,MONTH('Valuation Model'!$B3),DAY('Valuation Model'!$B3))</f>
        <v>41274</v>
      </c>
      <c r="H2" s="105">
        <f>DATE(YEAR('Valuation Model'!$B3)+H1,MONTH('Valuation Model'!$B3),DAY('Valuation Model'!$B3))</f>
        <v>41639</v>
      </c>
      <c r="I2" s="105">
        <f>DATE(YEAR('Valuation Model'!$B3)+I1,MONTH('Valuation Model'!$B3),DAY('Valuation Model'!$B3))</f>
        <v>42004</v>
      </c>
      <c r="J2" s="105">
        <f>DATE(YEAR('Valuation Model'!$B3)+J1,MONTH('Valuation Model'!$B3),DAY('Valuation Model'!$B3))</f>
        <v>42369</v>
      </c>
      <c r="K2" s="105">
        <f>DATE(YEAR('Valuation Model'!$B3)+K1,MONTH('Valuation Model'!$B3),DAY('Valuation Model'!$B3))</f>
        <v>42735</v>
      </c>
    </row>
    <row r="3" spans="1:11">
      <c r="A3" s="1" t="s">
        <v>191</v>
      </c>
      <c r="B3" s="136"/>
      <c r="C3" s="136"/>
      <c r="D3" s="136"/>
      <c r="E3" s="136"/>
      <c r="F3" s="136"/>
      <c r="G3" s="136"/>
      <c r="H3" s="136">
        <v>7.0269879401361797</v>
      </c>
      <c r="I3" s="136">
        <v>4.0772628717274202</v>
      </c>
      <c r="J3" s="136">
        <v>5.1688826776759909</v>
      </c>
      <c r="K3" s="136">
        <v>6.4611019183901757</v>
      </c>
    </row>
    <row r="4" spans="1:11">
      <c r="A4" s="106" t="s">
        <v>131</v>
      </c>
      <c r="B4" s="106"/>
      <c r="C4" s="107" t="str">
        <f t="shared" ref="C4:F4" si="0">IFERROR(C3/B3-1,"")</f>
        <v/>
      </c>
      <c r="D4" s="107" t="str">
        <f t="shared" si="0"/>
        <v/>
      </c>
      <c r="E4" s="107" t="str">
        <f t="shared" si="0"/>
        <v/>
      </c>
      <c r="F4" s="107" t="str">
        <f t="shared" si="0"/>
        <v/>
      </c>
      <c r="G4" s="107" t="str">
        <f>IFERROR(G3/F3-1,"")</f>
        <v/>
      </c>
      <c r="H4" s="107" t="str">
        <f t="shared" ref="H4:K4" si="1">IFERROR(H3/G3-1,"")</f>
        <v/>
      </c>
      <c r="I4" s="107">
        <f t="shared" si="1"/>
        <v>-0.41977090234647463</v>
      </c>
      <c r="J4" s="107">
        <f t="shared" si="1"/>
        <v>0.26773348697188171</v>
      </c>
      <c r="K4" s="107">
        <f t="shared" si="1"/>
        <v>0.2499997235950393</v>
      </c>
    </row>
    <row r="5" spans="1:11">
      <c r="A5" s="106" t="s">
        <v>132</v>
      </c>
      <c r="B5" s="106"/>
      <c r="C5" s="106"/>
      <c r="D5" s="106"/>
      <c r="E5" s="107" t="str">
        <f>IFERROR(SUM(C3:E3)/SUM(B3:D3)-1,"")</f>
        <v/>
      </c>
      <c r="F5" s="107" t="str">
        <f t="shared" ref="F5:K5" si="2">IFERROR(SUM(D3:F3)/SUM(C3:E3)-1,"")</f>
        <v/>
      </c>
      <c r="G5" s="107" t="str">
        <f t="shared" si="2"/>
        <v/>
      </c>
      <c r="H5" s="107" t="str">
        <f t="shared" si="2"/>
        <v/>
      </c>
      <c r="I5" s="107">
        <f t="shared" si="2"/>
        <v>0.58022909765352537</v>
      </c>
      <c r="J5" s="107">
        <f t="shared" si="2"/>
        <v>0.46548684510562754</v>
      </c>
      <c r="K5" s="107">
        <f t="shared" si="2"/>
        <v>-3.4774250583623489E-2</v>
      </c>
    </row>
    <row r="6" spans="1:11">
      <c r="A6" s="106" t="s">
        <v>133</v>
      </c>
      <c r="B6" s="106"/>
      <c r="C6" s="106"/>
      <c r="D6" s="106"/>
      <c r="E6" s="106"/>
      <c r="F6" s="108"/>
      <c r="G6" s="107" t="str">
        <f>IFERROR(SUM(C3:G3)/SUM(B3:F3)-1,"")</f>
        <v/>
      </c>
      <c r="H6" s="107" t="str">
        <f t="shared" ref="H6:K6" si="3">IFERROR(SUM(D3:H3)/SUM(C3:G3)-1,"")</f>
        <v/>
      </c>
      <c r="I6" s="107">
        <f t="shared" si="3"/>
        <v>0.58022909765352537</v>
      </c>
      <c r="J6" s="107">
        <f t="shared" si="3"/>
        <v>0.46548684510562754</v>
      </c>
      <c r="K6" s="107">
        <f t="shared" si="3"/>
        <v>0.39704104452552946</v>
      </c>
    </row>
    <row r="8" spans="1:11" s="9" customFormat="1" ht="15.75" thickBot="1">
      <c r="A8" s="58" t="s">
        <v>134</v>
      </c>
      <c r="B8" s="109">
        <f t="shared" ref="B8:J8" si="4">B2</f>
        <v>39447</v>
      </c>
      <c r="C8" s="109">
        <f t="shared" si="4"/>
        <v>39813</v>
      </c>
      <c r="D8" s="109">
        <f t="shared" si="4"/>
        <v>40178</v>
      </c>
      <c r="E8" s="109">
        <f t="shared" si="4"/>
        <v>40543</v>
      </c>
      <c r="F8" s="109">
        <f t="shared" si="4"/>
        <v>40908</v>
      </c>
      <c r="G8" s="109">
        <f t="shared" si="4"/>
        <v>41274</v>
      </c>
      <c r="H8" s="109">
        <f t="shared" si="4"/>
        <v>41639</v>
      </c>
      <c r="I8" s="109">
        <f t="shared" si="4"/>
        <v>42004</v>
      </c>
      <c r="J8" s="109">
        <f t="shared" si="4"/>
        <v>42369</v>
      </c>
      <c r="K8" s="109">
        <f>K2</f>
        <v>42735</v>
      </c>
    </row>
    <row r="9" spans="1:11">
      <c r="A9" s="110" t="s">
        <v>135</v>
      </c>
      <c r="B9" s="137"/>
      <c r="C9" s="137"/>
      <c r="D9" s="137"/>
      <c r="E9" s="137"/>
      <c r="F9" s="137"/>
      <c r="G9" s="137"/>
      <c r="H9" s="137">
        <v>1.5954547411509115</v>
      </c>
      <c r="I9" s="137">
        <v>1.8204629112081203</v>
      </c>
      <c r="J9" s="137">
        <v>3.5679814990279901</v>
      </c>
      <c r="K9" s="137">
        <v>4.2998252766061125</v>
      </c>
    </row>
    <row r="10" spans="1:11">
      <c r="A10" s="112" t="s">
        <v>136</v>
      </c>
      <c r="B10" s="137"/>
      <c r="C10" s="137"/>
      <c r="D10" s="137"/>
      <c r="E10" s="137"/>
      <c r="F10" s="137"/>
      <c r="G10" s="137"/>
      <c r="H10" s="137">
        <v>-2.5925089087007209</v>
      </c>
      <c r="I10" s="137">
        <v>-1.5445915195885425</v>
      </c>
      <c r="J10" s="137">
        <v>-1.7431780722743631</v>
      </c>
      <c r="K10" s="137">
        <v>-2.1081269261807125</v>
      </c>
    </row>
    <row r="11" spans="1:11">
      <c r="A11" s="113" t="s">
        <v>137</v>
      </c>
      <c r="B11" s="57">
        <f t="shared" ref="B11:K11" si="5">B9+B10</f>
        <v>0</v>
      </c>
      <c r="C11" s="57">
        <f t="shared" si="5"/>
        <v>0</v>
      </c>
      <c r="D11" s="57">
        <f t="shared" si="5"/>
        <v>0</v>
      </c>
      <c r="E11" s="57">
        <f t="shared" si="5"/>
        <v>0</v>
      </c>
      <c r="F11" s="57">
        <f t="shared" si="5"/>
        <v>0</v>
      </c>
      <c r="G11" s="57">
        <f t="shared" si="5"/>
        <v>0</v>
      </c>
      <c r="H11" s="57">
        <f t="shared" si="5"/>
        <v>-0.99705416754980947</v>
      </c>
      <c r="I11" s="57">
        <f t="shared" si="5"/>
        <v>0.27587139161957785</v>
      </c>
      <c r="J11" s="57">
        <f t="shared" si="5"/>
        <v>1.8248034267536271</v>
      </c>
      <c r="K11" s="57">
        <f t="shared" si="5"/>
        <v>2.1916983504254</v>
      </c>
    </row>
    <row r="12" spans="1:11">
      <c r="A12" s="106" t="s">
        <v>127</v>
      </c>
      <c r="B12" s="107" t="str">
        <f t="shared" ref="B12:K12" si="6">IFERROR(B11/B$3,"")</f>
        <v/>
      </c>
      <c r="C12" s="107" t="str">
        <f t="shared" si="6"/>
        <v/>
      </c>
      <c r="D12" s="107" t="str">
        <f t="shared" si="6"/>
        <v/>
      </c>
      <c r="E12" s="107" t="str">
        <f t="shared" si="6"/>
        <v/>
      </c>
      <c r="F12" s="107" t="str">
        <f t="shared" si="6"/>
        <v/>
      </c>
      <c r="G12" s="107" t="str">
        <f t="shared" si="6"/>
        <v/>
      </c>
      <c r="H12" s="107">
        <f t="shared" si="6"/>
        <v>-0.1418892669297063</v>
      </c>
      <c r="I12" s="107">
        <f t="shared" si="6"/>
        <v>6.7660928495076156E-2</v>
      </c>
      <c r="J12" s="107">
        <f t="shared" si="6"/>
        <v>0.35303634083915536</v>
      </c>
      <c r="K12" s="107">
        <f t="shared" si="6"/>
        <v>0.33921432877992358</v>
      </c>
    </row>
    <row r="13" spans="1:11">
      <c r="A13" s="106" t="s">
        <v>138</v>
      </c>
      <c r="B13" s="106"/>
      <c r="C13" s="107" t="str">
        <f t="shared" ref="C13:F13" si="7">IFERROR(C11/B11-1,"")</f>
        <v/>
      </c>
      <c r="D13" s="107" t="str">
        <f t="shared" si="7"/>
        <v/>
      </c>
      <c r="E13" s="107" t="str">
        <f t="shared" si="7"/>
        <v/>
      </c>
      <c r="F13" s="107" t="str">
        <f t="shared" si="7"/>
        <v/>
      </c>
      <c r="G13" s="107" t="str">
        <f>IFERROR(G11/F11-1,"")</f>
        <v/>
      </c>
      <c r="H13" s="107" t="str">
        <f t="shared" ref="H13:K13" si="8">IFERROR(H11/G11-1,"")</f>
        <v/>
      </c>
      <c r="I13" s="107">
        <f t="shared" si="8"/>
        <v>-1.2766864635825277</v>
      </c>
      <c r="J13" s="107">
        <f t="shared" si="8"/>
        <v>5.6146888810783295</v>
      </c>
      <c r="K13" s="107">
        <f t="shared" si="8"/>
        <v>0.20105997078517568</v>
      </c>
    </row>
    <row r="14" spans="1:11">
      <c r="A14" s="106" t="s">
        <v>139</v>
      </c>
      <c r="B14" s="106"/>
      <c r="C14" s="106"/>
      <c r="D14" s="106"/>
      <c r="E14" s="107" t="str">
        <f>IFERROR(SUM(C11:E11)/SUM(B11:D11)-1,"")</f>
        <v/>
      </c>
      <c r="F14" s="107" t="str">
        <f t="shared" ref="F14:K14" si="9">IFERROR(SUM(D11:F11)/SUM(C11:E11)-1,"")</f>
        <v/>
      </c>
      <c r="G14" s="107" t="str">
        <f t="shared" si="9"/>
        <v/>
      </c>
      <c r="H14" s="107" t="str">
        <f t="shared" si="9"/>
        <v/>
      </c>
      <c r="I14" s="107">
        <f t="shared" si="9"/>
        <v>-0.27668646358252769</v>
      </c>
      <c r="J14" s="107">
        <f t="shared" si="9"/>
        <v>-2.5302925799910696</v>
      </c>
      <c r="K14" s="107">
        <f t="shared" si="9"/>
        <v>2.8893556092812571</v>
      </c>
    </row>
    <row r="15" spans="1:11">
      <c r="A15" s="106" t="s">
        <v>133</v>
      </c>
      <c r="B15" s="106"/>
      <c r="C15" s="106"/>
      <c r="D15" s="106"/>
      <c r="E15" s="106"/>
      <c r="F15" s="107"/>
      <c r="G15" s="107" t="str">
        <f>IFERROR(SUM(C11:G11)/SUM(B11:F11)-1,"")</f>
        <v/>
      </c>
      <c r="H15" s="107" t="str">
        <f t="shared" ref="H15:K15" si="10">IFERROR(SUM(D11:H11)/SUM(C11:G11)-1,"")</f>
        <v/>
      </c>
      <c r="I15" s="107">
        <f t="shared" si="10"/>
        <v>-0.27668646358252769</v>
      </c>
      <c r="J15" s="107">
        <f t="shared" si="10"/>
        <v>-2.5302925799910696</v>
      </c>
      <c r="K15" s="107">
        <f t="shared" si="10"/>
        <v>1.9859164005224126</v>
      </c>
    </row>
    <row r="16" spans="1:11" s="9" customFormat="1">
      <c r="A16"/>
      <c r="B16"/>
      <c r="C16"/>
      <c r="D16"/>
      <c r="E16"/>
      <c r="F16"/>
      <c r="G16"/>
      <c r="H16"/>
      <c r="I16"/>
      <c r="J16"/>
      <c r="K16"/>
    </row>
    <row r="17" spans="1:16" s="9" customFormat="1" ht="15.75" thickBot="1">
      <c r="A17" s="58" t="s">
        <v>140</v>
      </c>
      <c r="B17" s="109">
        <f t="shared" ref="B17:J17" si="11">B2</f>
        <v>39447</v>
      </c>
      <c r="C17" s="109">
        <f t="shared" si="11"/>
        <v>39813</v>
      </c>
      <c r="D17" s="109">
        <f t="shared" si="11"/>
        <v>40178</v>
      </c>
      <c r="E17" s="109">
        <f t="shared" si="11"/>
        <v>40543</v>
      </c>
      <c r="F17" s="109">
        <f t="shared" si="11"/>
        <v>40908</v>
      </c>
      <c r="G17" s="109">
        <f t="shared" si="11"/>
        <v>41274</v>
      </c>
      <c r="H17" s="109">
        <f t="shared" si="11"/>
        <v>41639</v>
      </c>
      <c r="I17" s="109">
        <f t="shared" si="11"/>
        <v>42004</v>
      </c>
      <c r="J17" s="109">
        <f t="shared" si="11"/>
        <v>42369</v>
      </c>
      <c r="K17" s="109">
        <f>K2</f>
        <v>42735</v>
      </c>
    </row>
    <row r="18" spans="1:16">
      <c r="A18" s="110" t="s">
        <v>141</v>
      </c>
      <c r="B18" s="137"/>
      <c r="C18" s="137"/>
      <c r="D18" s="137"/>
      <c r="E18" s="137"/>
      <c r="F18" s="137"/>
      <c r="G18" s="137"/>
      <c r="H18" s="137">
        <f>H10</f>
        <v>-2.5925089087007209</v>
      </c>
      <c r="I18" s="137">
        <f t="shared" ref="I18:K18" si="12">I10</f>
        <v>-1.5445915195885425</v>
      </c>
      <c r="J18" s="137">
        <f t="shared" si="12"/>
        <v>-1.7431780722743631</v>
      </c>
      <c r="K18" s="137">
        <f t="shared" si="12"/>
        <v>-2.1081269261807125</v>
      </c>
    </row>
    <row r="19" spans="1:16" s="115" customFormat="1">
      <c r="A19" s="112" t="s">
        <v>176</v>
      </c>
      <c r="B19" s="114">
        <f t="shared" ref="B19:K19" si="13">B18-B10</f>
        <v>0</v>
      </c>
      <c r="C19" s="114">
        <f t="shared" si="13"/>
        <v>0</v>
      </c>
      <c r="D19" s="114">
        <f t="shared" si="13"/>
        <v>0</v>
      </c>
      <c r="E19" s="114">
        <f t="shared" si="13"/>
        <v>0</v>
      </c>
      <c r="F19" s="114">
        <f t="shared" si="13"/>
        <v>0</v>
      </c>
      <c r="G19" s="114">
        <f t="shared" si="13"/>
        <v>0</v>
      </c>
      <c r="H19" s="114">
        <f t="shared" si="13"/>
        <v>0</v>
      </c>
      <c r="I19" s="114">
        <f t="shared" si="13"/>
        <v>0</v>
      </c>
      <c r="J19" s="114">
        <f t="shared" si="13"/>
        <v>0</v>
      </c>
      <c r="K19" s="114">
        <f t="shared" si="13"/>
        <v>0</v>
      </c>
    </row>
    <row r="20" spans="1:16" s="115" customFormat="1">
      <c r="A20" s="141" t="s">
        <v>192</v>
      </c>
      <c r="B20" s="137"/>
      <c r="C20" s="137"/>
      <c r="D20" s="137"/>
      <c r="E20" s="137"/>
      <c r="F20" s="137"/>
      <c r="G20" s="137"/>
      <c r="H20" s="137">
        <v>2.8720541675498095</v>
      </c>
      <c r="I20" s="137">
        <v>2.2941286083804222</v>
      </c>
      <c r="J20" s="137">
        <v>0.92519657324637294</v>
      </c>
      <c r="K20" s="137">
        <v>0.80830164957460005</v>
      </c>
    </row>
    <row r="21" spans="1:16" s="115" customFormat="1">
      <c r="A21" s="112" t="s">
        <v>142</v>
      </c>
      <c r="B21" s="111"/>
      <c r="C21" s="111"/>
      <c r="D21" s="111"/>
      <c r="E21" s="111"/>
      <c r="F21" s="111"/>
      <c r="G21" s="111"/>
      <c r="H21" s="111"/>
      <c r="I21" s="111"/>
      <c r="J21" s="111"/>
      <c r="K21" s="111"/>
    </row>
    <row r="22" spans="1:16">
      <c r="A22" s="110" t="s">
        <v>143</v>
      </c>
      <c r="B22" s="111"/>
      <c r="C22" s="111"/>
      <c r="D22" s="111"/>
      <c r="E22" s="111"/>
      <c r="F22" s="111"/>
      <c r="G22" s="111"/>
      <c r="H22" s="111"/>
      <c r="I22" s="111"/>
      <c r="J22" s="111"/>
      <c r="K22" s="111"/>
    </row>
    <row r="23" spans="1:16">
      <c r="A23" s="110" t="s">
        <v>187</v>
      </c>
      <c r="B23" s="111"/>
      <c r="C23" s="111"/>
      <c r="D23" s="111"/>
      <c r="E23" s="111"/>
      <c r="F23" s="111"/>
      <c r="G23" s="111"/>
      <c r="H23" s="111"/>
      <c r="I23" s="111"/>
      <c r="J23" s="111"/>
      <c r="K23" s="111"/>
    </row>
    <row r="24" spans="1:16">
      <c r="A24" s="116" t="s">
        <v>144</v>
      </c>
      <c r="B24" s="117"/>
      <c r="C24" s="117"/>
      <c r="D24" s="117"/>
      <c r="E24" s="117"/>
      <c r="F24" s="117"/>
      <c r="G24" s="117"/>
      <c r="H24" s="117"/>
      <c r="I24" s="117"/>
      <c r="J24" s="117"/>
      <c r="K24" s="117"/>
    </row>
    <row r="25" spans="1:16">
      <c r="A25" s="118" t="s">
        <v>145</v>
      </c>
      <c r="B25" s="119"/>
      <c r="C25" s="119"/>
      <c r="D25" s="119"/>
      <c r="E25" s="119"/>
      <c r="F25" s="119"/>
      <c r="G25" s="119"/>
      <c r="H25" s="119"/>
      <c r="I25" s="119"/>
      <c r="J25" s="119"/>
      <c r="K25" s="119"/>
      <c r="M25" s="17"/>
      <c r="N25" s="18"/>
      <c r="O25" s="18"/>
      <c r="P25" s="18"/>
    </row>
    <row r="26" spans="1:16">
      <c r="A26" s="120" t="s">
        <v>146</v>
      </c>
      <c r="B26" s="121"/>
      <c r="C26" s="121"/>
      <c r="D26" s="121"/>
      <c r="E26" s="121"/>
      <c r="F26" s="121"/>
      <c r="G26" s="121"/>
      <c r="H26" s="121"/>
      <c r="I26" s="121"/>
      <c r="J26" s="121"/>
      <c r="K26" s="121"/>
    </row>
    <row r="27" spans="1:16">
      <c r="A27" s="110" t="s">
        <v>147</v>
      </c>
      <c r="B27" s="138">
        <f t="shared" ref="B27:E27" si="14">-B24*B25+B26</f>
        <v>0</v>
      </c>
      <c r="C27" s="138">
        <f t="shared" si="14"/>
        <v>0</v>
      </c>
      <c r="D27" s="138">
        <f t="shared" si="14"/>
        <v>0</v>
      </c>
      <c r="E27" s="138">
        <f t="shared" si="14"/>
        <v>0</v>
      </c>
      <c r="F27" s="138">
        <f>-F24*F25+F26</f>
        <v>0</v>
      </c>
      <c r="G27" s="138">
        <f t="shared" ref="G27:K27" si="15">-G24*G25+G26</f>
        <v>0</v>
      </c>
      <c r="H27" s="138">
        <f t="shared" si="15"/>
        <v>0</v>
      </c>
      <c r="I27" s="138">
        <f t="shared" si="15"/>
        <v>0</v>
      </c>
      <c r="J27" s="138">
        <f t="shared" si="15"/>
        <v>0</v>
      </c>
      <c r="K27" s="138">
        <f t="shared" si="15"/>
        <v>0</v>
      </c>
    </row>
    <row r="28" spans="1:16">
      <c r="A28" s="1" t="s">
        <v>148</v>
      </c>
      <c r="B28" s="57">
        <f>B19+B20+B21+B22+B23+B27</f>
        <v>0</v>
      </c>
      <c r="C28" s="57">
        <f t="shared" ref="C28:K28" si="16">C19+C20+C21+C22+C23+C27</f>
        <v>0</v>
      </c>
      <c r="D28" s="57">
        <f t="shared" si="16"/>
        <v>0</v>
      </c>
      <c r="E28" s="57">
        <f t="shared" si="16"/>
        <v>0</v>
      </c>
      <c r="F28" s="57">
        <f t="shared" si="16"/>
        <v>0</v>
      </c>
      <c r="G28" s="57">
        <f t="shared" si="16"/>
        <v>0</v>
      </c>
      <c r="H28" s="57">
        <f t="shared" si="16"/>
        <v>2.8720541675498095</v>
      </c>
      <c r="I28" s="57">
        <f t="shared" si="16"/>
        <v>2.2941286083804222</v>
      </c>
      <c r="J28" s="57">
        <f t="shared" si="16"/>
        <v>0.92519657324637294</v>
      </c>
      <c r="K28" s="57">
        <f t="shared" si="16"/>
        <v>0.80830164957460005</v>
      </c>
    </row>
    <row r="29" spans="1:16">
      <c r="A29" s="106" t="s">
        <v>149</v>
      </c>
      <c r="B29" s="107" t="str">
        <f t="shared" ref="B29:E29" si="17">IFERROR(-B28/B11,"")</f>
        <v/>
      </c>
      <c r="C29" s="107" t="str">
        <f t="shared" si="17"/>
        <v/>
      </c>
      <c r="D29" s="107" t="str">
        <f t="shared" si="17"/>
        <v/>
      </c>
      <c r="E29" s="107" t="str">
        <f t="shared" si="17"/>
        <v/>
      </c>
      <c r="F29" s="107" t="str">
        <f>IFERROR(-F28/F11,"")</f>
        <v/>
      </c>
      <c r="G29" s="107" t="str">
        <f t="shared" ref="G29:K29" si="18">IFERROR(-G28/G11,"")</f>
        <v/>
      </c>
      <c r="H29" s="107">
        <f t="shared" si="18"/>
        <v>2.8805397550342531</v>
      </c>
      <c r="I29" s="107">
        <f t="shared" si="18"/>
        <v>-8.3159351715019003</v>
      </c>
      <c r="J29" s="107">
        <f t="shared" si="18"/>
        <v>-0.50701163735335686</v>
      </c>
      <c r="K29" s="107">
        <f t="shared" si="18"/>
        <v>-0.36880150474070117</v>
      </c>
    </row>
    <row r="31" spans="1:16" s="9" customFormat="1" ht="15.75" thickBot="1">
      <c r="A31" s="58" t="s">
        <v>150</v>
      </c>
      <c r="B31" s="109">
        <f t="shared" ref="B31:J31" si="19">B2</f>
        <v>39447</v>
      </c>
      <c r="C31" s="109">
        <f t="shared" si="19"/>
        <v>39813</v>
      </c>
      <c r="D31" s="109">
        <f t="shared" si="19"/>
        <v>40178</v>
      </c>
      <c r="E31" s="109">
        <f t="shared" si="19"/>
        <v>40543</v>
      </c>
      <c r="F31" s="109">
        <f t="shared" si="19"/>
        <v>40908</v>
      </c>
      <c r="G31" s="109">
        <f t="shared" si="19"/>
        <v>41274</v>
      </c>
      <c r="H31" s="109">
        <f t="shared" si="19"/>
        <v>41639</v>
      </c>
      <c r="I31" s="109">
        <f t="shared" si="19"/>
        <v>42004</v>
      </c>
      <c r="J31" s="109">
        <f t="shared" si="19"/>
        <v>42369</v>
      </c>
      <c r="K31" s="109">
        <f>K2</f>
        <v>42735</v>
      </c>
    </row>
    <row r="32" spans="1:16" ht="15.75" thickBot="1">
      <c r="A32" s="140" t="s">
        <v>189</v>
      </c>
      <c r="B32" s="139">
        <f t="shared" ref="B32:K32" si="20">B11+B28</f>
        <v>0</v>
      </c>
      <c r="C32" s="139">
        <f t="shared" si="20"/>
        <v>0</v>
      </c>
      <c r="D32" s="139">
        <f t="shared" si="20"/>
        <v>0</v>
      </c>
      <c r="E32" s="139">
        <f t="shared" si="20"/>
        <v>0</v>
      </c>
      <c r="F32" s="139">
        <f t="shared" si="20"/>
        <v>0</v>
      </c>
      <c r="G32" s="139">
        <f t="shared" si="20"/>
        <v>0</v>
      </c>
      <c r="H32" s="139">
        <f t="shared" si="20"/>
        <v>1.875</v>
      </c>
      <c r="I32" s="139">
        <f t="shared" si="20"/>
        <v>2.5700000000000003</v>
      </c>
      <c r="J32" s="139">
        <f t="shared" si="20"/>
        <v>2.75</v>
      </c>
      <c r="K32" s="139">
        <f t="shared" si="20"/>
        <v>3</v>
      </c>
    </row>
    <row r="33" spans="1:11" ht="15.75" thickTop="1">
      <c r="A33" s="106" t="s">
        <v>128</v>
      </c>
      <c r="B33" s="107" t="str">
        <f t="shared" ref="B33:K33" si="21">IFERROR(B32/B$3,"")</f>
        <v/>
      </c>
      <c r="C33" s="107" t="str">
        <f t="shared" si="21"/>
        <v/>
      </c>
      <c r="D33" s="107" t="str">
        <f t="shared" si="21"/>
        <v/>
      </c>
      <c r="E33" s="107" t="str">
        <f t="shared" si="21"/>
        <v/>
      </c>
      <c r="F33" s="107" t="str">
        <f t="shared" si="21"/>
        <v/>
      </c>
      <c r="G33" s="107" t="str">
        <f t="shared" si="21"/>
        <v/>
      </c>
      <c r="H33" s="107">
        <f t="shared" si="21"/>
        <v>0.26682840727397966</v>
      </c>
      <c r="I33" s="107">
        <f t="shared" si="21"/>
        <v>0.63032482350375518</v>
      </c>
      <c r="J33" s="107">
        <f t="shared" si="21"/>
        <v>0.5320298740532533</v>
      </c>
      <c r="K33" s="107">
        <f t="shared" si="21"/>
        <v>0.46431708366356633</v>
      </c>
    </row>
    <row r="34" spans="1:11">
      <c r="A34" s="106" t="s">
        <v>138</v>
      </c>
      <c r="B34" s="106"/>
      <c r="C34" s="107" t="str">
        <f t="shared" ref="C34:F34" si="22">IFERROR(C32/B32-1,"")</f>
        <v/>
      </c>
      <c r="D34" s="107" t="str">
        <f t="shared" si="22"/>
        <v/>
      </c>
      <c r="E34" s="107" t="str">
        <f t="shared" si="22"/>
        <v/>
      </c>
      <c r="F34" s="107" t="str">
        <f t="shared" si="22"/>
        <v/>
      </c>
      <c r="G34" s="107" t="str">
        <f>IFERROR(G32/F32-1,"")</f>
        <v/>
      </c>
      <c r="H34" s="107" t="str">
        <f t="shared" ref="H34:K34" si="23">IFERROR(H32/G32-1,"")</f>
        <v/>
      </c>
      <c r="I34" s="107">
        <f t="shared" si="23"/>
        <v>0.37066666666666692</v>
      </c>
      <c r="J34" s="107">
        <f t="shared" si="23"/>
        <v>7.0038910505836549E-2</v>
      </c>
      <c r="K34" s="107">
        <f t="shared" si="23"/>
        <v>9.0909090909090828E-2</v>
      </c>
    </row>
    <row r="35" spans="1:11">
      <c r="A35" s="106" t="s">
        <v>139</v>
      </c>
      <c r="B35" s="106"/>
      <c r="C35" s="106"/>
      <c r="D35" s="106"/>
      <c r="E35" s="107" t="str">
        <f>IFERROR(SUM(C32:E32)/SUM(B32:D32)-1,"")</f>
        <v/>
      </c>
      <c r="F35" s="107" t="str">
        <f t="shared" ref="F35" si="24">IFERROR(SUM(D32:F32)/SUM(C32:E32)-1,"")</f>
        <v/>
      </c>
      <c r="G35" s="107" t="str">
        <f t="shared" ref="G35:K35" si="25">IFERROR(SUM(E32:G32)/SUM(D32:F32)-1,"")</f>
        <v/>
      </c>
      <c r="H35" s="107" t="str">
        <f t="shared" si="25"/>
        <v/>
      </c>
      <c r="I35" s="107">
        <f t="shared" si="25"/>
        <v>1.3706666666666667</v>
      </c>
      <c r="J35" s="107">
        <f t="shared" si="25"/>
        <v>0.61867266591676029</v>
      </c>
      <c r="K35" s="107">
        <f t="shared" si="25"/>
        <v>0.15635858234885336</v>
      </c>
    </row>
    <row r="36" spans="1:11">
      <c r="A36" s="106" t="s">
        <v>133</v>
      </c>
      <c r="B36" s="106"/>
      <c r="C36" s="106"/>
      <c r="D36" s="106"/>
      <c r="E36" s="106"/>
      <c r="F36" s="107"/>
      <c r="G36" s="107" t="str">
        <f>IFERROR(SUM(C32:G32)/SUM(B32:F32)-1,"")</f>
        <v/>
      </c>
      <c r="H36" s="107" t="str">
        <f t="shared" ref="H36" si="26">IFERROR(SUM(D32:H32)/SUM(C32:G32)-1,"")</f>
        <v/>
      </c>
      <c r="I36" s="107">
        <f t="shared" ref="I36:K36" si="27">IFERROR(SUM(E32:I32)/SUM(D32:H32)-1,"")</f>
        <v>1.3706666666666667</v>
      </c>
      <c r="J36" s="107">
        <f t="shared" si="27"/>
        <v>0.61867266591676029</v>
      </c>
      <c r="K36" s="107">
        <f t="shared" si="27"/>
        <v>0.41695621959694229</v>
      </c>
    </row>
    <row r="38" spans="1:11" s="9" customFormat="1" ht="15.75" thickBot="1">
      <c r="A38" s="58" t="s">
        <v>151</v>
      </c>
      <c r="B38" s="122">
        <f t="shared" ref="B38:E38" si="28">B2</f>
        <v>39447</v>
      </c>
      <c r="C38" s="122">
        <f t="shared" si="28"/>
        <v>39813</v>
      </c>
      <c r="D38" s="122">
        <f t="shared" si="28"/>
        <v>40178</v>
      </c>
      <c r="E38" s="122">
        <f t="shared" si="28"/>
        <v>40543</v>
      </c>
      <c r="F38" s="122">
        <f>F2</f>
        <v>40908</v>
      </c>
      <c r="G38" s="122">
        <f t="shared" ref="G38:K38" si="29">G2</f>
        <v>41274</v>
      </c>
      <c r="H38" s="122">
        <f t="shared" si="29"/>
        <v>41639</v>
      </c>
      <c r="I38" s="122">
        <f t="shared" si="29"/>
        <v>42004</v>
      </c>
      <c r="J38" s="122">
        <f t="shared" si="29"/>
        <v>42369</v>
      </c>
      <c r="K38" s="122">
        <f t="shared" si="29"/>
        <v>42735</v>
      </c>
    </row>
    <row r="39" spans="1:11" s="115" customFormat="1" ht="15.75" thickBot="1">
      <c r="A39" s="123" t="s">
        <v>152</v>
      </c>
      <c r="B39" s="124">
        <f>VLOOKUP(B38,'GDP Data'!$A$2:$B$62,2,TRUE)</f>
        <v>14690</v>
      </c>
      <c r="C39" s="124">
        <f>VLOOKUP(C38,'GDP Data'!$A$2:$B$62,2,TRUE)</f>
        <v>14549.9</v>
      </c>
      <c r="D39" s="124">
        <f>VLOOKUP(D38,'GDP Data'!$A$2:$B$62,2,TRUE)</f>
        <v>14566.5</v>
      </c>
      <c r="E39" s="124">
        <f>VLOOKUP(E38,'GDP Data'!$A$2:$B$62,2,TRUE)</f>
        <v>15230.2</v>
      </c>
      <c r="F39" s="124">
        <f>VLOOKUP(F38,'GDP Data'!$A$2:$B$62,2,TRUE)</f>
        <v>15785.3</v>
      </c>
      <c r="G39" s="124">
        <f>VLOOKUP(G38,'GDP Data'!$A$2:$B$62,2,TRUE)</f>
        <v>16332.5</v>
      </c>
      <c r="H39" s="124">
        <f>VLOOKUP(H38,'GDP Data'!$A$2:$B$62,2,TRUE)</f>
        <v>17078.3</v>
      </c>
      <c r="I39" s="124">
        <f>VLOOKUP(I38,'GDP Data'!$A$2:$B$62,2,TRUE)</f>
        <v>17703.7</v>
      </c>
      <c r="J39" s="124">
        <f>VLOOKUP(J38,'GDP Data'!$A$2:$B$62,2,TRUE)</f>
        <v>17665</v>
      </c>
      <c r="K39" s="124">
        <f>VLOOKUP(K38,'GDP Data'!$A$2:$B$62,2,TRUE)</f>
        <v>17665</v>
      </c>
    </row>
    <row r="40" spans="1:11">
      <c r="A40" t="s">
        <v>153</v>
      </c>
      <c r="C40" s="125">
        <f t="shared" ref="C40" si="30">C39/B39-1</f>
        <v>-9.5371000680735118E-3</v>
      </c>
      <c r="D40" s="125">
        <f t="shared" ref="D40" si="31">D39/C39-1</f>
        <v>1.1409013120364797E-3</v>
      </c>
      <c r="E40" s="125">
        <f t="shared" ref="E40:F40" si="32">E39/D39-1</f>
        <v>4.5563450382727577E-2</v>
      </c>
      <c r="F40" s="125">
        <f t="shared" si="32"/>
        <v>3.6447321768591223E-2</v>
      </c>
      <c r="G40" s="125">
        <f>G39/F39-1</f>
        <v>3.4665163158128287E-2</v>
      </c>
      <c r="H40" s="125">
        <f t="shared" ref="H40:K40" si="33">H39/G39-1</f>
        <v>4.5663554262972639E-2</v>
      </c>
      <c r="I40" s="125">
        <f t="shared" si="33"/>
        <v>3.6619569863511003E-2</v>
      </c>
      <c r="J40" s="125">
        <f t="shared" si="33"/>
        <v>-2.1859837209171618E-3</v>
      </c>
      <c r="K40" s="125">
        <f t="shared" si="33"/>
        <v>0</v>
      </c>
    </row>
    <row r="41" spans="1:11">
      <c r="A41" s="126" t="s">
        <v>154</v>
      </c>
      <c r="B41" s="126"/>
      <c r="C41" s="127" t="str">
        <f t="shared" ref="C41:F41" si="34">C13</f>
        <v/>
      </c>
      <c r="D41" s="127" t="str">
        <f t="shared" si="34"/>
        <v/>
      </c>
      <c r="E41" s="127" t="str">
        <f t="shared" si="34"/>
        <v/>
      </c>
      <c r="F41" s="127" t="str">
        <f t="shared" si="34"/>
        <v/>
      </c>
      <c r="G41" s="127" t="str">
        <f>G13</f>
        <v/>
      </c>
      <c r="H41" s="127" t="str">
        <f t="shared" ref="H41:K41" si="35">H13</f>
        <v/>
      </c>
      <c r="I41" s="127">
        <f t="shared" si="35"/>
        <v>-1.2766864635825277</v>
      </c>
      <c r="J41" s="127">
        <f t="shared" si="35"/>
        <v>5.6146888810783295</v>
      </c>
      <c r="K41" s="127">
        <f t="shared" si="35"/>
        <v>0.20105997078517568</v>
      </c>
    </row>
    <row r="42" spans="1:11">
      <c r="A42" t="s">
        <v>155</v>
      </c>
      <c r="D42" s="128"/>
      <c r="E42" s="128">
        <f t="shared" ref="E42" si="36">SUM(C39:E39)/SUM(B39:D39)-1</f>
        <v>1.2331531465721968E-2</v>
      </c>
      <c r="F42" s="128">
        <f t="shared" ref="F42" si="37">SUM(D39:F39)/SUM(C39:E39)-1</f>
        <v>2.7857829010566659E-2</v>
      </c>
      <c r="G42" s="128">
        <f t="shared" ref="G42:J42" si="38">SUM(E39:G39)/SUM(D39:F39)-1</f>
        <v>3.8743363608441994E-2</v>
      </c>
      <c r="H42" s="128">
        <f t="shared" si="38"/>
        <v>3.9032271690462084E-2</v>
      </c>
      <c r="I42" s="128">
        <f t="shared" si="38"/>
        <v>3.8994960982679627E-2</v>
      </c>
      <c r="J42" s="128">
        <f t="shared" si="38"/>
        <v>2.606892369092928E-2</v>
      </c>
      <c r="K42" s="128">
        <f>SUM(I39:K39)/SUM(H39:J39)-1</f>
        <v>1.1186531164794955E-2</v>
      </c>
    </row>
    <row r="43" spans="1:11">
      <c r="A43" s="126" t="s">
        <v>156</v>
      </c>
      <c r="B43" s="126"/>
      <c r="C43" s="126"/>
      <c r="D43" s="127"/>
      <c r="E43" s="127" t="str">
        <f t="shared" ref="E43:J43" si="39">E14</f>
        <v/>
      </c>
      <c r="F43" s="127" t="str">
        <f t="shared" si="39"/>
        <v/>
      </c>
      <c r="G43" s="127" t="str">
        <f t="shared" si="39"/>
        <v/>
      </c>
      <c r="H43" s="127" t="str">
        <f t="shared" si="39"/>
        <v/>
      </c>
      <c r="I43" s="127">
        <f t="shared" si="39"/>
        <v>-0.27668646358252769</v>
      </c>
      <c r="J43" s="127">
        <f t="shared" si="39"/>
        <v>-2.5302925799910696</v>
      </c>
      <c r="K43" s="127">
        <f>K14</f>
        <v>2.8893556092812571</v>
      </c>
    </row>
    <row r="44" spans="1:11">
      <c r="A44" t="s">
        <v>157</v>
      </c>
      <c r="G44" s="128">
        <f t="shared" ref="G44:J44" si="40">SUM(C39:G39)/SUM(B39:F39)-1</f>
        <v>2.1952128988972586E-2</v>
      </c>
      <c r="H44" s="128">
        <f t="shared" si="40"/>
        <v>3.3066368139944791E-2</v>
      </c>
      <c r="I44" s="128">
        <f t="shared" si="40"/>
        <v>3.9715012001093841E-2</v>
      </c>
      <c r="J44" s="128">
        <f t="shared" si="40"/>
        <v>2.9645683672226975E-2</v>
      </c>
      <c r="K44" s="128">
        <f>SUM(G39:K39)/SUM(F39:J39)-1</f>
        <v>2.2227924621119E-2</v>
      </c>
    </row>
    <row r="45" spans="1:11">
      <c r="A45" s="126" t="s">
        <v>158</v>
      </c>
      <c r="B45" s="126"/>
      <c r="C45" s="126"/>
      <c r="D45" s="126"/>
      <c r="E45" s="127"/>
      <c r="F45" s="127"/>
      <c r="G45" s="127" t="str">
        <f t="shared" ref="G45:J45" si="41">G15</f>
        <v/>
      </c>
      <c r="H45" s="127" t="str">
        <f t="shared" si="41"/>
        <v/>
      </c>
      <c r="I45" s="127">
        <f t="shared" si="41"/>
        <v>-0.27668646358252769</v>
      </c>
      <c r="J45" s="127">
        <f t="shared" si="41"/>
        <v>-2.5302925799910696</v>
      </c>
      <c r="K45" s="127">
        <f>K15</f>
        <v>1.9859164005224126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0284D-41B9-417E-B8ED-E126AAEACC6B}">
  <dimension ref="A1:X32"/>
  <sheetViews>
    <sheetView workbookViewId="0">
      <selection activeCell="O29" sqref="O29"/>
    </sheetView>
  </sheetViews>
  <sheetFormatPr defaultRowHeight="15"/>
  <cols>
    <col min="3" max="3" width="17.42578125" customWidth="1"/>
  </cols>
  <sheetData>
    <row r="1" spans="1:14">
      <c r="A1" t="s">
        <v>195</v>
      </c>
    </row>
    <row r="2" spans="1:14">
      <c r="A2" t="s">
        <v>196</v>
      </c>
    </row>
    <row r="3" spans="1:14">
      <c r="A3" t="s">
        <v>197</v>
      </c>
    </row>
    <row r="4" spans="1:14">
      <c r="A4" t="s">
        <v>198</v>
      </c>
    </row>
    <row r="5" spans="1:14">
      <c r="A5" t="s">
        <v>199</v>
      </c>
    </row>
    <row r="7" spans="1:14">
      <c r="A7" t="s">
        <v>200</v>
      </c>
      <c r="B7" t="s">
        <v>201</v>
      </c>
      <c r="C7" t="s">
        <v>202</v>
      </c>
      <c r="D7" s="129">
        <v>42735</v>
      </c>
      <c r="E7" s="129">
        <v>42369</v>
      </c>
      <c r="F7" s="129">
        <v>42004</v>
      </c>
      <c r="G7" s="129">
        <v>41639</v>
      </c>
      <c r="H7" s="129">
        <v>41243</v>
      </c>
      <c r="I7" s="129">
        <v>40877</v>
      </c>
      <c r="J7" s="129">
        <v>40512</v>
      </c>
      <c r="K7" s="129">
        <v>40147</v>
      </c>
      <c r="L7" s="129">
        <v>39782</v>
      </c>
      <c r="M7" s="129">
        <v>39416</v>
      </c>
      <c r="N7" s="129">
        <v>39051</v>
      </c>
    </row>
    <row r="8" spans="1:14">
      <c r="A8" t="s">
        <v>194</v>
      </c>
      <c r="B8" t="s">
        <v>203</v>
      </c>
      <c r="C8" t="s">
        <v>204</v>
      </c>
      <c r="D8">
        <v>76.798052999999996</v>
      </c>
      <c r="E8">
        <v>61.714893000000004</v>
      </c>
      <c r="F8">
        <v>38.004207999999998</v>
      </c>
      <c r="G8">
        <v>33.949008999999997</v>
      </c>
      <c r="H8">
        <v>30.395356</v>
      </c>
      <c r="I8">
        <v>8.4643759999999997</v>
      </c>
      <c r="J8">
        <v>21.292279000000001</v>
      </c>
      <c r="K8">
        <v>1.4020900000000001</v>
      </c>
      <c r="L8">
        <v>1.2930269999999999</v>
      </c>
      <c r="M8">
        <v>2.1875230000000001</v>
      </c>
      <c r="N8">
        <v>2.1198429999999999</v>
      </c>
    </row>
    <row r="9" spans="1:14">
      <c r="A9" t="s">
        <v>194</v>
      </c>
      <c r="B9" t="s">
        <v>203</v>
      </c>
      <c r="C9" t="s">
        <v>205</v>
      </c>
      <c r="D9">
        <v>51.108651999999999</v>
      </c>
      <c r="E9">
        <v>42.600617999999997</v>
      </c>
      <c r="F9">
        <v>16.968553</v>
      </c>
      <c r="G9">
        <v>7.7080120000000001</v>
      </c>
      <c r="H9">
        <v>9.6484919999999992</v>
      </c>
      <c r="I9">
        <v>2.7624460000000002</v>
      </c>
      <c r="J9">
        <v>2.922901</v>
      </c>
      <c r="K9">
        <v>22.539797</v>
      </c>
      <c r="L9">
        <v>16.667432999999999</v>
      </c>
      <c r="M9">
        <v>-104.423661</v>
      </c>
      <c r="N9">
        <v>-41.486418999999998</v>
      </c>
    </row>
    <row r="10" spans="1:14">
      <c r="A10" t="s">
        <v>194</v>
      </c>
      <c r="B10" t="s">
        <v>203</v>
      </c>
      <c r="C10" t="s">
        <v>206</v>
      </c>
      <c r="D10">
        <v>24.548349999999999</v>
      </c>
      <c r="E10">
        <v>20.662296999999999</v>
      </c>
      <c r="F10">
        <v>14.289016999999999</v>
      </c>
      <c r="G10">
        <v>12.339703999999999</v>
      </c>
      <c r="H10">
        <v>1.318325</v>
      </c>
      <c r="I10">
        <v>0.39128400000000002</v>
      </c>
      <c r="J10">
        <v>0</v>
      </c>
    </row>
    <row r="11" spans="1:14">
      <c r="A11" t="s">
        <v>194</v>
      </c>
      <c r="B11" t="s">
        <v>203</v>
      </c>
      <c r="C11" t="s">
        <v>207</v>
      </c>
      <c r="D11">
        <v>26.050999999999998</v>
      </c>
      <c r="E11">
        <v>21.787600000000001</v>
      </c>
      <c r="F11">
        <v>2.5714000000000001</v>
      </c>
      <c r="G11">
        <v>-4.8170000000000002</v>
      </c>
      <c r="H11">
        <v>8.3069000000000006</v>
      </c>
      <c r="I11">
        <v>2.3578999999999999</v>
      </c>
      <c r="J11">
        <v>2.9228999999999998</v>
      </c>
      <c r="K11">
        <v>22.5398</v>
      </c>
      <c r="L11">
        <v>16.667400000000001</v>
      </c>
      <c r="M11">
        <v>-104.4237</v>
      </c>
      <c r="N11">
        <v>-41.486400000000003</v>
      </c>
    </row>
    <row r="12" spans="1:14">
      <c r="A12" t="s">
        <v>194</v>
      </c>
      <c r="B12" t="s">
        <v>203</v>
      </c>
      <c r="C12" t="s">
        <v>208</v>
      </c>
      <c r="D12">
        <v>-0.19192600000000001</v>
      </c>
      <c r="E12">
        <v>-0.13891800000000001</v>
      </c>
      <c r="F12">
        <v>-1.197E-2</v>
      </c>
      <c r="G12">
        <v>-4.0669999999999998E-2</v>
      </c>
      <c r="H12">
        <v>-3.0321000000000001E-2</v>
      </c>
    </row>
    <row r="15" spans="1:14">
      <c r="C15" t="s">
        <v>202</v>
      </c>
      <c r="D15" t="s">
        <v>204</v>
      </c>
      <c r="E15" t="s">
        <v>205</v>
      </c>
      <c r="F15" t="s">
        <v>206</v>
      </c>
      <c r="G15" t="s">
        <v>207</v>
      </c>
      <c r="H15" t="s">
        <v>208</v>
      </c>
      <c r="I15" t="s">
        <v>190</v>
      </c>
      <c r="J15" t="s">
        <v>209</v>
      </c>
    </row>
    <row r="16" spans="1:14">
      <c r="C16" s="129">
        <v>39051</v>
      </c>
      <c r="D16">
        <v>2.1198429999999999</v>
      </c>
      <c r="E16">
        <v>-41.486418999999998</v>
      </c>
      <c r="G16">
        <v>-41.486400000000003</v>
      </c>
    </row>
    <row r="17" spans="3:24">
      <c r="C17" s="129">
        <v>39416</v>
      </c>
      <c r="D17">
        <v>2.1875230000000001</v>
      </c>
      <c r="E17">
        <v>-104.423661</v>
      </c>
      <c r="G17">
        <v>-104.4237</v>
      </c>
    </row>
    <row r="18" spans="3:24">
      <c r="C18" s="129">
        <v>39782</v>
      </c>
      <c r="D18">
        <v>1.2930269999999999</v>
      </c>
      <c r="E18">
        <v>16.667432999999999</v>
      </c>
      <c r="G18">
        <v>16.667400000000001</v>
      </c>
    </row>
    <row r="19" spans="3:24">
      <c r="C19" s="129">
        <v>40147</v>
      </c>
      <c r="D19">
        <v>1.4020900000000001</v>
      </c>
      <c r="E19">
        <v>22.539797</v>
      </c>
      <c r="G19">
        <v>22.5398</v>
      </c>
    </row>
    <row r="20" spans="3:24">
      <c r="C20" s="129">
        <v>40512</v>
      </c>
      <c r="D20">
        <v>21.292279000000001</v>
      </c>
      <c r="E20">
        <v>2.922901</v>
      </c>
      <c r="F20">
        <v>0</v>
      </c>
      <c r="G20">
        <v>2.9228999999999998</v>
      </c>
    </row>
    <row r="21" spans="3:24">
      <c r="C21" s="129">
        <v>40877</v>
      </c>
      <c r="D21">
        <v>8.4643759999999997</v>
      </c>
      <c r="E21">
        <v>2.7624460000000002</v>
      </c>
      <c r="F21">
        <v>0.39128400000000002</v>
      </c>
      <c r="G21">
        <v>2.3578999999999999</v>
      </c>
      <c r="I21">
        <f>G21-E21</f>
        <v>-0.40454600000000029</v>
      </c>
    </row>
    <row r="22" spans="3:24">
      <c r="C22" s="129">
        <v>41243</v>
      </c>
      <c r="D22">
        <v>30.395356</v>
      </c>
      <c r="E22">
        <v>9.6484919999999992</v>
      </c>
      <c r="F22">
        <v>1.318325</v>
      </c>
      <c r="G22">
        <v>8.3069000000000006</v>
      </c>
      <c r="H22">
        <v>-3.0321000000000001E-2</v>
      </c>
      <c r="I22">
        <f t="shared" ref="I22:I26" si="0">G22-E22</f>
        <v>-1.3415919999999986</v>
      </c>
      <c r="M22" t="s">
        <v>210</v>
      </c>
      <c r="N22" t="s">
        <v>211</v>
      </c>
      <c r="O22" t="s">
        <v>212</v>
      </c>
      <c r="P22" t="s">
        <v>214</v>
      </c>
      <c r="Q22" t="s">
        <v>213</v>
      </c>
      <c r="R22" t="s">
        <v>218</v>
      </c>
      <c r="U22" t="s">
        <v>215</v>
      </c>
      <c r="V22" t="s">
        <v>217</v>
      </c>
      <c r="X22" t="s">
        <v>216</v>
      </c>
    </row>
    <row r="23" spans="3:24">
      <c r="C23" s="129">
        <v>41639</v>
      </c>
      <c r="D23">
        <v>33.949008999999997</v>
      </c>
      <c r="E23">
        <v>7.7080120000000001</v>
      </c>
      <c r="F23">
        <v>12.339703999999999</v>
      </c>
      <c r="G23">
        <v>-4.8170000000000002</v>
      </c>
      <c r="H23">
        <v>-4.0669999999999998E-2</v>
      </c>
      <c r="I23">
        <f t="shared" si="0"/>
        <v>-12.525012</v>
      </c>
      <c r="J23">
        <v>4.831232</v>
      </c>
      <c r="L23">
        <v>2013</v>
      </c>
      <c r="M23">
        <f>D23/J23</f>
        <v>7.0269879401361797</v>
      </c>
      <c r="N23">
        <f>E23/J23</f>
        <v>1.5954547411509115</v>
      </c>
      <c r="O23">
        <f>I23/J23</f>
        <v>-2.5925089087007209</v>
      </c>
      <c r="P23">
        <f>N23+O23</f>
        <v>-0.99705416754980947</v>
      </c>
      <c r="Q23">
        <v>1.875</v>
      </c>
      <c r="R23">
        <f>P23-Q23</f>
        <v>-2.8720541675498095</v>
      </c>
      <c r="T23">
        <v>2013</v>
      </c>
      <c r="U23">
        <f>P23</f>
        <v>-0.99705416754980947</v>
      </c>
      <c r="V23">
        <f>O23</f>
        <v>-2.5925089087007209</v>
      </c>
      <c r="X23">
        <f>Q23</f>
        <v>1.875</v>
      </c>
    </row>
    <row r="24" spans="3:24">
      <c r="C24" s="129">
        <v>42004</v>
      </c>
      <c r="D24">
        <v>38.004207999999998</v>
      </c>
      <c r="E24">
        <v>16.968553</v>
      </c>
      <c r="F24">
        <v>14.289016999999999</v>
      </c>
      <c r="G24">
        <v>2.5714000000000001</v>
      </c>
      <c r="H24">
        <v>-1.197E-2</v>
      </c>
      <c r="I24">
        <f t="shared" si="0"/>
        <v>-14.397152999999999</v>
      </c>
      <c r="J24">
        <v>9.3210099999999994</v>
      </c>
      <c r="L24">
        <v>2014</v>
      </c>
      <c r="M24">
        <f t="shared" ref="M24:M26" si="1">D24/J24</f>
        <v>4.0772628717274202</v>
      </c>
      <c r="N24">
        <f t="shared" ref="N24:N26" si="2">E24/J24</f>
        <v>1.8204629112081203</v>
      </c>
      <c r="O24">
        <f t="shared" ref="O24:O26" si="3">I24/J24</f>
        <v>-1.5445915195885425</v>
      </c>
      <c r="P24">
        <f t="shared" ref="P24:P26" si="4">N24+O24</f>
        <v>0.27587139161957785</v>
      </c>
      <c r="Q24">
        <v>2.57</v>
      </c>
      <c r="R24">
        <f t="shared" ref="R24:R26" si="5">P24-Q24</f>
        <v>-2.2941286083804222</v>
      </c>
      <c r="T24">
        <v>2014</v>
      </c>
      <c r="U24">
        <f t="shared" ref="U24:U26" si="6">P24</f>
        <v>0.27587139161957785</v>
      </c>
      <c r="V24">
        <f t="shared" ref="V24:V26" si="7">O24</f>
        <v>-1.5445915195885425</v>
      </c>
      <c r="X24">
        <f>Q24</f>
        <v>2.57</v>
      </c>
    </row>
    <row r="25" spans="3:24">
      <c r="C25" s="129">
        <v>42369</v>
      </c>
      <c r="D25">
        <v>61.714893000000004</v>
      </c>
      <c r="E25">
        <v>42.600617999999997</v>
      </c>
      <c r="F25">
        <v>20.662296999999999</v>
      </c>
      <c r="G25">
        <v>21.787600000000001</v>
      </c>
      <c r="H25">
        <v>-0.13891800000000001</v>
      </c>
      <c r="I25">
        <f t="shared" si="0"/>
        <v>-20.813017999999996</v>
      </c>
      <c r="J25">
        <v>11.939697000000001</v>
      </c>
      <c r="L25">
        <v>2015</v>
      </c>
      <c r="M25">
        <f t="shared" si="1"/>
        <v>5.1688826776759909</v>
      </c>
      <c r="N25">
        <f t="shared" si="2"/>
        <v>3.5679814990279901</v>
      </c>
      <c r="O25">
        <f t="shared" si="3"/>
        <v>-1.7431780722743631</v>
      </c>
      <c r="P25">
        <f t="shared" si="4"/>
        <v>1.8248034267536271</v>
      </c>
      <c r="Q25">
        <v>2.75</v>
      </c>
      <c r="R25">
        <f t="shared" si="5"/>
        <v>-0.92519657324637294</v>
      </c>
      <c r="T25">
        <v>2015</v>
      </c>
      <c r="U25">
        <f t="shared" si="6"/>
        <v>1.8248034267536271</v>
      </c>
      <c r="V25">
        <f t="shared" si="7"/>
        <v>-1.7431780722743631</v>
      </c>
      <c r="X25">
        <f>Q25</f>
        <v>2.75</v>
      </c>
    </row>
    <row r="26" spans="3:24">
      <c r="C26" s="129">
        <v>42735</v>
      </c>
      <c r="D26">
        <v>76.798052999999996</v>
      </c>
      <c r="E26">
        <v>51.108651999999999</v>
      </c>
      <c r="F26">
        <v>24.548349999999999</v>
      </c>
      <c r="G26">
        <v>26.050999999999998</v>
      </c>
      <c r="H26">
        <v>-0.19192600000000001</v>
      </c>
      <c r="I26">
        <f t="shared" si="0"/>
        <v>-25.057652000000001</v>
      </c>
      <c r="J26">
        <v>11.886215999999999</v>
      </c>
      <c r="L26">
        <v>2016</v>
      </c>
      <c r="M26">
        <f t="shared" si="1"/>
        <v>6.4611019183901757</v>
      </c>
      <c r="N26">
        <f t="shared" si="2"/>
        <v>4.2998252766061125</v>
      </c>
      <c r="O26">
        <f t="shared" si="3"/>
        <v>-2.1081269261807125</v>
      </c>
      <c r="P26">
        <f t="shared" si="4"/>
        <v>2.1916983504254</v>
      </c>
      <c r="Q26">
        <v>3</v>
      </c>
      <c r="R26">
        <f t="shared" si="5"/>
        <v>-0.80830164957460005</v>
      </c>
      <c r="T26">
        <v>2016</v>
      </c>
      <c r="U26">
        <f t="shared" si="6"/>
        <v>2.1916983504254</v>
      </c>
      <c r="V26">
        <f t="shared" si="7"/>
        <v>-2.1081269261807125</v>
      </c>
      <c r="X26">
        <f>Q26</f>
        <v>3</v>
      </c>
    </row>
    <row r="28" spans="3:24">
      <c r="O28" t="s">
        <v>219</v>
      </c>
    </row>
    <row r="29" spans="3:24">
      <c r="N29">
        <v>2013</v>
      </c>
      <c r="O29">
        <f>O23/1.45</f>
        <v>-1.7879371784142903</v>
      </c>
    </row>
    <row r="30" spans="3:24">
      <c r="N30">
        <v>2014</v>
      </c>
      <c r="O30">
        <f t="shared" ref="O30:O32" si="8">O24/1.45</f>
        <v>-1.0652355307507189</v>
      </c>
    </row>
    <row r="31" spans="3:24">
      <c r="N31">
        <v>2015</v>
      </c>
      <c r="O31">
        <f t="shared" si="8"/>
        <v>-1.2021917739823194</v>
      </c>
    </row>
    <row r="32" spans="3:24">
      <c r="N32">
        <v>2016</v>
      </c>
      <c r="O32">
        <f t="shared" si="8"/>
        <v>-1.4538806387453189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workbookViewId="0">
      <selection activeCell="B18" sqref="B18:C19"/>
    </sheetView>
  </sheetViews>
  <sheetFormatPr defaultRowHeight="15"/>
  <cols>
    <col min="1" max="1" width="37.42578125" bestFit="1" customWidth="1"/>
    <col min="12" max="12" width="9.5703125" bestFit="1" customWidth="1"/>
  </cols>
  <sheetData>
    <row r="1" spans="1:16">
      <c r="A1" s="10" t="s">
        <v>37</v>
      </c>
      <c r="B1" s="130">
        <f>'Company Analysis'!B2</f>
        <v>39447</v>
      </c>
      <c r="C1" s="130">
        <f>'Company Analysis'!C2</f>
        <v>39813</v>
      </c>
      <c r="D1" s="130">
        <f>'Company Analysis'!D2</f>
        <v>40178</v>
      </c>
      <c r="E1" s="130">
        <f>'Company Analysis'!E2</f>
        <v>40543</v>
      </c>
      <c r="F1" s="130">
        <f>'Company Analysis'!F2</f>
        <v>40908</v>
      </c>
      <c r="G1" s="130">
        <f>'Company Analysis'!G2</f>
        <v>41274</v>
      </c>
      <c r="H1" s="130">
        <f>'Company Analysis'!H2</f>
        <v>41639</v>
      </c>
      <c r="I1" s="130">
        <f>'Company Analysis'!I2</f>
        <v>42004</v>
      </c>
      <c r="J1" s="130">
        <f>'Company Analysis'!J2</f>
        <v>42369</v>
      </c>
      <c r="K1" s="130">
        <f>'Company Analysis'!K2</f>
        <v>42735</v>
      </c>
      <c r="L1" s="130">
        <f>'Graphing Data'!K1+365</f>
        <v>43100</v>
      </c>
      <c r="M1" s="130">
        <f>'Graphing Data'!L1+365</f>
        <v>43465</v>
      </c>
      <c r="N1" s="130">
        <f>'Graphing Data'!M1+365</f>
        <v>43830</v>
      </c>
      <c r="O1" s="130">
        <f>'Graphing Data'!N1+365</f>
        <v>44195</v>
      </c>
      <c r="P1" s="130">
        <f>'Graphing Data'!O1+365</f>
        <v>44560</v>
      </c>
    </row>
    <row r="2" spans="1:16">
      <c r="A2" t="s">
        <v>161</v>
      </c>
      <c r="B2" s="17">
        <f>'Company Analysis'!B3</f>
        <v>0</v>
      </c>
      <c r="C2" s="17">
        <f>'Company Analysis'!C3</f>
        <v>0</v>
      </c>
      <c r="D2" s="17">
        <f>'Company Analysis'!D3</f>
        <v>0</v>
      </c>
      <c r="E2" s="17">
        <f>'Company Analysis'!E3</f>
        <v>0</v>
      </c>
      <c r="F2" s="17">
        <f>'Company Analysis'!F3</f>
        <v>0</v>
      </c>
      <c r="G2" s="17">
        <f>'Company Analysis'!G3</f>
        <v>0</v>
      </c>
      <c r="H2" s="17">
        <f>'Company Analysis'!H3</f>
        <v>7.0269879401361797</v>
      </c>
      <c r="I2" s="17">
        <f>'Company Analysis'!I3</f>
        <v>4.0772628717274202</v>
      </c>
      <c r="J2" s="17">
        <f>'Company Analysis'!J3</f>
        <v>5.1688826776759909</v>
      </c>
      <c r="K2" s="17">
        <f>'Company Analysis'!K3</f>
        <v>6.4611019183901757</v>
      </c>
      <c r="L2" s="17"/>
      <c r="M2" s="17"/>
      <c r="N2" s="17"/>
      <c r="O2" s="17"/>
      <c r="P2" s="17"/>
    </row>
    <row r="3" spans="1:16">
      <c r="A3" t="s">
        <v>162</v>
      </c>
      <c r="L3" s="17">
        <f>$K$2*(1+'Valuation Model'!C8)</f>
        <v>6.4611019183901757</v>
      </c>
      <c r="M3" s="17">
        <f>L3*(1+'Valuation Model'!D8)</f>
        <v>6.4611019183901757</v>
      </c>
      <c r="N3" s="17">
        <f>M3*(1+'Valuation Model'!E8)</f>
        <v>6.4611019183901757</v>
      </c>
      <c r="O3" s="17">
        <f>N3*(1+'Valuation Model'!F8)</f>
        <v>6.4611019183901757</v>
      </c>
      <c r="P3" s="17">
        <f>O3*(1+'Valuation Model'!G8)</f>
        <v>6.4611019183901757</v>
      </c>
    </row>
    <row r="4" spans="1:16">
      <c r="A4" t="s">
        <v>163</v>
      </c>
      <c r="L4" s="17">
        <f>$K$2*(1+'Valuation Model'!C9)</f>
        <v>6.4611019183901757</v>
      </c>
      <c r="M4" s="17">
        <f>L4*(1+'Valuation Model'!D9)</f>
        <v>6.4611019183901757</v>
      </c>
      <c r="N4" s="17">
        <f>M4*(1+'Valuation Model'!E9)</f>
        <v>6.4611019183901757</v>
      </c>
      <c r="O4" s="17">
        <f>N4*(1+'Valuation Model'!F9)</f>
        <v>6.4611019183901757</v>
      </c>
      <c r="P4" s="17">
        <f>O4*(1+'Valuation Model'!G9)</f>
        <v>6.4611019183901757</v>
      </c>
    </row>
    <row r="5" spans="1:16">
      <c r="A5" t="s">
        <v>164</v>
      </c>
      <c r="C5" s="20" t="e">
        <f>C2/B2-1</f>
        <v>#DIV/0!</v>
      </c>
      <c r="D5" s="20" t="e">
        <f t="shared" ref="D5:K5" si="0">D2/C2-1</f>
        <v>#DIV/0!</v>
      </c>
      <c r="E5" s="20" t="e">
        <f t="shared" si="0"/>
        <v>#DIV/0!</v>
      </c>
      <c r="F5" s="20" t="e">
        <f t="shared" si="0"/>
        <v>#DIV/0!</v>
      </c>
      <c r="G5" s="20" t="e">
        <f t="shared" si="0"/>
        <v>#DIV/0!</v>
      </c>
      <c r="H5" s="20" t="e">
        <f t="shared" si="0"/>
        <v>#DIV/0!</v>
      </c>
      <c r="I5" s="20">
        <f t="shared" si="0"/>
        <v>-0.41977090234647463</v>
      </c>
      <c r="J5" s="20">
        <f t="shared" si="0"/>
        <v>0.26773348697188171</v>
      </c>
      <c r="K5" s="20">
        <f t="shared" si="0"/>
        <v>0.2499997235950393</v>
      </c>
    </row>
    <row r="6" spans="1:16">
      <c r="A6" t="s">
        <v>165</v>
      </c>
      <c r="K6" s="98">
        <f>K5</f>
        <v>0.2499997235950393</v>
      </c>
      <c r="L6" s="98">
        <f>'Valuation Model'!C8</f>
        <v>0</v>
      </c>
      <c r="M6" s="98">
        <f>'Valuation Model'!D8</f>
        <v>0</v>
      </c>
      <c r="N6" s="98">
        <f>'Valuation Model'!E8</f>
        <v>0</v>
      </c>
      <c r="O6" s="98">
        <f>'Valuation Model'!F8</f>
        <v>0</v>
      </c>
      <c r="P6" s="98">
        <f>'Valuation Model'!G8</f>
        <v>0</v>
      </c>
    </row>
    <row r="7" spans="1:16">
      <c r="A7" t="s">
        <v>166</v>
      </c>
      <c r="K7" s="98">
        <f>K5</f>
        <v>0.2499997235950393</v>
      </c>
      <c r="L7" s="98">
        <f>'Valuation Model'!C9</f>
        <v>0</v>
      </c>
      <c r="M7" s="98">
        <f>'Valuation Model'!D9</f>
        <v>0</v>
      </c>
      <c r="N7" s="98">
        <f>'Valuation Model'!E9</f>
        <v>0</v>
      </c>
      <c r="O7" s="98">
        <f>'Valuation Model'!F9</f>
        <v>0</v>
      </c>
      <c r="P7" s="98">
        <f>'Valuation Model'!G9</f>
        <v>0</v>
      </c>
    </row>
    <row r="9" spans="1:16">
      <c r="A9" s="10" t="s">
        <v>71</v>
      </c>
      <c r="B9" s="130">
        <f>B1</f>
        <v>39447</v>
      </c>
      <c r="C9" s="130">
        <f t="shared" ref="C9:P9" si="1">C1</f>
        <v>39813</v>
      </c>
      <c r="D9" s="130">
        <f t="shared" si="1"/>
        <v>40178</v>
      </c>
      <c r="E9" s="130">
        <f t="shared" si="1"/>
        <v>40543</v>
      </c>
      <c r="F9" s="130">
        <f t="shared" si="1"/>
        <v>40908</v>
      </c>
      <c r="G9" s="130">
        <f t="shared" si="1"/>
        <v>41274</v>
      </c>
      <c r="H9" s="130">
        <f t="shared" si="1"/>
        <v>41639</v>
      </c>
      <c r="I9" s="130">
        <f t="shared" si="1"/>
        <v>42004</v>
      </c>
      <c r="J9" s="130">
        <f t="shared" si="1"/>
        <v>42369</v>
      </c>
      <c r="K9" s="130">
        <f t="shared" si="1"/>
        <v>42735</v>
      </c>
      <c r="L9" s="130">
        <f t="shared" si="1"/>
        <v>43100</v>
      </c>
      <c r="M9" s="130">
        <f t="shared" si="1"/>
        <v>43465</v>
      </c>
      <c r="N9" s="130">
        <f t="shared" si="1"/>
        <v>43830</v>
      </c>
      <c r="O9" s="130">
        <f t="shared" si="1"/>
        <v>44195</v>
      </c>
      <c r="P9" s="130">
        <f t="shared" si="1"/>
        <v>44560</v>
      </c>
    </row>
    <row r="10" spans="1:16">
      <c r="A10" t="s">
        <v>167</v>
      </c>
      <c r="B10" s="17">
        <f>'Company Analysis'!B11</f>
        <v>0</v>
      </c>
      <c r="C10" s="17">
        <f>'Company Analysis'!C11</f>
        <v>0</v>
      </c>
      <c r="D10" s="17">
        <f>'Company Analysis'!D11</f>
        <v>0</v>
      </c>
      <c r="E10" s="17">
        <f>'Company Analysis'!E11</f>
        <v>0</v>
      </c>
      <c r="F10" s="17">
        <f>'Company Analysis'!F11</f>
        <v>0</v>
      </c>
      <c r="G10" s="17">
        <f>'Company Analysis'!G11</f>
        <v>0</v>
      </c>
      <c r="H10" s="17">
        <f>'Company Analysis'!H11</f>
        <v>-0.99705416754980947</v>
      </c>
      <c r="I10" s="17">
        <f>'Company Analysis'!I11</f>
        <v>0.27587139161957785</v>
      </c>
      <c r="J10" s="17">
        <f>'Company Analysis'!J11</f>
        <v>1.8248034267536271</v>
      </c>
      <c r="K10" s="17">
        <f>'Company Analysis'!K11</f>
        <v>2.1916983504254</v>
      </c>
    </row>
    <row r="11" spans="1:16">
      <c r="A11" t="s">
        <v>168</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169</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170</v>
      </c>
      <c r="B13" s="20" t="e">
        <f>B10/B2</f>
        <v>#DIV/0!</v>
      </c>
      <c r="C13" s="20" t="e">
        <f t="shared" ref="C13:K13" si="2">C10/C2</f>
        <v>#DIV/0!</v>
      </c>
      <c r="D13" s="20" t="e">
        <f t="shared" si="2"/>
        <v>#DIV/0!</v>
      </c>
      <c r="E13" s="20" t="e">
        <f t="shared" si="2"/>
        <v>#DIV/0!</v>
      </c>
      <c r="F13" s="20" t="e">
        <f t="shared" si="2"/>
        <v>#DIV/0!</v>
      </c>
      <c r="G13" s="20" t="e">
        <f t="shared" si="2"/>
        <v>#DIV/0!</v>
      </c>
      <c r="H13" s="20">
        <f t="shared" si="2"/>
        <v>-0.1418892669297063</v>
      </c>
      <c r="I13" s="20">
        <f t="shared" si="2"/>
        <v>6.7660928495076156E-2</v>
      </c>
      <c r="J13" s="20">
        <f t="shared" si="2"/>
        <v>0.35303634083915536</v>
      </c>
      <c r="K13" s="20">
        <f t="shared" si="2"/>
        <v>0.33921432877992358</v>
      </c>
    </row>
    <row r="14" spans="1:16">
      <c r="A14" t="s">
        <v>171</v>
      </c>
      <c r="K14" s="98">
        <f>K13</f>
        <v>0.33921432877992358</v>
      </c>
      <c r="L14" s="98">
        <f>'Valuation Model'!C10</f>
        <v>0</v>
      </c>
      <c r="M14" s="98">
        <f>'Valuation Model'!D10</f>
        <v>0</v>
      </c>
      <c r="N14" s="98">
        <f>'Valuation Model'!E10</f>
        <v>0</v>
      </c>
      <c r="O14" s="98">
        <f>'Valuation Model'!F10</f>
        <v>0</v>
      </c>
      <c r="P14" s="98">
        <f>'Valuation Model'!G10</f>
        <v>0</v>
      </c>
    </row>
    <row r="15" spans="1:16">
      <c r="A15" t="s">
        <v>172</v>
      </c>
      <c r="K15" s="98">
        <f>K13</f>
        <v>0.33921432877992358</v>
      </c>
      <c r="L15" s="98">
        <f>'Valuation Model'!C11</f>
        <v>0</v>
      </c>
      <c r="M15" s="98">
        <f>'Valuation Model'!D11</f>
        <v>0</v>
      </c>
      <c r="N15" s="98">
        <f>'Valuation Model'!E11</f>
        <v>0</v>
      </c>
      <c r="O15" s="98">
        <f>'Valuation Model'!F11</f>
        <v>0</v>
      </c>
      <c r="P15" s="98">
        <f>'Valuation Model'!G11</f>
        <v>0</v>
      </c>
    </row>
    <row r="17" spans="1:16">
      <c r="A17" s="10" t="s">
        <v>173</v>
      </c>
      <c r="B17" s="130">
        <f>B9</f>
        <v>39447</v>
      </c>
      <c r="C17" s="130">
        <f t="shared" ref="C17:K17" si="3">C9</f>
        <v>39813</v>
      </c>
      <c r="D17" s="130">
        <f t="shared" si="3"/>
        <v>40178</v>
      </c>
      <c r="E17" s="130">
        <f t="shared" si="3"/>
        <v>40543</v>
      </c>
      <c r="F17" s="130">
        <f t="shared" si="3"/>
        <v>40908</v>
      </c>
      <c r="G17" s="130">
        <f t="shared" si="3"/>
        <v>41274</v>
      </c>
      <c r="H17" s="130">
        <f t="shared" si="3"/>
        <v>41639</v>
      </c>
      <c r="I17" s="130">
        <f t="shared" si="3"/>
        <v>42004</v>
      </c>
      <c r="J17" s="130">
        <f t="shared" si="3"/>
        <v>42369</v>
      </c>
      <c r="K17" s="130">
        <f t="shared" si="3"/>
        <v>42735</v>
      </c>
    </row>
    <row r="18" spans="1:16">
      <c r="A18" t="s">
        <v>137</v>
      </c>
      <c r="B18" s="18">
        <f>B10</f>
        <v>0</v>
      </c>
      <c r="C18" s="18">
        <f t="shared" ref="C18:K18" si="4">C10</f>
        <v>0</v>
      </c>
      <c r="D18" s="18">
        <f t="shared" si="4"/>
        <v>0</v>
      </c>
      <c r="E18" s="18">
        <f t="shared" si="4"/>
        <v>0</v>
      </c>
      <c r="F18" s="18">
        <f t="shared" si="4"/>
        <v>0</v>
      </c>
      <c r="G18" s="18">
        <f t="shared" si="4"/>
        <v>0</v>
      </c>
      <c r="H18" s="18">
        <f t="shared" si="4"/>
        <v>-0.99705416754980947</v>
      </c>
      <c r="I18" s="18">
        <f t="shared" si="4"/>
        <v>0.27587139161957785</v>
      </c>
      <c r="J18" s="18">
        <f t="shared" si="4"/>
        <v>1.8248034267536271</v>
      </c>
      <c r="K18" s="18">
        <f t="shared" si="4"/>
        <v>2.1916983504254</v>
      </c>
    </row>
    <row r="19" spans="1:16">
      <c r="A19" t="s">
        <v>174</v>
      </c>
      <c r="B19" s="18">
        <f>-'Company Analysis'!B28</f>
        <v>0</v>
      </c>
      <c r="C19" s="18">
        <f>-'Company Analysis'!C28</f>
        <v>0</v>
      </c>
      <c r="D19" s="18">
        <f>-'Company Analysis'!D28</f>
        <v>0</v>
      </c>
      <c r="E19" s="18">
        <f>-'Company Analysis'!E28</f>
        <v>0</v>
      </c>
      <c r="F19" s="18">
        <f>-'Company Analysis'!F28</f>
        <v>0</v>
      </c>
      <c r="G19" s="18">
        <f>-'Company Analysis'!G28</f>
        <v>0</v>
      </c>
      <c r="H19" s="18">
        <f>-'Company Analysis'!H28</f>
        <v>-2.8720541675498095</v>
      </c>
      <c r="I19" s="18">
        <f>-'Company Analysis'!I28</f>
        <v>-2.2941286083804222</v>
      </c>
      <c r="J19" s="18">
        <f>-'Company Analysis'!J28</f>
        <v>-0.92519657324637294</v>
      </c>
      <c r="K19" s="18">
        <f>-'Company Analysis'!K28</f>
        <v>-0.80830164957460005</v>
      </c>
    </row>
    <row r="21" spans="1:16">
      <c r="A21" s="10" t="s">
        <v>175</v>
      </c>
      <c r="B21" s="130">
        <f>B17</f>
        <v>39447</v>
      </c>
      <c r="C21" s="130">
        <f t="shared" ref="C21:K21" si="5">C17</f>
        <v>39813</v>
      </c>
      <c r="D21" s="130">
        <f t="shared" si="5"/>
        <v>40178</v>
      </c>
      <c r="E21" s="130">
        <f t="shared" si="5"/>
        <v>40543</v>
      </c>
      <c r="F21" s="130">
        <f t="shared" si="5"/>
        <v>40908</v>
      </c>
      <c r="G21" s="130">
        <f t="shared" si="5"/>
        <v>41274</v>
      </c>
      <c r="H21" s="130">
        <f t="shared" si="5"/>
        <v>41639</v>
      </c>
      <c r="I21" s="130">
        <f t="shared" si="5"/>
        <v>42004</v>
      </c>
      <c r="J21" s="130">
        <f t="shared" si="5"/>
        <v>42369</v>
      </c>
      <c r="K21" s="130">
        <f t="shared" si="5"/>
        <v>42735</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0</v>
      </c>
      <c r="H22" s="18">
        <f>-'Company Analysis'!H19</f>
        <v>0</v>
      </c>
      <c r="I22" s="18">
        <f>-'Company Analysis'!I19</f>
        <v>0</v>
      </c>
      <c r="J22" s="18">
        <f>-'Company Analysis'!J19</f>
        <v>0</v>
      </c>
      <c r="K22" s="18">
        <f>-'Company Analysis'!K19</f>
        <v>0</v>
      </c>
    </row>
    <row r="23" spans="1:16">
      <c r="A23" t="s">
        <v>177</v>
      </c>
      <c r="B23" s="18">
        <f>-'Company Analysis'!B20</f>
        <v>0</v>
      </c>
      <c r="C23" s="18">
        <f>-'Company Analysis'!C20</f>
        <v>0</v>
      </c>
      <c r="D23" s="18">
        <f>-'Company Analysis'!D20</f>
        <v>0</v>
      </c>
      <c r="E23" s="18">
        <f>-'Company Analysis'!E20</f>
        <v>0</v>
      </c>
      <c r="F23" s="18">
        <f>-'Company Analysis'!F20</f>
        <v>0</v>
      </c>
      <c r="G23" s="18">
        <f>-'Company Analysis'!G20</f>
        <v>0</v>
      </c>
      <c r="H23" s="18">
        <f>-'Company Analysis'!H20</f>
        <v>-2.8720541675498095</v>
      </c>
      <c r="I23" s="18">
        <f>-'Company Analysis'!I20</f>
        <v>-2.2941286083804222</v>
      </c>
      <c r="J23" s="18">
        <f>-'Company Analysis'!J20</f>
        <v>-0.92519657324637294</v>
      </c>
      <c r="K23" s="18">
        <f>-'Company Analysis'!K20</f>
        <v>-0.80830164957460005</v>
      </c>
    </row>
    <row r="24" spans="1:16">
      <c r="A24" t="s">
        <v>178</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0</v>
      </c>
      <c r="J24" s="18">
        <f>-'Company Analysis'!J21</f>
        <v>0</v>
      </c>
      <c r="K24" s="18">
        <f>-'Company Analysis'!K21</f>
        <v>0</v>
      </c>
    </row>
    <row r="25" spans="1:16">
      <c r="A25" t="s">
        <v>179</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188</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180</v>
      </c>
      <c r="B27" s="18">
        <f>-'Company Analysis'!B27</f>
        <v>0</v>
      </c>
      <c r="C27" s="18">
        <f>-'Company Analysis'!C27</f>
        <v>0</v>
      </c>
      <c r="D27" s="18">
        <f>-'Company Analysis'!D27</f>
        <v>0</v>
      </c>
      <c r="E27" s="18">
        <f>-'Company Analysis'!E27</f>
        <v>0</v>
      </c>
      <c r="F27" s="18">
        <f>-'Company Analysis'!F27</f>
        <v>0</v>
      </c>
      <c r="G27" s="18">
        <f>-'Company Analysis'!G27</f>
        <v>0</v>
      </c>
      <c r="H27" s="18">
        <f>-'Company Analysis'!H27</f>
        <v>0</v>
      </c>
      <c r="I27" s="18">
        <f>-'Company Analysis'!I27</f>
        <v>0</v>
      </c>
      <c r="J27" s="18">
        <f>-'Company Analysis'!J27</f>
        <v>0</v>
      </c>
      <c r="K27" s="18">
        <f>-'Company Analysis'!K27</f>
        <v>0</v>
      </c>
    </row>
    <row r="29" spans="1:16">
      <c r="A29" s="10" t="s">
        <v>73</v>
      </c>
      <c r="B29" s="130">
        <f>B1</f>
        <v>39447</v>
      </c>
      <c r="C29" s="130">
        <f t="shared" ref="C29:P29" si="6">C1</f>
        <v>39813</v>
      </c>
      <c r="D29" s="130">
        <f t="shared" si="6"/>
        <v>40178</v>
      </c>
      <c r="E29" s="130">
        <f t="shared" si="6"/>
        <v>40543</v>
      </c>
      <c r="F29" s="130">
        <f t="shared" si="6"/>
        <v>40908</v>
      </c>
      <c r="G29" s="130">
        <f t="shared" si="6"/>
        <v>41274</v>
      </c>
      <c r="H29" s="130">
        <f t="shared" si="6"/>
        <v>41639</v>
      </c>
      <c r="I29" s="130">
        <f t="shared" si="6"/>
        <v>42004</v>
      </c>
      <c r="J29" s="130">
        <f t="shared" si="6"/>
        <v>42369</v>
      </c>
      <c r="K29" s="130">
        <f t="shared" si="6"/>
        <v>42735</v>
      </c>
      <c r="L29" s="130">
        <f t="shared" si="6"/>
        <v>43100</v>
      </c>
      <c r="M29" s="130">
        <f t="shared" si="6"/>
        <v>43465</v>
      </c>
      <c r="N29" s="130">
        <f t="shared" si="6"/>
        <v>43830</v>
      </c>
      <c r="O29" s="130">
        <f t="shared" si="6"/>
        <v>44195</v>
      </c>
      <c r="P29" s="130">
        <f t="shared" si="6"/>
        <v>44560</v>
      </c>
    </row>
    <row r="30" spans="1:16">
      <c r="A30" t="s">
        <v>181</v>
      </c>
      <c r="B30" s="18">
        <f>'Company Analysis'!B32</f>
        <v>0</v>
      </c>
      <c r="C30" s="18">
        <f>'Company Analysis'!C32</f>
        <v>0</v>
      </c>
      <c r="D30" s="18">
        <f>'Company Analysis'!D32</f>
        <v>0</v>
      </c>
      <c r="E30" s="18">
        <f>'Company Analysis'!E32</f>
        <v>0</v>
      </c>
      <c r="F30" s="18">
        <f>'Company Analysis'!F32</f>
        <v>0</v>
      </c>
      <c r="G30" s="18">
        <f>'Company Analysis'!G32</f>
        <v>0</v>
      </c>
      <c r="H30" s="18">
        <f>'Company Analysis'!H32</f>
        <v>1.875</v>
      </c>
      <c r="I30" s="18">
        <f>'Company Analysis'!I32</f>
        <v>2.5700000000000003</v>
      </c>
      <c r="J30" s="18">
        <f>'Company Analysis'!J32</f>
        <v>2.75</v>
      </c>
      <c r="K30" s="18">
        <f>'Company Analysis'!K32</f>
        <v>3</v>
      </c>
    </row>
    <row r="31" spans="1:16">
      <c r="A31" t="s">
        <v>182</v>
      </c>
      <c r="L31" s="18">
        <f>L11*(1-'Valuation Model'!C12)</f>
        <v>0</v>
      </c>
      <c r="M31" s="18">
        <f>M11*(1-'Valuation Model'!D12)</f>
        <v>0</v>
      </c>
      <c r="N31" s="18">
        <f>N11*(1-'Valuation Model'!E12)</f>
        <v>0</v>
      </c>
      <c r="O31" s="18">
        <f>O11*(1-'Valuation Model'!F12)</f>
        <v>0</v>
      </c>
      <c r="P31" s="18">
        <f>P11*(1-'Valuation Model'!G12)</f>
        <v>0</v>
      </c>
    </row>
    <row r="32" spans="1:16">
      <c r="A32" t="s">
        <v>183</v>
      </c>
      <c r="L32" s="18">
        <f>L12*(1-'Valuation Model'!C12)</f>
        <v>0</v>
      </c>
      <c r="M32" s="18">
        <f>M12*(1-'Valuation Model'!D12)</f>
        <v>0</v>
      </c>
      <c r="N32" s="18">
        <f>N12*(1-'Valuation Model'!E12)</f>
        <v>0</v>
      </c>
      <c r="O32" s="18">
        <f>O12*(1-'Valuation Model'!F12)</f>
        <v>0</v>
      </c>
      <c r="P32" s="18">
        <f>P12*(1-'Valuation Model'!G12)</f>
        <v>0</v>
      </c>
    </row>
    <row r="33" spans="1:16">
      <c r="A33" t="s">
        <v>184</v>
      </c>
      <c r="B33" s="20" t="e">
        <f t="shared" ref="B33:J33" si="7">B30/B2</f>
        <v>#DIV/0!</v>
      </c>
      <c r="C33" s="20" t="e">
        <f t="shared" si="7"/>
        <v>#DIV/0!</v>
      </c>
      <c r="D33" s="20" t="e">
        <f t="shared" si="7"/>
        <v>#DIV/0!</v>
      </c>
      <c r="E33" s="20" t="e">
        <f t="shared" si="7"/>
        <v>#DIV/0!</v>
      </c>
      <c r="F33" s="20" t="e">
        <f t="shared" si="7"/>
        <v>#DIV/0!</v>
      </c>
      <c r="G33" s="20" t="e">
        <f t="shared" si="7"/>
        <v>#DIV/0!</v>
      </c>
      <c r="H33" s="20">
        <f t="shared" si="7"/>
        <v>0.26682840727397966</v>
      </c>
      <c r="I33" s="20">
        <f t="shared" si="7"/>
        <v>0.63032482350375518</v>
      </c>
      <c r="J33" s="20">
        <f t="shared" si="7"/>
        <v>0.5320298740532533</v>
      </c>
      <c r="K33" s="20">
        <f>K30/K2</f>
        <v>0.46431708366356633</v>
      </c>
    </row>
    <row r="34" spans="1:16">
      <c r="A34" t="s">
        <v>185</v>
      </c>
      <c r="K34" s="98">
        <f>K33</f>
        <v>0.46431708366356633</v>
      </c>
      <c r="L34" s="131">
        <f>(1-'Valuation Model'!C12)*'Valuation Model'!C10</f>
        <v>0</v>
      </c>
      <c r="M34" s="131">
        <f>(1-'Valuation Model'!D12)*'Valuation Model'!D10</f>
        <v>0</v>
      </c>
      <c r="N34" s="131">
        <f>(1-'Valuation Model'!E12)*'Valuation Model'!E10</f>
        <v>0</v>
      </c>
      <c r="O34" s="131">
        <f>(1-'Valuation Model'!F12)*'Valuation Model'!F10</f>
        <v>0</v>
      </c>
      <c r="P34" s="131">
        <f>(1-'Valuation Model'!G12)*'Valuation Model'!G10</f>
        <v>0</v>
      </c>
    </row>
    <row r="35" spans="1:16">
      <c r="A35" t="s">
        <v>186</v>
      </c>
      <c r="K35" s="98">
        <f>K33</f>
        <v>0.46431708366356633</v>
      </c>
      <c r="L35" s="131">
        <f>(1-'Valuation Model'!C12)*'Valuation Model'!C11</f>
        <v>0</v>
      </c>
      <c r="M35" s="131">
        <f>(1-'Valuation Model'!D12)*'Valuation Model'!D11</f>
        <v>0</v>
      </c>
      <c r="N35" s="131">
        <f>(1-'Valuation Model'!E12)*'Valuation Model'!E11</f>
        <v>0</v>
      </c>
      <c r="O35" s="131">
        <f>(1-'Valuation Model'!F12)*'Valuation Model'!F11</f>
        <v>0</v>
      </c>
      <c r="P35" s="131">
        <f>(1-'Valuation Model'!G12)*'Valuation Model'!G11</f>
        <v>0</v>
      </c>
    </row>
    <row r="37" spans="1:16">
      <c r="A37" s="10" t="s">
        <v>151</v>
      </c>
      <c r="B37" s="130">
        <f>B1</f>
        <v>39447</v>
      </c>
      <c r="C37" s="130">
        <f t="shared" ref="C37:K37" si="8">C1</f>
        <v>39813</v>
      </c>
      <c r="D37" s="130">
        <f t="shared" si="8"/>
        <v>40178</v>
      </c>
      <c r="E37" s="130">
        <f t="shared" si="8"/>
        <v>40543</v>
      </c>
      <c r="F37" s="130">
        <f t="shared" si="8"/>
        <v>40908</v>
      </c>
      <c r="G37" s="130">
        <f t="shared" si="8"/>
        <v>41274</v>
      </c>
      <c r="H37" s="130">
        <f t="shared" si="8"/>
        <v>41639</v>
      </c>
      <c r="I37" s="130">
        <f t="shared" si="8"/>
        <v>42004</v>
      </c>
      <c r="J37" s="130">
        <f t="shared" si="8"/>
        <v>42369</v>
      </c>
      <c r="K37" s="130">
        <f t="shared" si="8"/>
        <v>42735</v>
      </c>
    </row>
    <row r="38" spans="1:16">
      <c r="A38" t="str">
        <f>ticker&amp;" Actual OCP ($, LHS)"</f>
        <v>CORR Actual OCP ($, LHS)</v>
      </c>
      <c r="B38" s="18">
        <f>B10</f>
        <v>0</v>
      </c>
      <c r="C38" s="18">
        <f t="shared" ref="C38:K38" si="9">C10</f>
        <v>0</v>
      </c>
      <c r="D38" s="18">
        <f t="shared" si="9"/>
        <v>0</v>
      </c>
      <c r="E38" s="18">
        <f t="shared" si="9"/>
        <v>0</v>
      </c>
      <c r="F38" s="18">
        <f t="shared" si="9"/>
        <v>0</v>
      </c>
      <c r="G38" s="18">
        <f t="shared" si="9"/>
        <v>0</v>
      </c>
      <c r="H38" s="18">
        <f t="shared" si="9"/>
        <v>-0.99705416754980947</v>
      </c>
      <c r="I38" s="18">
        <f t="shared" si="9"/>
        <v>0.27587139161957785</v>
      </c>
      <c r="J38" s="18">
        <f t="shared" si="9"/>
        <v>1.8248034267536271</v>
      </c>
      <c r="K38" s="18">
        <f t="shared" si="9"/>
        <v>2.1916983504254</v>
      </c>
    </row>
    <row r="39" spans="1:16">
      <c r="A39" t="str">
        <f>ticker&amp;" OCP if GDP-Growth ($, LHS)"</f>
        <v>CORR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ht="16.5">
      <c r="A40" t="str">
        <f>ticker&amp;" - GDP Growth Difference (YoY, %, RHS)"</f>
        <v>CORR - GDP Growth Difference (YoY, %, RHS)</v>
      </c>
      <c r="B40" s="132"/>
      <c r="C40" s="98" t="e">
        <f>'Company Analysis'!C41-'Company Analysis'!C40</f>
        <v>#VALUE!</v>
      </c>
      <c r="D40" s="98" t="e">
        <f>'Company Analysis'!D41-'Company Analysis'!D40</f>
        <v>#VALUE!</v>
      </c>
      <c r="E40" s="98" t="e">
        <f>'Company Analysis'!E41-'Company Analysis'!E40</f>
        <v>#VALUE!</v>
      </c>
      <c r="F40" s="98" t="e">
        <f>'Company Analysis'!F41-'Company Analysis'!F40</f>
        <v>#VALUE!</v>
      </c>
      <c r="G40" s="98" t="e">
        <f>'Company Analysis'!G41-'Company Analysis'!G40</f>
        <v>#VALUE!</v>
      </c>
      <c r="H40" s="98" t="e">
        <f>'Company Analysis'!H41-'Company Analysis'!H40</f>
        <v>#VALUE!</v>
      </c>
      <c r="I40" s="98">
        <f>'Company Analysis'!I41-'Company Analysis'!I40</f>
        <v>-1.3133060334460387</v>
      </c>
      <c r="J40" s="98">
        <f>'Company Analysis'!J41-'Company Analysis'!J40</f>
        <v>5.6168748647992466</v>
      </c>
      <c r="K40" s="98">
        <f>'Company Analysis'!K41-'Company Analysis'!K40</f>
        <v>0.20105997078517568</v>
      </c>
    </row>
    <row r="41" spans="1:16" ht="16.5">
      <c r="A41" t="str">
        <f>ticker&amp;" - GDP Growth Difference (3Y, %, RHS)"</f>
        <v>CORR - GDP Growth Difference (3Y, %, RHS)</v>
      </c>
      <c r="B41" s="133"/>
      <c r="C41" s="98"/>
      <c r="D41" s="98"/>
      <c r="E41" s="98" t="e">
        <f>'Company Analysis'!E43-'Company Analysis'!E42</f>
        <v>#VALUE!</v>
      </c>
      <c r="F41" s="98" t="e">
        <f>'Company Analysis'!F43-'Company Analysis'!F42</f>
        <v>#VALUE!</v>
      </c>
      <c r="G41" s="98" t="e">
        <f>'Company Analysis'!G43-'Company Analysis'!G42</f>
        <v>#VALUE!</v>
      </c>
      <c r="H41" s="98" t="e">
        <f>'Company Analysis'!H43-'Company Analysis'!H42</f>
        <v>#VALUE!</v>
      </c>
      <c r="I41" s="98">
        <f>'Company Analysis'!I43-'Company Analysis'!I42</f>
        <v>-0.31568142456520731</v>
      </c>
      <c r="J41" s="98">
        <f>'Company Analysis'!J43-'Company Analysis'!J42</f>
        <v>-2.5563615036819991</v>
      </c>
      <c r="K41" s="98">
        <f>'Company Analysis'!K43-'Company Analysis'!K42</f>
        <v>2.8781690781164624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E2" sqref="E2"/>
    </sheetView>
  </sheetViews>
  <sheetFormatPr defaultColWidth="9.140625" defaultRowHeight="15"/>
  <cols>
    <col min="1" max="1" width="4.7109375" style="76" bestFit="1" customWidth="1"/>
    <col min="2" max="2" width="14.42578125" style="76" bestFit="1" customWidth="1"/>
    <col min="3" max="3" width="9.28515625" style="76" bestFit="1" customWidth="1"/>
    <col min="4" max="4" width="12.28515625" style="76" bestFit="1" customWidth="1"/>
    <col min="5" max="7" width="12.28515625" style="76" customWidth="1"/>
    <col min="8" max="8" width="16.140625" style="76" bestFit="1" customWidth="1"/>
    <col min="9" max="10" width="12.28515625" style="76" customWidth="1"/>
    <col min="11" max="11" width="10.85546875" style="76" bestFit="1" customWidth="1"/>
    <col min="12" max="12" width="10.5703125" style="76" bestFit="1" customWidth="1"/>
    <col min="13" max="14" width="9.140625" style="76"/>
    <col min="15" max="15" width="13.85546875" style="76" bestFit="1" customWidth="1"/>
    <col min="16" max="16384" width="9.140625" style="76"/>
  </cols>
  <sheetData>
    <row r="1" spans="1:15">
      <c r="A1" s="76" t="s">
        <v>100</v>
      </c>
      <c r="B1" s="77">
        <f ca="1">MAX(C5:C12)+10</f>
        <v>10</v>
      </c>
      <c r="D1" s="76" t="s">
        <v>101</v>
      </c>
      <c r="E1" s="76">
        <v>7</v>
      </c>
    </row>
    <row r="2" spans="1:15">
      <c r="A2" s="76" t="s">
        <v>102</v>
      </c>
      <c r="B2" s="77">
        <f ca="1">MIN(C5:C12)-10</f>
        <v>-10</v>
      </c>
    </row>
    <row r="4" spans="1:15" s="78" customFormat="1" ht="12">
      <c r="B4" s="79" t="s">
        <v>103</v>
      </c>
      <c r="C4" s="80" t="s">
        <v>104</v>
      </c>
      <c r="D4" s="78" t="s">
        <v>105</v>
      </c>
      <c r="E4" s="78" t="s">
        <v>106</v>
      </c>
      <c r="F4" s="78" t="s">
        <v>107</v>
      </c>
      <c r="G4" s="78" t="s">
        <v>108</v>
      </c>
      <c r="H4" s="78" t="s">
        <v>109</v>
      </c>
      <c r="J4" s="78" t="s">
        <v>110</v>
      </c>
      <c r="K4" s="78" t="s">
        <v>111</v>
      </c>
      <c r="L4" s="78" t="s">
        <v>56</v>
      </c>
      <c r="M4" s="78" t="s">
        <v>112</v>
      </c>
      <c r="N4" s="78" t="s">
        <v>113</v>
      </c>
      <c r="O4" s="78" t="s">
        <v>114</v>
      </c>
    </row>
    <row r="5" spans="1:15" s="78" customFormat="1" ht="12">
      <c r="A5" s="81"/>
      <c r="B5" s="87" t="e">
        <f>'Valuation Model'!I2</f>
        <v>#DIV/0!</v>
      </c>
      <c r="C5" s="88">
        <f ca="1">'Valuation Model'!K2</f>
        <v>0</v>
      </c>
      <c r="D5" s="83" t="e">
        <f t="shared" ref="D5:D12" ca="1" si="0">IF(ABS(INDEX($K$6:$K$55,MATCH(C5,$K$6:$K$55,1)+IF(C5&gt;=MAX($K$6:$K$55),0,1),1)-C5)&lt;ABS(INDEX($K$6:$K$55,MATCH(C5,$K$6:$K$55,1))-C5),INDEX($K$6:$K$55,MATCH(C5,$K$6:$K$55,1)+IF(C5&gt;=MAX($K$6:$K$55),0,1),1),INDEX($K$6:$K$55,MATCH(C5,$K$6:$K$55,1)))</f>
        <v>#N/A</v>
      </c>
      <c r="E5" s="84">
        <f>IF(H5="N",5%/COUNTIF('Valuation Model'!$L$2:$L$9,"No"),IF(G5&lt;&gt;"Y",50%/(COUNTIF('Valuation Model'!$L$2:$L$9,"Yes")-COUNTIF(G$5:G$12,"Y")),45%/(COUNTIF(G$5:G$12,"Y"))))</f>
        <v>6.25E-2</v>
      </c>
      <c r="F5" s="78" t="s">
        <v>51</v>
      </c>
      <c r="G5" s="78" t="str">
        <f>IF(LEFT('Valuation Model'!L2,1)="M","Y","")</f>
        <v/>
      </c>
      <c r="H5" s="78" t="str">
        <f>IF(LEFT('Valuation Model'!L2,1)="M","Y",LEFT('Valuation Model'!L2,1))</f>
        <v>Y</v>
      </c>
      <c r="J5" s="85">
        <v>0</v>
      </c>
      <c r="K5" s="83">
        <f t="shared" ref="K5:K55" ca="1" si="1">$B$1*J5</f>
        <v>0</v>
      </c>
      <c r="L5" s="86" t="str">
        <f t="shared" ref="L5:L55" ca="1" si="2">IFERROR(IF(VLOOKUP(K5,$D$5:$F$16,3,FALSE)="Scenario",IF(VLOOKUP(K5,$D$5:$H$16,5,FALSE)="Y",VLOOKUP(K5,$D$5:$E$16,2,0),""),IF(VLOOKUP(K5,$D$5:$F$16,3,FALSE)&lt;&gt;"Scenario","")),"")</f>
        <v/>
      </c>
      <c r="M5" s="84" t="str">
        <f t="shared" ref="M5:M55" ca="1" si="3">IFERROR(IF(VLOOKUP(K5,$D$5:$F$16,3,FALSE)="Scenario",IF(VLOOKUP(K5,$D$5:$H$16,5,FALSE)="N",VLOOKUP(K5,$D$5:$E$16,2,0),""),IF(VLOOKUP(K5,$D$5:$F$16,3,FALSE)&lt;&gt;"Scenario","")),"")</f>
        <v/>
      </c>
      <c r="N5" s="83">
        <f ca="1">LN('Histogram Data'!K5+0.01)-LN(price)</f>
        <v>-8.1016777474545716</v>
      </c>
      <c r="O5" s="83">
        <f ca="1">_xlfn.NORM.DIST(N5,0+0.03^3,AVERAGE('Valuation Model'!$K$22:$L$22),FALSE)/scaling</f>
        <v>0</v>
      </c>
    </row>
    <row r="6" spans="1:15" s="78" customFormat="1" ht="12">
      <c r="A6" s="81"/>
      <c r="B6" s="87" t="e">
        <f>'Valuation Model'!I6</f>
        <v>#DIV/0!</v>
      </c>
      <c r="C6" s="88">
        <f ca="1">'Valuation Model'!K6</f>
        <v>0</v>
      </c>
      <c r="D6" s="83" t="e">
        <f t="shared" ca="1" si="0"/>
        <v>#N/A</v>
      </c>
      <c r="E6" s="84">
        <f>IF(H6="N",5%/COUNTIF('Valuation Model'!$L$2:$L$9,"No"),IF(G6&lt;&gt;"Y",50%/(COUNTIF('Valuation Model'!$L$2:$L$9,"Yes")-COUNTIF(G$5:G$12,"Y")),45%/(COUNTIF(G$5:G$12,"Y"))))</f>
        <v>6.25E-2</v>
      </c>
      <c r="F6" s="78" t="s">
        <v>51</v>
      </c>
      <c r="G6" s="78" t="str">
        <f>IF(LEFT('Valuation Model'!L3,1)="M","Y","")</f>
        <v/>
      </c>
      <c r="H6" s="78" t="str">
        <f>IF(LEFT('Valuation Model'!L6,1)="M","Y",LEFT('Valuation Model'!L6,1))</f>
        <v>Y</v>
      </c>
      <c r="J6" s="85">
        <v>0.02</v>
      </c>
      <c r="K6" s="83">
        <f t="shared" ca="1" si="1"/>
        <v>0.2</v>
      </c>
      <c r="L6" s="86" t="str">
        <f t="shared" ca="1" si="2"/>
        <v/>
      </c>
      <c r="M6" s="84" t="str">
        <f t="shared" ca="1" si="3"/>
        <v/>
      </c>
      <c r="N6" s="83">
        <f ca="1">LN('Histogram Data'!K6+0.01)-LN(price)</f>
        <v>-5.057155309731149</v>
      </c>
      <c r="O6" s="83">
        <f ca="1">_xlfn.NORM.DIST(N6,0+0.03^3,AVERAGE('Valuation Model'!$K$22:$L$22),FALSE)/scaling</f>
        <v>2.2941792595229002E-193</v>
      </c>
    </row>
    <row r="7" spans="1:15" s="78" customFormat="1" ht="12">
      <c r="A7" s="81"/>
      <c r="B7" s="87" t="e">
        <f>'Valuation Model'!I3</f>
        <v>#DIV/0!</v>
      </c>
      <c r="C7" s="88">
        <f ca="1">'Valuation Model'!K3</f>
        <v>0</v>
      </c>
      <c r="D7" s="83" t="e">
        <f t="shared" ca="1" si="0"/>
        <v>#N/A</v>
      </c>
      <c r="E7" s="84">
        <f>IF(H7="N",5%/COUNTIF('Valuation Model'!$L$2:$L$9,"No"),IF(G7&lt;&gt;"Y",50%/(COUNTIF('Valuation Model'!$L$2:$L$9,"Yes")-COUNTIF(G$5:G$12,"Y")),45%/(COUNTIF(G$5:G$12,"Y"))))</f>
        <v>6.25E-2</v>
      </c>
      <c r="F7" s="78" t="s">
        <v>51</v>
      </c>
      <c r="G7" s="78" t="str">
        <f>IF(LEFT('Valuation Model'!L6,1)="M","Y","")</f>
        <v/>
      </c>
      <c r="H7" s="78" t="str">
        <f>IF(LEFT('Valuation Model'!L3,1)="M","Y",LEFT('Valuation Model'!L3,1))</f>
        <v>Y</v>
      </c>
      <c r="J7" s="85">
        <f>J6+2%</f>
        <v>0.04</v>
      </c>
      <c r="K7" s="83">
        <f t="shared" ca="1" si="1"/>
        <v>0.4</v>
      </c>
      <c r="L7" s="86" t="str">
        <f t="shared" ca="1" si="2"/>
        <v/>
      </c>
      <c r="M7" s="84" t="str">
        <f t="shared" ca="1" si="3"/>
        <v/>
      </c>
      <c r="N7" s="83">
        <f ca="1">LN('Histogram Data'!K7+0.01)-LN(price)</f>
        <v>-4.3881056807502636</v>
      </c>
      <c r="O7" s="83">
        <f ca="1">_xlfn.NORM.DIST(N7,0+0.03^3,AVERAGE('Valuation Model'!$K$22:$L$22),FALSE)/scaling</f>
        <v>6.964232304183248E-146</v>
      </c>
    </row>
    <row r="8" spans="1:15" s="78" customFormat="1" ht="12">
      <c r="A8" s="81"/>
      <c r="B8" s="87" t="e">
        <f>'Valuation Model'!I7</f>
        <v>#DIV/0!</v>
      </c>
      <c r="C8" s="88">
        <f ca="1">'Valuation Model'!K7</f>
        <v>0</v>
      </c>
      <c r="D8" s="83" t="e">
        <f t="shared" ca="1" si="0"/>
        <v>#N/A</v>
      </c>
      <c r="E8" s="84">
        <f>IF(H8="N",5%/COUNTIF('Valuation Model'!$L$2:$L$9,"No"),IF(G8&lt;&gt;"Y",50%/(COUNTIF('Valuation Model'!$L$2:$L$9,"Yes")-COUNTIF(G$5:G$12,"Y")),45%/(COUNTIF(G$5:G$12,"Y"))))</f>
        <v>6.25E-2</v>
      </c>
      <c r="F8" s="78" t="s">
        <v>51</v>
      </c>
      <c r="G8" s="78" t="str">
        <f>IF(LEFT('Valuation Model'!L7,1)="M","Y","")</f>
        <v/>
      </c>
      <c r="H8" s="78" t="str">
        <f>IF(LEFT('Valuation Model'!L7,1)="M","Y",LEFT('Valuation Model'!L7,1))</f>
        <v>Y</v>
      </c>
      <c r="J8" s="85">
        <f t="shared" ref="J8:J55" si="4">J7+2%</f>
        <v>0.06</v>
      </c>
      <c r="K8" s="83">
        <f t="shared" ca="1" si="1"/>
        <v>0.6</v>
      </c>
      <c r="L8" s="86" t="str">
        <f t="shared" ca="1" si="2"/>
        <v/>
      </c>
      <c r="M8" s="84" t="str">
        <f t="shared" ca="1" si="3"/>
        <v/>
      </c>
      <c r="N8" s="83">
        <f ca="1">LN('Histogram Data'!K8+0.01)-LN(price)</f>
        <v>-3.9908038832812602</v>
      </c>
      <c r="O8" s="83">
        <f ca="1">_xlfn.NORM.DIST(N8,0+0.03^3,AVERAGE('Valuation Model'!$K$22:$L$22),FALSE)/scaling</f>
        <v>7.1772964215628741E-121</v>
      </c>
    </row>
    <row r="9" spans="1:15" s="78" customFormat="1" ht="12">
      <c r="A9" s="81"/>
      <c r="B9" s="87" t="e">
        <f>'Valuation Model'!I4</f>
        <v>#DIV/0!</v>
      </c>
      <c r="C9" s="88">
        <f ca="1">'Valuation Model'!K4</f>
        <v>0</v>
      </c>
      <c r="D9" s="83" t="e">
        <f t="shared" ca="1" si="0"/>
        <v>#N/A</v>
      </c>
      <c r="E9" s="84">
        <f>IF(H9="N",5%/COUNTIF('Valuation Model'!$L$2:$L$9,"No"),IF(G9&lt;&gt;"Y",50%/(COUNTIF('Valuation Model'!$L$2:$L$9,"Yes")-COUNTIF(G$5:G$12,"Y")),45%/(COUNTIF(G$5:G$12,"Y"))))</f>
        <v>6.25E-2</v>
      </c>
      <c r="F9" s="78" t="s">
        <v>51</v>
      </c>
      <c r="G9" s="78" t="str">
        <f>IF(LEFT('Valuation Model'!L4,1)="M","Y","")</f>
        <v/>
      </c>
      <c r="H9" s="78" t="str">
        <f>IF(LEFT('Valuation Model'!L4,1)="M","Y",LEFT('Valuation Model'!L4,1))</f>
        <v>Y</v>
      </c>
      <c r="J9" s="85">
        <f t="shared" si="4"/>
        <v>0.08</v>
      </c>
      <c r="K9" s="83">
        <f t="shared" ca="1" si="1"/>
        <v>0.8</v>
      </c>
      <c r="L9" s="86" t="str">
        <f t="shared" ca="1" si="2"/>
        <v/>
      </c>
      <c r="M9" s="84" t="str">
        <f t="shared" ca="1" si="3"/>
        <v/>
      </c>
      <c r="N9" s="83">
        <f ca="1">LN('Histogram Data'!K9+0.01)-LN(price)</f>
        <v>-3.7072285927821329</v>
      </c>
      <c r="O9" s="83">
        <f ca="1">_xlfn.NORM.DIST(N9,0+0.03^3,AVERAGE('Valuation Model'!$K$22:$L$22),FALSE)/scaling</f>
        <v>1.8128845414220645E-104</v>
      </c>
    </row>
    <row r="10" spans="1:15" s="78" customFormat="1" ht="12">
      <c r="A10" s="81"/>
      <c r="B10" s="87" t="e">
        <f>'Valuation Model'!I5</f>
        <v>#DIV/0!</v>
      </c>
      <c r="C10" s="88">
        <f ca="1">'Valuation Model'!K5</f>
        <v>0</v>
      </c>
      <c r="D10" s="83" t="e">
        <f t="shared" ca="1" si="0"/>
        <v>#N/A</v>
      </c>
      <c r="E10" s="84">
        <f>IF(H10="N",5%/COUNTIF('Valuation Model'!$L$2:$L$9,"No"),IF(G10&lt;&gt;"Y",50%/(COUNTIF('Valuation Model'!$L$2:$L$9,"Yes")-COUNTIF(G$5:G$12,"Y")),45%/(COUNTIF(G$5:G$12,"Y"))))</f>
        <v>6.25E-2</v>
      </c>
      <c r="F10" s="78" t="s">
        <v>51</v>
      </c>
      <c r="G10" s="78" t="str">
        <f>IF(LEFT('Valuation Model'!L8,1)="M","Y","")</f>
        <v/>
      </c>
      <c r="H10" s="78" t="str">
        <f>IF(LEFT('Valuation Model'!L5,1)="M","Y",LEFT('Valuation Model'!L5,1))</f>
        <v>Y</v>
      </c>
      <c r="J10" s="85">
        <f t="shared" si="4"/>
        <v>0.1</v>
      </c>
      <c r="K10" s="83">
        <f t="shared" ca="1" si="1"/>
        <v>1</v>
      </c>
      <c r="L10" s="86" t="str">
        <f t="shared" ca="1" si="2"/>
        <v/>
      </c>
      <c r="M10" s="84" t="str">
        <f t="shared" ca="1" si="3"/>
        <v/>
      </c>
      <c r="N10" s="83">
        <f ca="1">LN('Histogram Data'!K10+0.01)-LN(price)</f>
        <v>-3.4865572306133124</v>
      </c>
      <c r="O10" s="83">
        <f ca="1">_xlfn.NORM.DIST(N10,0+0.03^3,AVERAGE('Valuation Model'!$K$22:$L$22),FALSE)/scaling</f>
        <v>1.535496404405267E-92</v>
      </c>
    </row>
    <row r="11" spans="1:15" s="78" customFormat="1" ht="12">
      <c r="A11" s="81"/>
      <c r="B11" s="87" t="e">
        <f>'Valuation Model'!I8</f>
        <v>#DIV/0!</v>
      </c>
      <c r="C11" s="88">
        <f ca="1">'Valuation Model'!K8</f>
        <v>0</v>
      </c>
      <c r="D11" s="83" t="e">
        <f t="shared" ca="1" si="0"/>
        <v>#N/A</v>
      </c>
      <c r="E11" s="84">
        <f>IF(H11="N",5%/COUNTIF('Valuation Model'!$L$2:$L$9,"No"),IF(G11&lt;&gt;"Y",50%/(COUNTIF('Valuation Model'!$L$2:$L$9,"Yes")-COUNTIF(G$5:G$12,"Y")),45%/(COUNTIF(G$5:G$12,"Y"))))</f>
        <v>6.25E-2</v>
      </c>
      <c r="F11" s="78" t="s">
        <v>51</v>
      </c>
      <c r="G11" s="78" t="str">
        <f>IF(LEFT('Valuation Model'!L5,1)="M","Y","")</f>
        <v/>
      </c>
      <c r="H11" s="78" t="str">
        <f>IF(LEFT('Valuation Model'!L8,1)="M","Y",LEFT('Valuation Model'!L8,1))</f>
        <v>Y</v>
      </c>
      <c r="J11" s="85">
        <f t="shared" si="4"/>
        <v>0.12000000000000001</v>
      </c>
      <c r="K11" s="83">
        <f t="shared" ca="1" si="1"/>
        <v>1.2000000000000002</v>
      </c>
      <c r="L11" s="86" t="str">
        <f t="shared" ca="1" si="2"/>
        <v/>
      </c>
      <c r="M11" s="84" t="str">
        <f t="shared" ca="1" si="3"/>
        <v/>
      </c>
      <c r="N11" s="83">
        <f ca="1">LN('Histogram Data'!K11+0.01)-LN(price)</f>
        <v>-3.3058872018578302</v>
      </c>
      <c r="O11" s="83">
        <f ca="1">_xlfn.NORM.DIST(N11,0+0.03^3,AVERAGE('Valuation Model'!$K$22:$L$22),FALSE)/scaling</f>
        <v>2.5534289454189624E-83</v>
      </c>
    </row>
    <row r="12" spans="1:15" s="78" customFormat="1" ht="12">
      <c r="A12" s="81"/>
      <c r="B12" s="87" t="e">
        <f>'Valuation Model'!I9</f>
        <v>#DIV/0!</v>
      </c>
      <c r="C12" s="88">
        <f ca="1">'Valuation Model'!K9</f>
        <v>0</v>
      </c>
      <c r="D12" s="83" t="e">
        <f t="shared" ca="1" si="0"/>
        <v>#N/A</v>
      </c>
      <c r="E12" s="84">
        <f>IF(H12="N",5%/COUNTIF('Valuation Model'!$L$2:$L$9,"No"),IF(G12&lt;&gt;"Y",50%/(COUNTIF('Valuation Model'!$L$2:$L$9,"Yes")-COUNTIF(G$5:G$12,"Y")),45%/(COUNTIF(G$5:G$12,"Y"))))</f>
        <v>6.25E-2</v>
      </c>
      <c r="F12" s="78" t="s">
        <v>51</v>
      </c>
      <c r="G12" s="78" t="str">
        <f>IF(LEFT('Valuation Model'!L9,1)="M","Y","")</f>
        <v/>
      </c>
      <c r="H12" s="78" t="str">
        <f>IF(LEFT('Valuation Model'!L9,1)="M","Y",LEFT('Valuation Model'!L9,1))</f>
        <v>Y</v>
      </c>
      <c r="J12" s="85">
        <f t="shared" si="4"/>
        <v>0.14000000000000001</v>
      </c>
      <c r="K12" s="83">
        <f t="shared" ca="1" si="1"/>
        <v>1.4000000000000001</v>
      </c>
      <c r="L12" s="86" t="str">
        <f t="shared" ca="1" si="2"/>
        <v/>
      </c>
      <c r="M12" s="84" t="str">
        <f t="shared" ca="1" si="3"/>
        <v/>
      </c>
      <c r="N12" s="83">
        <f ca="1">LN('Histogram Data'!K12+0.01)-LN(price)</f>
        <v>-3.1529178570764032</v>
      </c>
      <c r="O12" s="83">
        <f ca="1">_xlfn.NORM.DIST(N12,0+0.03^3,AVERAGE('Valuation Model'!$K$22:$L$22),FALSE)/scaling</f>
        <v>6.7726726328809891E-76</v>
      </c>
    </row>
    <row r="13" spans="1:15" s="78" customFormat="1" ht="12">
      <c r="A13" s="81"/>
      <c r="J13" s="85">
        <f t="shared" si="4"/>
        <v>0.16</v>
      </c>
      <c r="K13" s="83">
        <f t="shared" ca="1" si="1"/>
        <v>1.6</v>
      </c>
      <c r="L13" s="86" t="str">
        <f t="shared" ca="1" si="2"/>
        <v/>
      </c>
      <c r="M13" s="84" t="str">
        <f t="shared" ca="1" si="3"/>
        <v/>
      </c>
      <c r="N13" s="83">
        <f ca="1">LN('Histogram Data'!K13+0.01)-LN(price)</f>
        <v>-3.0202733824701085</v>
      </c>
      <c r="O13" s="83">
        <f ca="1">_xlfn.NORM.DIST(N13,0+0.03^3,AVERAGE('Valuation Model'!$K$22:$L$22),FALSE)/scaling</f>
        <v>9.6242515537675021E-70</v>
      </c>
    </row>
    <row r="14" spans="1:15" s="78" customFormat="1" ht="12">
      <c r="A14" s="81"/>
      <c r="J14" s="85">
        <f t="shared" si="4"/>
        <v>0.18</v>
      </c>
      <c r="K14" s="83">
        <f t="shared" ca="1" si="1"/>
        <v>1.7999999999999998</v>
      </c>
      <c r="L14" s="86" t="str">
        <f t="shared" ca="1" si="2"/>
        <v/>
      </c>
      <c r="M14" s="84" t="str">
        <f t="shared" ca="1" si="3"/>
        <v/>
      </c>
      <c r="N14" s="83">
        <f ca="1">LN('Histogram Data'!K14+0.01)-LN(price)</f>
        <v>-2.903180716188746</v>
      </c>
      <c r="O14" s="83">
        <f ca="1">_xlfn.NORM.DIST(N14,0+0.03^3,AVERAGE('Valuation Model'!$K$22:$L$22),FALSE)/scaling</f>
        <v>1.5663756291528365E-64</v>
      </c>
    </row>
    <row r="15" spans="1:15" s="78" customFormat="1" ht="12">
      <c r="A15" s="81"/>
      <c r="J15" s="85">
        <f t="shared" si="4"/>
        <v>0.19999999999999998</v>
      </c>
      <c r="K15" s="83">
        <f t="shared" ca="1" si="1"/>
        <v>1.9999999999999998</v>
      </c>
      <c r="L15" s="86" t="str">
        <f t="shared" ca="1" si="2"/>
        <v/>
      </c>
      <c r="M15" s="84" t="str">
        <f t="shared" ca="1" si="3"/>
        <v/>
      </c>
      <c r="N15" s="83">
        <f ca="1">LN('Histogram Data'!K15+0.01)-LN(price)</f>
        <v>-2.7983728393954959</v>
      </c>
      <c r="O15" s="83">
        <f ca="1">_xlfn.NORM.DIST(N15,0+0.03^3,AVERAGE('Valuation Model'!$K$22:$L$22),FALSE)/scaling</f>
        <v>4.8407220466630953E-60</v>
      </c>
    </row>
    <row r="16" spans="1:15" s="78" customFormat="1" ht="12">
      <c r="A16" s="81"/>
      <c r="C16" s="82"/>
      <c r="D16" s="83"/>
      <c r="E16" s="84"/>
      <c r="J16" s="85">
        <f t="shared" si="4"/>
        <v>0.21999999999999997</v>
      </c>
      <c r="K16" s="83">
        <f t="shared" ca="1" si="1"/>
        <v>2.1999999999999997</v>
      </c>
      <c r="L16" s="86" t="str">
        <f t="shared" ca="1" si="2"/>
        <v/>
      </c>
      <c r="M16" s="84" t="str">
        <f t="shared" ca="1" si="3"/>
        <v/>
      </c>
      <c r="N16" s="83">
        <f ca="1">LN('Histogram Data'!K16+0.01)-LN(price)</f>
        <v>-2.7035150459368191</v>
      </c>
      <c r="O16" s="83">
        <f ca="1">_xlfn.NORM.DIST(N16,0+0.03^3,AVERAGE('Valuation Model'!$K$22:$L$22),FALSE)/scaling</f>
        <v>4.0397024829802531E-56</v>
      </c>
    </row>
    <row r="17" spans="4:15" s="78" customFormat="1" ht="12">
      <c r="J17" s="85">
        <f t="shared" si="4"/>
        <v>0.23999999999999996</v>
      </c>
      <c r="K17" s="83">
        <f t="shared" ca="1" si="1"/>
        <v>2.3999999999999995</v>
      </c>
      <c r="L17" s="86" t="str">
        <f t="shared" ca="1" si="2"/>
        <v/>
      </c>
      <c r="M17" s="84" t="str">
        <f t="shared" ca="1" si="3"/>
        <v/>
      </c>
      <c r="N17" s="83">
        <f ca="1">LN('Histogram Data'!K17+0.01)-LN(price)</f>
        <v>-2.6168808139639168</v>
      </c>
      <c r="O17" s="83">
        <f ca="1">_xlfn.NORM.DIST(N17,0+0.03^3,AVERAGE('Valuation Model'!$K$22:$L$22),FALSE)/scaling</f>
        <v>1.1740409048483057E-52</v>
      </c>
    </row>
    <row r="18" spans="4:15" s="78" customFormat="1" ht="12">
      <c r="D18" s="85"/>
      <c r="J18" s="85">
        <f t="shared" si="4"/>
        <v>0.25999999999999995</v>
      </c>
      <c r="K18" s="83">
        <f t="shared" ca="1" si="1"/>
        <v>2.5999999999999996</v>
      </c>
      <c r="L18" s="86" t="str">
        <f t="shared" ca="1" si="2"/>
        <v/>
      </c>
      <c r="M18" s="84" t="str">
        <f t="shared" ca="1" si="3"/>
        <v/>
      </c>
      <c r="N18" s="83">
        <f ca="1">LN('Histogram Data'!K18+0.01)-LN(price)</f>
        <v>-2.5371573401318783</v>
      </c>
      <c r="O18" s="83">
        <f ca="1">_xlfn.NORM.DIST(N18,0+0.03^3,AVERAGE('Valuation Model'!$K$22:$L$22),FALSE)/scaling</f>
        <v>1.4358107783295631E-49</v>
      </c>
    </row>
    <row r="19" spans="4:15" s="78" customFormat="1" ht="12">
      <c r="D19" s="89"/>
      <c r="J19" s="85">
        <f t="shared" si="4"/>
        <v>0.27999999999999997</v>
      </c>
      <c r="K19" s="83">
        <f t="shared" ca="1" si="1"/>
        <v>2.8</v>
      </c>
      <c r="L19" s="86" t="str">
        <f t="shared" ca="1" si="2"/>
        <v/>
      </c>
      <c r="M19" s="84" t="str">
        <f t="shared" ca="1" si="3"/>
        <v/>
      </c>
      <c r="N19" s="83">
        <f ca="1">LN('Histogram Data'!K19+0.01)-LN(price)</f>
        <v>-2.4633230781208262</v>
      </c>
      <c r="O19" s="83">
        <f ca="1">_xlfn.NORM.DIST(N19,0+0.03^3,AVERAGE('Valuation Model'!$K$22:$L$22),FALSE)/scaling</f>
        <v>8.535970547839721E-47</v>
      </c>
    </row>
    <row r="20" spans="4:15" s="78" customFormat="1" ht="12">
      <c r="J20" s="85">
        <f t="shared" si="4"/>
        <v>0.3</v>
      </c>
      <c r="K20" s="83">
        <f t="shared" ca="1" si="1"/>
        <v>3</v>
      </c>
      <c r="L20" s="86" t="str">
        <f t="shared" ca="1" si="2"/>
        <v/>
      </c>
      <c r="M20" s="84" t="str">
        <f t="shared" ca="1" si="3"/>
        <v/>
      </c>
      <c r="N20" s="83">
        <f ca="1">LN('Histogram Data'!K20+0.01)-LN(price)</f>
        <v>-2.3945674827056962</v>
      </c>
      <c r="O20" s="83">
        <f ca="1">_xlfn.NORM.DIST(N20,0+0.03^3,AVERAGE('Valuation Model'!$K$22:$L$22),FALSE)/scaling</f>
        <v>2.7601045877690188E-44</v>
      </c>
    </row>
    <row r="21" spans="4:15" s="78" customFormat="1" ht="12">
      <c r="J21" s="85">
        <f t="shared" si="4"/>
        <v>0.32</v>
      </c>
      <c r="K21" s="83">
        <f t="shared" ca="1" si="1"/>
        <v>3.2</v>
      </c>
      <c r="L21" s="86" t="str">
        <f t="shared" ca="1" si="2"/>
        <v/>
      </c>
      <c r="M21" s="84" t="str">
        <f t="shared" ca="1" si="3"/>
        <v/>
      </c>
      <c r="N21" s="83">
        <f ca="1">LN('Histogram Data'!K21+0.01)-LN(price)</f>
        <v>-2.3302366243245558</v>
      </c>
      <c r="O21" s="83">
        <f ca="1">_xlfn.NORM.DIST(N21,0+0.03^3,AVERAGE('Valuation Model'!$K$22:$L$22),FALSE)/scaling</f>
        <v>5.3059094270598568E-42</v>
      </c>
    </row>
    <row r="22" spans="4:15" s="78" customFormat="1" ht="12">
      <c r="J22" s="85">
        <f t="shared" si="4"/>
        <v>0.34</v>
      </c>
      <c r="K22" s="83">
        <f t="shared" ca="1" si="1"/>
        <v>3.4000000000000004</v>
      </c>
      <c r="L22" s="86" t="str">
        <f t="shared" ca="1" si="2"/>
        <v/>
      </c>
      <c r="M22" s="84" t="str">
        <f t="shared" ca="1" si="3"/>
        <v/>
      </c>
      <c r="N22" s="83">
        <f ca="1">LN('Histogram Data'!K22+0.01)-LN(price)</f>
        <v>-2.2697952701710546</v>
      </c>
      <c r="O22" s="83">
        <f ca="1">_xlfn.NORM.DIST(N22,0+0.03^3,AVERAGE('Valuation Model'!$K$22:$L$22),FALSE)/scaling</f>
        <v>6.5139914586217074E-40</v>
      </c>
    </row>
    <row r="23" spans="4:15" s="78" customFormat="1" ht="12">
      <c r="J23" s="85">
        <f t="shared" si="4"/>
        <v>0.36000000000000004</v>
      </c>
      <c r="K23" s="83">
        <f t="shared" ca="1" si="1"/>
        <v>3.6000000000000005</v>
      </c>
      <c r="L23" s="86" t="str">
        <f t="shared" ca="1" si="2"/>
        <v/>
      </c>
      <c r="M23" s="84" t="str">
        <f t="shared" ca="1" si="3"/>
        <v/>
      </c>
      <c r="N23" s="83">
        <f ca="1">LN('Histogram Data'!K23+0.01)-LN(price)</f>
        <v>-2.2127997891216906</v>
      </c>
      <c r="O23" s="83">
        <f ca="1">_xlfn.NORM.DIST(N23,0+0.03^3,AVERAGE('Valuation Model'!$K$22:$L$22),FALSE)/scaling</f>
        <v>5.414265440093767E-38</v>
      </c>
    </row>
    <row r="24" spans="4:15" s="78" customFormat="1" ht="12">
      <c r="J24" s="85">
        <f t="shared" si="4"/>
        <v>0.38000000000000006</v>
      </c>
      <c r="K24" s="83">
        <f t="shared" ca="1" si="1"/>
        <v>3.8000000000000007</v>
      </c>
      <c r="L24" s="86" t="str">
        <f t="shared" ca="1" si="2"/>
        <v/>
      </c>
      <c r="M24" s="84" t="str">
        <f t="shared" ca="1" si="3"/>
        <v/>
      </c>
      <c r="N24" s="83">
        <f ca="1">LN('Histogram Data'!K24+0.01)-LN(price)</f>
        <v>-2.1588783723278704</v>
      </c>
      <c r="O24" s="83">
        <f ca="1">_xlfn.NORM.DIST(N24,0+0.03^3,AVERAGE('Valuation Model'!$K$22:$L$22),FALSE)/scaling</f>
        <v>3.1970886418932226E-36</v>
      </c>
    </row>
    <row r="25" spans="4:15" s="78" customFormat="1" ht="12">
      <c r="J25" s="85">
        <f t="shared" si="4"/>
        <v>0.40000000000000008</v>
      </c>
      <c r="K25" s="83">
        <f t="shared" ca="1" si="1"/>
        <v>4.0000000000000009</v>
      </c>
      <c r="L25" s="86" t="str">
        <f t="shared" ca="1" si="2"/>
        <v/>
      </c>
      <c r="M25" s="84" t="str">
        <f t="shared" ca="1" si="3"/>
        <v/>
      </c>
      <c r="N25" s="83">
        <f ca="1">LN('Histogram Data'!K25+0.01)-LN(price)</f>
        <v>-2.1077163201480023</v>
      </c>
      <c r="O25" s="83">
        <f ca="1">_xlfn.NORM.DIST(N25,0+0.03^3,AVERAGE('Valuation Model'!$K$22:$L$22),FALSE)/scaling</f>
        <v>1.396155952574754E-34</v>
      </c>
    </row>
    <row r="26" spans="4:15" s="78" customFormat="1" ht="12">
      <c r="J26" s="85">
        <f t="shared" si="4"/>
        <v>0.4200000000000001</v>
      </c>
      <c r="K26" s="83">
        <f t="shared" ca="1" si="1"/>
        <v>4.2000000000000011</v>
      </c>
      <c r="L26" s="86" t="str">
        <f t="shared" ca="1" si="2"/>
        <v/>
      </c>
      <c r="M26" s="84" t="str">
        <f t="shared" ca="1" si="3"/>
        <v/>
      </c>
      <c r="N26" s="83">
        <f ca="1">LN('Histogram Data'!K26+0.01)-LN(price)</f>
        <v>-2.05904491377219</v>
      </c>
      <c r="O26" s="83">
        <f ca="1">_xlfn.NORM.DIST(N26,0+0.03^3,AVERAGE('Valuation Model'!$K$22:$L$22),FALSE)/scaling</f>
        <v>4.6639860052309099E-33</v>
      </c>
    </row>
    <row r="27" spans="4:15" s="78" customFormat="1" ht="12">
      <c r="J27" s="85">
        <f t="shared" si="4"/>
        <v>0.44000000000000011</v>
      </c>
      <c r="K27" s="83">
        <f t="shared" ca="1" si="1"/>
        <v>4.4000000000000012</v>
      </c>
      <c r="L27" s="86" t="str">
        <f t="shared" ca="1" si="2"/>
        <v/>
      </c>
      <c r="M27" s="84" t="str">
        <f t="shared" ca="1" si="3"/>
        <v/>
      </c>
      <c r="N27" s="83">
        <f ca="1">LN('Histogram Data'!K27+0.01)-LN(price)</f>
        <v>-2.0126328720077256</v>
      </c>
      <c r="O27" s="83">
        <f ca="1">_xlfn.NORM.DIST(N27,0+0.03^3,AVERAGE('Valuation Model'!$K$22:$L$22),FALSE)/scaling</f>
        <v>1.2265498221422214E-31</v>
      </c>
    </row>
    <row r="28" spans="4:15" s="78" customFormat="1" ht="12">
      <c r="J28" s="85">
        <f t="shared" si="4"/>
        <v>0.46000000000000013</v>
      </c>
      <c r="K28" s="83">
        <f t="shared" ca="1" si="1"/>
        <v>4.6000000000000014</v>
      </c>
      <c r="L28" s="86" t="str">
        <f t="shared" ca="1" si="2"/>
        <v/>
      </c>
      <c r="M28" s="84" t="str">
        <f t="shared" ca="1" si="3"/>
        <v/>
      </c>
      <c r="N28" s="83">
        <f ca="1">LN('Histogram Data'!K28+0.01)-LN(price)</f>
        <v>-1.9682797044579228</v>
      </c>
      <c r="O28" s="83">
        <f ca="1">_xlfn.NORM.DIST(N28,0+0.03^3,AVERAGE('Valuation Model'!$K$22:$L$22),FALSE)/scaling</f>
        <v>2.6024103244198627E-30</v>
      </c>
    </row>
    <row r="29" spans="4:15" s="78" customFormat="1" ht="12">
      <c r="J29" s="85">
        <f t="shared" si="4"/>
        <v>0.48000000000000015</v>
      </c>
      <c r="K29" s="83">
        <f t="shared" ca="1" si="1"/>
        <v>4.8000000000000016</v>
      </c>
      <c r="L29" s="86" t="str">
        <f t="shared" ca="1" si="2"/>
        <v/>
      </c>
      <c r="M29" s="84" t="str">
        <f t="shared" ca="1" si="3"/>
        <v/>
      </c>
      <c r="N29" s="83">
        <f ca="1">LN('Histogram Data'!K29+0.01)-LN(price)</f>
        <v>-1.9258104773488101</v>
      </c>
      <c r="O29" s="83">
        <f ca="1">_xlfn.NORM.DIST(N29,0+0.03^3,AVERAGE('Valuation Model'!$K$22:$L$22),FALSE)/scaling</f>
        <v>4.5499717616833914E-29</v>
      </c>
    </row>
    <row r="30" spans="4:15" s="78" customFormat="1" ht="12">
      <c r="J30" s="85">
        <f t="shared" si="4"/>
        <v>0.50000000000000011</v>
      </c>
      <c r="K30" s="83">
        <f t="shared" ca="1" si="1"/>
        <v>5.0000000000000009</v>
      </c>
      <c r="L30" s="86" t="str">
        <f ca="1">L33</f>
        <v/>
      </c>
      <c r="M30" s="84" t="str">
        <f t="shared" ca="1" si="3"/>
        <v/>
      </c>
      <c r="N30" s="83">
        <f ca="1">LN('Histogram Data'!K30+0.01)-LN(price)</f>
        <v>-1.8850716463697066</v>
      </c>
      <c r="O30" s="83">
        <f ca="1">_xlfn.NORM.DIST(N30,0+0.03^3,AVERAGE('Valuation Model'!$K$22:$L$22),FALSE)/scaling</f>
        <v>6.6763766675983578E-28</v>
      </c>
    </row>
    <row r="31" spans="4:15" s="78" customFormat="1" ht="12">
      <c r="J31" s="85">
        <f t="shared" si="4"/>
        <v>0.52000000000000013</v>
      </c>
      <c r="K31" s="83">
        <f t="shared" ca="1" si="1"/>
        <v>5.2000000000000011</v>
      </c>
      <c r="L31" s="86" t="str">
        <f t="shared" ca="1" si="2"/>
        <v/>
      </c>
      <c r="M31" s="84" t="str">
        <f t="shared" ca="1" si="3"/>
        <v/>
      </c>
      <c r="N31" s="83">
        <f ca="1">LN('Histogram Data'!K31+0.01)-LN(price)</f>
        <v>-1.8459277057012045</v>
      </c>
      <c r="O31" s="83">
        <f ca="1">_xlfn.NORM.DIST(N31,0+0.03^3,AVERAGE('Valuation Model'!$K$22:$L$22),FALSE)/scaling</f>
        <v>8.3542852138958848E-27</v>
      </c>
    </row>
    <row r="32" spans="4:15" s="78" customFormat="1" ht="12">
      <c r="J32" s="85">
        <f t="shared" si="4"/>
        <v>0.54000000000000015</v>
      </c>
      <c r="K32" s="83">
        <f t="shared" ca="1" si="1"/>
        <v>5.4000000000000012</v>
      </c>
      <c r="L32" s="86" t="str">
        <f t="shared" ca="1" si="2"/>
        <v/>
      </c>
      <c r="M32" s="84" t="str">
        <f t="shared" ca="1" si="3"/>
        <v/>
      </c>
      <c r="N32" s="83">
        <f ca="1">LN('Histogram Data'!K32+0.01)-LN(price)</f>
        <v>-1.8082584686080898</v>
      </c>
      <c r="O32" s="83">
        <f ca="1">_xlfn.NORM.DIST(N32,0+0.03^3,AVERAGE('Valuation Model'!$K$22:$L$22),FALSE)/scaling</f>
        <v>9.0405463454292711E-26</v>
      </c>
    </row>
    <row r="33" spans="10:15" s="78" customFormat="1" ht="12">
      <c r="J33" s="85">
        <f t="shared" si="4"/>
        <v>0.56000000000000016</v>
      </c>
      <c r="K33" s="83">
        <f t="shared" ca="1" si="1"/>
        <v>5.6000000000000014</v>
      </c>
      <c r="L33" s="86" t="str">
        <f t="shared" ca="1" si="2"/>
        <v/>
      </c>
      <c r="M33" s="84" t="str">
        <f t="shared" ca="1" si="3"/>
        <v/>
      </c>
      <c r="N33" s="83">
        <f ca="1">LN('Histogram Data'!K33+0.01)-LN(price)</f>
        <v>-1.771956841931875</v>
      </c>
      <c r="O33" s="83">
        <f ca="1">_xlfn.NORM.DIST(N33,0+0.03^3,AVERAGE('Valuation Model'!$K$22:$L$22),FALSE)/scaling</f>
        <v>8.5655085984467012E-25</v>
      </c>
    </row>
    <row r="34" spans="10:15" s="78" customFormat="1" ht="12">
      <c r="J34" s="85">
        <f t="shared" si="4"/>
        <v>0.58000000000000018</v>
      </c>
      <c r="K34" s="83">
        <f t="shared" ca="1" si="1"/>
        <v>5.8000000000000016</v>
      </c>
      <c r="L34" s="86" t="str">
        <f t="shared" ca="1" si="2"/>
        <v/>
      </c>
      <c r="M34" s="84" t="str">
        <f t="shared" ca="1" si="3"/>
        <v/>
      </c>
      <c r="N34" s="83">
        <f ca="1">LN('Histogram Data'!K34+0.01)-LN(price)</f>
        <v>-1.7369269906026601</v>
      </c>
      <c r="O34" s="83">
        <f ca="1">_xlfn.NORM.DIST(N34,0+0.03^3,AVERAGE('Valuation Model'!$K$22:$L$22),FALSE)/scaling</f>
        <v>7.1833078870179361E-24</v>
      </c>
    </row>
    <row r="35" spans="10:15" s="78" customFormat="1" ht="12">
      <c r="J35" s="85">
        <f t="shared" si="4"/>
        <v>0.6000000000000002</v>
      </c>
      <c r="K35" s="83">
        <f t="shared" ca="1" si="1"/>
        <v>6.0000000000000018</v>
      </c>
      <c r="L35" s="86" t="str">
        <f t="shared" ca="1" si="2"/>
        <v/>
      </c>
      <c r="M35" s="84" t="str">
        <f t="shared" ca="1" si="3"/>
        <v/>
      </c>
      <c r="N35" s="83">
        <f ca="1">LN('Histogram Data'!K35+0.01)-LN(price)</f>
        <v>-1.7030828129193638</v>
      </c>
      <c r="O35" s="83">
        <f ca="1">_xlfn.NORM.DIST(N35,0+0.03^3,AVERAGE('Valuation Model'!$K$22:$L$22),FALSE)/scaling</f>
        <v>5.3841949970791203E-23</v>
      </c>
    </row>
    <row r="36" spans="10:15" s="78" customFormat="1" ht="12">
      <c r="J36" s="85">
        <f t="shared" si="4"/>
        <v>0.62000000000000022</v>
      </c>
      <c r="K36" s="83">
        <f t="shared" ca="1" si="1"/>
        <v>6.200000000000002</v>
      </c>
      <c r="L36" s="86" t="str">
        <f t="shared" ca="1" si="2"/>
        <v/>
      </c>
      <c r="M36" s="84" t="str">
        <f t="shared" ca="1" si="3"/>
        <v/>
      </c>
      <c r="N36" s="83">
        <f ca="1">LN('Histogram Data'!K36+0.01)-LN(price)</f>
        <v>-1.6703466655210926</v>
      </c>
      <c r="O36" s="83">
        <f ca="1">_xlfn.NORM.DIST(N36,0+0.03^3,AVERAGE('Valuation Model'!$K$22:$L$22),FALSE)/scaling</f>
        <v>3.6383136861849699E-22</v>
      </c>
    </row>
    <row r="37" spans="10:15" s="78" customFormat="1" ht="12">
      <c r="J37" s="85">
        <f t="shared" si="4"/>
        <v>0.64000000000000024</v>
      </c>
      <c r="K37" s="83">
        <f t="shared" ca="1" si="1"/>
        <v>6.4000000000000021</v>
      </c>
      <c r="L37" s="86" t="str">
        <f t="shared" ca="1" si="2"/>
        <v/>
      </c>
      <c r="M37" s="84" t="str">
        <f t="shared" ca="1" si="3"/>
        <v/>
      </c>
      <c r="N37" s="83">
        <f ca="1">LN('Histogram Data'!K37+0.01)-LN(price)</f>
        <v>-1.6386482905339013</v>
      </c>
      <c r="O37" s="83">
        <f ca="1">_xlfn.NORM.DIST(N37,0+0.03^3,AVERAGE('Valuation Model'!$K$22:$L$22),FALSE)/scaling</f>
        <v>2.2337160836557955E-21</v>
      </c>
    </row>
    <row r="38" spans="10:15" s="78" customFormat="1" ht="12">
      <c r="J38" s="85">
        <f t="shared" si="4"/>
        <v>0.66000000000000025</v>
      </c>
      <c r="K38" s="83">
        <f t="shared" ca="1" si="1"/>
        <v>6.6000000000000023</v>
      </c>
      <c r="L38" s="86" t="str">
        <f t="shared" ca="1" si="2"/>
        <v/>
      </c>
      <c r="M38" s="84" t="str">
        <f t="shared" ca="1" si="3"/>
        <v/>
      </c>
      <c r="N38" s="83">
        <f ca="1">LN('Histogram Data'!K38+0.01)-LN(price)</f>
        <v>-1.6079239076028851</v>
      </c>
      <c r="O38" s="83">
        <f ca="1">_xlfn.NORM.DIST(N38,0+0.03^3,AVERAGE('Valuation Model'!$K$22:$L$22),FALSE)/scaling</f>
        <v>1.2546670083057331E-20</v>
      </c>
    </row>
    <row r="39" spans="10:15" s="78" customFormat="1" ht="12">
      <c r="J39" s="85">
        <f t="shared" si="4"/>
        <v>0.68000000000000027</v>
      </c>
      <c r="K39" s="83">
        <f t="shared" ca="1" si="1"/>
        <v>6.8000000000000025</v>
      </c>
      <c r="L39" s="86" t="str">
        <f t="shared" ca="1" si="2"/>
        <v/>
      </c>
      <c r="M39" s="84" t="str">
        <f t="shared" ca="1" si="3"/>
        <v/>
      </c>
      <c r="N39" s="83">
        <f ca="1">LN('Histogram Data'!K39+0.01)-LN(price)</f>
        <v>-1.5781154413050589</v>
      </c>
      <c r="O39" s="83">
        <f ca="1">_xlfn.NORM.DIST(N39,0+0.03^3,AVERAGE('Valuation Model'!$K$22:$L$22),FALSE)/scaling</f>
        <v>6.4882575686171566E-20</v>
      </c>
    </row>
    <row r="40" spans="10:15" s="78" customFormat="1" ht="12">
      <c r="J40" s="85">
        <f t="shared" si="4"/>
        <v>0.70000000000000029</v>
      </c>
      <c r="K40" s="83">
        <f t="shared" ca="1" si="1"/>
        <v>7.0000000000000027</v>
      </c>
      <c r="L40" s="86" t="str">
        <f t="shared" ca="1" si="2"/>
        <v/>
      </c>
      <c r="M40" s="84" t="str">
        <f t="shared" ca="1" si="3"/>
        <v/>
      </c>
      <c r="N40" s="83">
        <f ca="1">LN('Histogram Data'!K40+0.01)-LN(price)</f>
        <v>-1.5491698604199811</v>
      </c>
      <c r="O40" s="83">
        <f ca="1">_xlfn.NORM.DIST(N40,0+0.03^3,AVERAGE('Valuation Model'!$K$22:$L$22),FALSE)/scaling</f>
        <v>3.1066494008648485E-19</v>
      </c>
    </row>
    <row r="41" spans="10:15" s="78" customFormat="1" ht="12">
      <c r="J41" s="85">
        <f t="shared" si="4"/>
        <v>0.72000000000000031</v>
      </c>
      <c r="K41" s="83">
        <f t="shared" ca="1" si="1"/>
        <v>7.2000000000000028</v>
      </c>
      <c r="L41" s="86" t="str">
        <f t="shared" ca="1" si="2"/>
        <v/>
      </c>
      <c r="M41" s="84" t="str">
        <f t="shared" ca="1" si="3"/>
        <v/>
      </c>
      <c r="N41" s="83">
        <f ca="1">LN('Histogram Data'!K41+0.01)-LN(price)</f>
        <v>-1.5210386101696221</v>
      </c>
      <c r="O41" s="83">
        <f ca="1">_xlfn.NORM.DIST(N41,0+0.03^3,AVERAGE('Valuation Model'!$K$22:$L$22),FALSE)/scaling</f>
        <v>1.3843848867631907E-18</v>
      </c>
    </row>
    <row r="42" spans="10:15" s="78" customFormat="1" ht="12">
      <c r="J42" s="85">
        <f t="shared" si="4"/>
        <v>0.74000000000000032</v>
      </c>
      <c r="K42" s="83">
        <f t="shared" ca="1" si="1"/>
        <v>7.400000000000003</v>
      </c>
      <c r="L42" s="86" t="str">
        <f t="shared" ca="1" si="2"/>
        <v/>
      </c>
      <c r="M42" s="84" t="str">
        <f t="shared" ca="1" si="3"/>
        <v/>
      </c>
      <c r="N42" s="83">
        <f ca="1">LN('Histogram Data'!K42+0.01)-LN(price)</f>
        <v>-1.4936771221584841</v>
      </c>
      <c r="O42" s="83">
        <f ca="1">_xlfn.NORM.DIST(N42,0+0.03^3,AVERAGE('Valuation Model'!$K$22:$L$22),FALSE)/scaling</f>
        <v>5.7683961602228187E-18</v>
      </c>
    </row>
    <row r="43" spans="10:15" s="78" customFormat="1" ht="12">
      <c r="J43" s="85">
        <f t="shared" si="4"/>
        <v>0.76000000000000034</v>
      </c>
      <c r="K43" s="83">
        <f t="shared" ca="1" si="1"/>
        <v>7.6000000000000032</v>
      </c>
      <c r="L43" s="86" t="str">
        <f t="shared" ca="1" si="2"/>
        <v/>
      </c>
      <c r="M43" s="84" t="str">
        <f t="shared" ca="1" si="3"/>
        <v/>
      </c>
      <c r="N43" s="83">
        <f ca="1">LN('Histogram Data'!K43+0.01)-LN(price)</f>
        <v>-1.4670443895928855</v>
      </c>
      <c r="O43" s="83">
        <f ca="1">_xlfn.NORM.DIST(N43,0+0.03^3,AVERAGE('Valuation Model'!$K$22:$L$22),FALSE)/scaling</f>
        <v>2.2570465566929522E-17</v>
      </c>
    </row>
    <row r="44" spans="10:15" s="78" customFormat="1" ht="12">
      <c r="J44" s="85">
        <f t="shared" si="4"/>
        <v>0.78000000000000036</v>
      </c>
      <c r="K44" s="83">
        <f t="shared" ca="1" si="1"/>
        <v>7.8000000000000034</v>
      </c>
      <c r="L44" s="86" t="str">
        <f t="shared" ca="1" si="2"/>
        <v/>
      </c>
      <c r="M44" s="84" t="str">
        <f t="shared" ca="1" si="3"/>
        <v/>
      </c>
      <c r="N44" s="83">
        <f ca="1">LN('Histogram Data'!K44+0.01)-LN(price)</f>
        <v>-1.441102597614885</v>
      </c>
      <c r="O44" s="83">
        <f ca="1">_xlfn.NORM.DIST(N44,0+0.03^3,AVERAGE('Valuation Model'!$K$22:$L$22),FALSE)/scaling</f>
        <v>8.325438357395527E-17</v>
      </c>
    </row>
    <row r="45" spans="10:15" s="78" customFormat="1" ht="12">
      <c r="J45" s="85">
        <f t="shared" si="4"/>
        <v>0.80000000000000038</v>
      </c>
      <c r="K45" s="83">
        <f t="shared" ca="1" si="1"/>
        <v>8.0000000000000036</v>
      </c>
      <c r="L45" s="86" t="str">
        <f t="shared" ca="1" si="2"/>
        <v/>
      </c>
      <c r="M45" s="84" t="str">
        <f t="shared" ca="1" si="3"/>
        <v/>
      </c>
      <c r="N45" s="83">
        <f ca="1">LN('Histogram Data'!K45+0.01)-LN(price)</f>
        <v>-1.4158168003862119</v>
      </c>
      <c r="O45" s="83">
        <f ca="1">_xlfn.NORM.DIST(N45,0+0.03^3,AVERAGE('Valuation Model'!$K$22:$L$22),FALSE)/scaling</f>
        <v>2.905403540481532E-16</v>
      </c>
    </row>
    <row r="46" spans="10:15" s="78" customFormat="1" ht="12">
      <c r="J46" s="85">
        <f t="shared" si="4"/>
        <v>0.8200000000000004</v>
      </c>
      <c r="K46" s="83">
        <f t="shared" ca="1" si="1"/>
        <v>8.2000000000000046</v>
      </c>
      <c r="L46" s="86" t="str">
        <f t="shared" ca="1" si="2"/>
        <v/>
      </c>
      <c r="M46" s="84" t="str">
        <f t="shared" ca="1" si="3"/>
        <v/>
      </c>
      <c r="N46" s="83">
        <f ca="1">LN('Histogram Data'!K46+0.01)-LN(price)</f>
        <v>-1.3911546380021429</v>
      </c>
      <c r="O46" s="83">
        <f ca="1">_xlfn.NORM.DIST(N46,0+0.03^3,AVERAGE('Valuation Model'!$K$22:$L$22),FALSE)/scaling</f>
        <v>9.6241613362800096E-16</v>
      </c>
    </row>
    <row r="47" spans="10:15" s="78" customFormat="1" ht="12">
      <c r="J47" s="85">
        <f t="shared" si="4"/>
        <v>0.84000000000000041</v>
      </c>
      <c r="K47" s="83">
        <f t="shared" ca="1" si="1"/>
        <v>8.4000000000000039</v>
      </c>
      <c r="L47" s="86" t="str">
        <f t="shared" ca="1" si="2"/>
        <v/>
      </c>
      <c r="M47" s="84" t="str">
        <f t="shared" ca="1" si="3"/>
        <v/>
      </c>
      <c r="N47" s="83">
        <f ca="1">LN('Histogram Data'!K47+0.01)-LN(price)</f>
        <v>-1.3670860874816233</v>
      </c>
      <c r="O47" s="83">
        <f ca="1">_xlfn.NORM.DIST(N47,0+0.03^3,AVERAGE('Valuation Model'!$K$22:$L$22),FALSE)/scaling</f>
        <v>3.0351949684962404E-15</v>
      </c>
    </row>
    <row r="48" spans="10:15" s="78" customFormat="1" ht="12">
      <c r="J48" s="85">
        <f t="shared" si="4"/>
        <v>0.86000000000000043</v>
      </c>
      <c r="K48" s="83">
        <f t="shared" ca="1" si="1"/>
        <v>8.600000000000005</v>
      </c>
      <c r="L48" s="86" t="str">
        <f t="shared" ca="1" si="2"/>
        <v/>
      </c>
      <c r="M48" s="84" t="str">
        <f t="shared" ca="1" si="3"/>
        <v/>
      </c>
      <c r="N48" s="83">
        <f ca="1">LN('Histogram Data'!K48+0.01)-LN(price)</f>
        <v>-1.3435832430268402</v>
      </c>
      <c r="O48" s="83">
        <f ca="1">_xlfn.NORM.DIST(N48,0+0.03^3,AVERAGE('Valuation Model'!$K$22:$L$22),FALSE)/scaling</f>
        <v>9.1387147673219061E-15</v>
      </c>
    </row>
    <row r="49" spans="10:15" s="78" customFormat="1" ht="12">
      <c r="J49" s="85">
        <f t="shared" si="4"/>
        <v>0.88000000000000045</v>
      </c>
      <c r="K49" s="83">
        <f t="shared" ca="1" si="1"/>
        <v>8.8000000000000043</v>
      </c>
      <c r="L49" s="86" t="str">
        <f t="shared" ca="1" si="2"/>
        <v/>
      </c>
      <c r="M49" s="84" t="str">
        <f t="shared" ca="1" si="3"/>
        <v/>
      </c>
      <c r="N49" s="83">
        <f ca="1">LN('Histogram Data'!K49+0.01)-LN(price)</f>
        <v>-1.3206201215183917</v>
      </c>
      <c r="O49" s="83">
        <f ca="1">_xlfn.NORM.DIST(N49,0+0.03^3,AVERAGE('Valuation Model'!$K$22:$L$22),FALSE)/scaling</f>
        <v>2.633743950872273E-14</v>
      </c>
    </row>
    <row r="50" spans="10:15" s="78" customFormat="1" ht="12">
      <c r="J50" s="85">
        <f t="shared" si="4"/>
        <v>0.90000000000000047</v>
      </c>
      <c r="K50" s="83">
        <f t="shared" ca="1" si="1"/>
        <v>9.0000000000000053</v>
      </c>
      <c r="L50" s="86" t="str">
        <f t="shared" ca="1" si="2"/>
        <v/>
      </c>
      <c r="M50" s="84" t="str">
        <f t="shared" ca="1" si="3"/>
        <v/>
      </c>
      <c r="N50" s="83">
        <f ca="1">LN('Histogram Data'!K50+0.01)-LN(price)</f>
        <v>-1.298172489846233</v>
      </c>
      <c r="O50" s="83">
        <f ca="1">_xlfn.NORM.DIST(N50,0+0.03^3,AVERAGE('Valuation Model'!$K$22:$L$22),FALSE)/scaling</f>
        <v>7.2825483964534691E-14</v>
      </c>
    </row>
    <row r="51" spans="10:15" s="78" customFormat="1" ht="12">
      <c r="J51" s="85">
        <f t="shared" si="4"/>
        <v>0.92000000000000048</v>
      </c>
      <c r="K51" s="83">
        <f t="shared" ca="1" si="1"/>
        <v>9.2000000000000046</v>
      </c>
      <c r="L51" s="86" t="str">
        <f t="shared" ca="1" si="2"/>
        <v/>
      </c>
      <c r="M51" s="84" t="str">
        <f t="shared" ca="1" si="3"/>
        <v/>
      </c>
      <c r="N51" s="83">
        <f ca="1">LN('Histogram Data'!K51+0.01)-LN(price)</f>
        <v>-1.2762177111992643</v>
      </c>
      <c r="O51" s="83">
        <f ca="1">_xlfn.NORM.DIST(N51,0+0.03^3,AVERAGE('Valuation Model'!$K$22:$L$22),FALSE)/scaling</f>
        <v>1.9362901231262058E-13</v>
      </c>
    </row>
    <row r="52" spans="10:15" s="78" customFormat="1" ht="12">
      <c r="J52" s="85">
        <f t="shared" si="4"/>
        <v>0.9400000000000005</v>
      </c>
      <c r="K52" s="83">
        <f t="shared" ca="1" si="1"/>
        <v>9.4000000000000057</v>
      </c>
      <c r="L52" s="86" t="str">
        <f t="shared" ca="1" si="2"/>
        <v/>
      </c>
      <c r="M52" s="84" t="str">
        <f t="shared" ca="1" si="3"/>
        <v/>
      </c>
      <c r="N52" s="83">
        <f ca="1">LN('Histogram Data'!K52+0.01)-LN(price)</f>
        <v>-1.2547346078691914</v>
      </c>
      <c r="O52" s="83">
        <f ca="1">_xlfn.NORM.DIST(N52,0+0.03^3,AVERAGE('Valuation Model'!$K$22:$L$22),FALSE)/scaling</f>
        <v>4.9604587875519898E-13</v>
      </c>
    </row>
    <row r="53" spans="10:15" s="78" customFormat="1" ht="12">
      <c r="J53" s="85">
        <f t="shared" si="4"/>
        <v>0.96000000000000052</v>
      </c>
      <c r="K53" s="83">
        <f t="shared" ca="1" si="1"/>
        <v>9.600000000000005</v>
      </c>
      <c r="L53" s="86" t="str">
        <f t="shared" ca="1" si="2"/>
        <v/>
      </c>
      <c r="M53" s="84" t="str">
        <f t="shared" ca="1" si="3"/>
        <v/>
      </c>
      <c r="N53" s="83">
        <f ca="1">LN('Histogram Data'!K53+0.01)-LN(price)</f>
        <v>-1.2337033384842786</v>
      </c>
      <c r="O53" s="83">
        <f ca="1">_xlfn.NORM.DIST(N53,0+0.03^3,AVERAGE('Valuation Model'!$K$22:$L$22),FALSE)/scaling</f>
        <v>1.2267676319003967E-12</v>
      </c>
    </row>
    <row r="54" spans="10:15" s="78" customFormat="1" ht="12">
      <c r="J54" s="85">
        <f t="shared" si="4"/>
        <v>0.98000000000000054</v>
      </c>
      <c r="K54" s="83">
        <f t="shared" ca="1" si="1"/>
        <v>9.800000000000006</v>
      </c>
      <c r="L54" s="86" t="str">
        <f t="shared" ca="1" si="2"/>
        <v/>
      </c>
      <c r="M54" s="84" t="str">
        <f t="shared" ca="1" si="3"/>
        <v/>
      </c>
      <c r="N54" s="83">
        <f ca="1">LN('Histogram Data'!K54+0.01)-LN(price)</f>
        <v>-1.2131052878892081</v>
      </c>
      <c r="O54" s="83">
        <f ca="1">_xlfn.NORM.DIST(N54,0+0.03^3,AVERAGE('Valuation Model'!$K$22:$L$22),FALSE)/scaling</f>
        <v>2.9339964529351916E-12</v>
      </c>
    </row>
    <row r="55" spans="10:15">
      <c r="J55" s="85">
        <f t="shared" si="4"/>
        <v>1.0000000000000004</v>
      </c>
      <c r="K55" s="83">
        <f t="shared" ca="1" si="1"/>
        <v>10.000000000000004</v>
      </c>
      <c r="L55" s="86" t="str">
        <f t="shared" ca="1" si="2"/>
        <v/>
      </c>
      <c r="M55" s="84" t="str">
        <f t="shared" ca="1" si="3"/>
        <v/>
      </c>
      <c r="N55" s="83">
        <f ca="1">LN('Histogram Data'!K55+0.01)-LN(price)</f>
        <v>-1.1929229681393507</v>
      </c>
      <c r="O55" s="83">
        <f ca="1">_xlfn.NORM.DIST(N55,0+0.03^3,AVERAGE('Valuation Model'!$K$22:$L$22),FALSE)/scaling</f>
        <v>6.7971910111499171E-12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159</v>
      </c>
      <c r="B1" t="s">
        <v>160</v>
      </c>
    </row>
    <row r="2" spans="1:3">
      <c r="A2" s="129">
        <v>36616</v>
      </c>
      <c r="B2">
        <v>10036.1</v>
      </c>
      <c r="C2" s="129"/>
    </row>
    <row r="3" spans="1:3">
      <c r="A3" s="129">
        <v>36707</v>
      </c>
      <c r="B3">
        <v>10283.700000000001</v>
      </c>
      <c r="C3" s="129"/>
    </row>
    <row r="4" spans="1:3">
      <c r="A4" s="129">
        <v>36799</v>
      </c>
      <c r="B4">
        <v>10363.799999999999</v>
      </c>
      <c r="C4" s="129"/>
    </row>
    <row r="5" spans="1:3">
      <c r="A5" s="129">
        <v>36891</v>
      </c>
      <c r="B5">
        <v>10475.299999999999</v>
      </c>
      <c r="C5" s="129"/>
    </row>
    <row r="6" spans="1:3">
      <c r="A6" s="129">
        <v>36981</v>
      </c>
      <c r="B6">
        <v>10512.5</v>
      </c>
      <c r="C6" s="129"/>
    </row>
    <row r="7" spans="1:3">
      <c r="A7" s="129">
        <v>37072</v>
      </c>
      <c r="B7">
        <v>10641.6</v>
      </c>
      <c r="C7" s="129"/>
    </row>
    <row r="8" spans="1:3">
      <c r="A8" s="129">
        <v>37164</v>
      </c>
      <c r="B8">
        <v>10644.3</v>
      </c>
      <c r="C8" s="129"/>
    </row>
    <row r="9" spans="1:3">
      <c r="A9" s="129">
        <v>37256</v>
      </c>
      <c r="B9">
        <v>10702.7</v>
      </c>
      <c r="C9" s="129"/>
    </row>
    <row r="10" spans="1:3">
      <c r="A10" s="129">
        <v>37346</v>
      </c>
      <c r="B10">
        <v>10837.3</v>
      </c>
      <c r="C10" s="129"/>
    </row>
    <row r="11" spans="1:3">
      <c r="A11" s="129">
        <v>37437</v>
      </c>
      <c r="B11">
        <v>10938</v>
      </c>
      <c r="C11" s="129"/>
    </row>
    <row r="12" spans="1:3">
      <c r="A12" s="129">
        <v>37529</v>
      </c>
      <c r="B12">
        <v>11039.8</v>
      </c>
      <c r="C12" s="129"/>
    </row>
    <row r="13" spans="1:3">
      <c r="A13" s="129">
        <v>37621</v>
      </c>
      <c r="B13">
        <v>11105.7</v>
      </c>
      <c r="C13" s="129"/>
    </row>
    <row r="14" spans="1:3">
      <c r="A14" s="129">
        <v>37711</v>
      </c>
      <c r="B14">
        <v>11230.8</v>
      </c>
      <c r="C14" s="129"/>
    </row>
    <row r="15" spans="1:3">
      <c r="A15" s="129">
        <v>37802</v>
      </c>
      <c r="B15">
        <v>11371.4</v>
      </c>
      <c r="C15" s="129"/>
    </row>
    <row r="16" spans="1:3">
      <c r="A16" s="129">
        <v>37894</v>
      </c>
      <c r="B16">
        <v>11628.4</v>
      </c>
      <c r="C16" s="129"/>
    </row>
    <row r="17" spans="1:3">
      <c r="A17" s="129">
        <v>37986</v>
      </c>
      <c r="B17">
        <v>11818.5</v>
      </c>
      <c r="C17" s="129"/>
    </row>
    <row r="18" spans="1:3">
      <c r="A18" s="129">
        <v>38077</v>
      </c>
      <c r="B18">
        <v>11991.4</v>
      </c>
      <c r="C18" s="129"/>
    </row>
    <row r="19" spans="1:3">
      <c r="A19" s="129">
        <v>38168</v>
      </c>
      <c r="B19">
        <v>12183.5</v>
      </c>
      <c r="C19" s="129"/>
    </row>
    <row r="20" spans="1:3">
      <c r="A20" s="129">
        <v>38260</v>
      </c>
      <c r="B20">
        <v>12369.4</v>
      </c>
      <c r="C20" s="129"/>
    </row>
    <row r="21" spans="1:3">
      <c r="A21" s="129">
        <v>38352</v>
      </c>
      <c r="B21">
        <v>12563.8</v>
      </c>
      <c r="C21" s="129"/>
    </row>
    <row r="22" spans="1:3">
      <c r="A22" s="129">
        <v>38442</v>
      </c>
      <c r="B22">
        <v>12816.2</v>
      </c>
      <c r="C22" s="129"/>
    </row>
    <row r="23" spans="1:3">
      <c r="A23" s="129">
        <v>38533</v>
      </c>
      <c r="B23">
        <v>12975.7</v>
      </c>
      <c r="C23" s="129"/>
    </row>
    <row r="24" spans="1:3">
      <c r="A24" s="129">
        <v>38625</v>
      </c>
      <c r="B24">
        <v>13206.5</v>
      </c>
      <c r="C24" s="129"/>
    </row>
    <row r="25" spans="1:3">
      <c r="A25" s="129">
        <v>38717</v>
      </c>
      <c r="B25">
        <v>13383.3</v>
      </c>
      <c r="C25" s="129"/>
    </row>
    <row r="26" spans="1:3">
      <c r="A26" s="129">
        <v>38807</v>
      </c>
      <c r="B26">
        <v>13649.8</v>
      </c>
      <c r="C26" s="129"/>
    </row>
    <row r="27" spans="1:3">
      <c r="A27" s="129">
        <v>38898</v>
      </c>
      <c r="B27">
        <v>13802.9</v>
      </c>
      <c r="C27" s="129"/>
    </row>
    <row r="28" spans="1:3">
      <c r="A28" s="129">
        <v>38990</v>
      </c>
      <c r="B28">
        <v>13910.5</v>
      </c>
      <c r="C28" s="129"/>
    </row>
    <row r="29" spans="1:3">
      <c r="A29" s="129">
        <v>39082</v>
      </c>
      <c r="B29">
        <v>14068.4</v>
      </c>
    </row>
    <row r="30" spans="1:3">
      <c r="A30" s="129">
        <v>39172</v>
      </c>
      <c r="B30">
        <v>14235</v>
      </c>
    </row>
    <row r="31" spans="1:3">
      <c r="A31" s="129">
        <v>39263</v>
      </c>
      <c r="B31">
        <v>14424.5</v>
      </c>
    </row>
    <row r="32" spans="1:3">
      <c r="A32" s="129">
        <v>39355</v>
      </c>
      <c r="B32">
        <v>14571.9</v>
      </c>
    </row>
    <row r="33" spans="1:2">
      <c r="A33" s="129">
        <v>39447</v>
      </c>
      <c r="B33">
        <v>14690</v>
      </c>
    </row>
    <row r="34" spans="1:2">
      <c r="A34" s="129">
        <v>39538</v>
      </c>
      <c r="B34">
        <v>14672.9</v>
      </c>
    </row>
    <row r="35" spans="1:2">
      <c r="A35" s="129">
        <v>39629</v>
      </c>
      <c r="B35">
        <v>14813</v>
      </c>
    </row>
    <row r="36" spans="1:2">
      <c r="A36" s="129">
        <v>39721</v>
      </c>
      <c r="B36">
        <v>14843</v>
      </c>
    </row>
    <row r="37" spans="1:2">
      <c r="A37" s="129">
        <v>39813</v>
      </c>
      <c r="B37">
        <v>14549.9</v>
      </c>
    </row>
    <row r="38" spans="1:2">
      <c r="A38" s="129">
        <v>39903</v>
      </c>
      <c r="B38">
        <v>14383.9</v>
      </c>
    </row>
    <row r="39" spans="1:2">
      <c r="A39" s="129">
        <v>39994</v>
      </c>
      <c r="B39">
        <v>14340.4</v>
      </c>
    </row>
    <row r="40" spans="1:2">
      <c r="A40" s="129">
        <v>40086</v>
      </c>
      <c r="B40">
        <v>14384.1</v>
      </c>
    </row>
    <row r="41" spans="1:2">
      <c r="A41" s="129">
        <v>40178</v>
      </c>
      <c r="B41">
        <v>14566.5</v>
      </c>
    </row>
    <row r="42" spans="1:2">
      <c r="A42" s="129">
        <v>40268</v>
      </c>
      <c r="B42">
        <v>14681.1</v>
      </c>
    </row>
    <row r="43" spans="1:2">
      <c r="A43" s="129">
        <v>40359</v>
      </c>
      <c r="B43">
        <v>14888.6</v>
      </c>
    </row>
    <row r="44" spans="1:2">
      <c r="A44" s="129">
        <v>40451</v>
      </c>
      <c r="B44">
        <v>15057.7</v>
      </c>
    </row>
    <row r="45" spans="1:2">
      <c r="A45" s="129">
        <v>40543</v>
      </c>
      <c r="B45">
        <v>15230.2</v>
      </c>
    </row>
    <row r="46" spans="1:2">
      <c r="A46" s="129">
        <v>40633</v>
      </c>
      <c r="B46">
        <v>15238.4</v>
      </c>
    </row>
    <row r="47" spans="1:2">
      <c r="A47" s="129">
        <v>40724</v>
      </c>
      <c r="B47">
        <v>15460.9</v>
      </c>
    </row>
    <row r="48" spans="1:2">
      <c r="A48" s="129">
        <v>40816</v>
      </c>
      <c r="B48">
        <v>15587.1</v>
      </c>
    </row>
    <row r="49" spans="1:5">
      <c r="A49" s="129">
        <v>40908</v>
      </c>
      <c r="B49">
        <v>15785.3</v>
      </c>
    </row>
    <row r="50" spans="1:5">
      <c r="A50" s="129">
        <v>40999</v>
      </c>
      <c r="B50">
        <v>15956.5</v>
      </c>
    </row>
    <row r="51" spans="1:5">
      <c r="A51" s="129">
        <v>41090</v>
      </c>
      <c r="B51">
        <v>16094.7</v>
      </c>
    </row>
    <row r="52" spans="1:5">
      <c r="A52" s="129">
        <v>41182</v>
      </c>
      <c r="B52">
        <v>16268.9</v>
      </c>
    </row>
    <row r="53" spans="1:5">
      <c r="A53" s="129">
        <v>41274</v>
      </c>
      <c r="B53">
        <v>16332.5</v>
      </c>
    </row>
    <row r="54" spans="1:5">
      <c r="A54" s="129">
        <v>41364</v>
      </c>
      <c r="B54">
        <v>16502.400000000001</v>
      </c>
    </row>
    <row r="55" spans="1:5">
      <c r="A55" s="129">
        <v>41455</v>
      </c>
      <c r="B55">
        <v>16619.2</v>
      </c>
    </row>
    <row r="56" spans="1:5">
      <c r="A56" s="129">
        <v>41547</v>
      </c>
      <c r="B56">
        <v>16872.3</v>
      </c>
    </row>
    <row r="57" spans="1:5">
      <c r="A57" s="129">
        <v>41639</v>
      </c>
      <c r="B57">
        <v>17078.3</v>
      </c>
    </row>
    <row r="58" spans="1:5">
      <c r="A58" s="129">
        <v>41729</v>
      </c>
      <c r="B58">
        <v>17044</v>
      </c>
    </row>
    <row r="59" spans="1:5">
      <c r="A59" s="129">
        <v>41820</v>
      </c>
      <c r="B59">
        <v>17328.2</v>
      </c>
    </row>
    <row r="60" spans="1:5">
      <c r="A60" s="129">
        <v>41912</v>
      </c>
      <c r="B60">
        <v>17599.8</v>
      </c>
    </row>
    <row r="61" spans="1:5">
      <c r="A61" s="129">
        <v>42004</v>
      </c>
      <c r="B61">
        <v>17703.7</v>
      </c>
    </row>
    <row r="62" spans="1:5">
      <c r="A62" s="129">
        <v>42094</v>
      </c>
      <c r="B62">
        <v>17665</v>
      </c>
      <c r="E62" s="129"/>
    </row>
    <row r="63" spans="1:5">
      <c r="A63" s="129">
        <v>42185</v>
      </c>
      <c r="B63">
        <v>17913.7</v>
      </c>
      <c r="E63" s="129"/>
    </row>
    <row r="64" spans="1:5">
      <c r="A64" s="129">
        <v>42277</v>
      </c>
      <c r="B64">
        <v>18060.2</v>
      </c>
    </row>
    <row r="65" spans="1:2">
      <c r="A65" s="129">
        <v>42369</v>
      </c>
      <c r="B65">
        <v>18164.8</v>
      </c>
    </row>
    <row r="66" spans="1:2">
      <c r="A66" s="129">
        <v>42460</v>
      </c>
      <c r="B66">
        <v>18229.5</v>
      </c>
    </row>
    <row r="67" spans="1:2">
      <c r="A67" s="129">
        <v>42551</v>
      </c>
      <c r="B67">
        <v>18450.099999999999</v>
      </c>
    </row>
    <row r="68" spans="1:2">
      <c r="A68" s="129">
        <v>42643</v>
      </c>
      <c r="B68">
        <v>18651.2</v>
      </c>
    </row>
    <row r="69" spans="1:2">
      <c r="A69" s="129">
        <v>42735</v>
      </c>
      <c r="B69">
        <v>18869.400000000001</v>
      </c>
    </row>
    <row r="70" spans="1:2">
      <c r="A70" s="129">
        <v>42825</v>
      </c>
      <c r="B70">
        <v>19007.3</v>
      </c>
    </row>
    <row r="71" spans="1:2">
      <c r="A71" s="129"/>
    </row>
    <row r="72" spans="1:2">
      <c r="A72" s="12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7</vt:i4>
      </vt:variant>
      <vt:variant>
        <vt:lpstr>Named Ranges</vt:lpstr>
      </vt:variant>
      <vt:variant>
        <vt:i4>44</vt:i4>
      </vt:variant>
    </vt:vector>
  </HeadingPairs>
  <TitlesOfParts>
    <vt:vector size="58" baseType="lpstr">
      <vt:lpstr>Valuation Model</vt:lpstr>
      <vt:lpstr>Company Analysis</vt:lpstr>
      <vt:lpstr>CORR_OpData</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2017-09-06T02:28:50Z</dcterms:modified>
</cp:coreProperties>
</file>