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326"/>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QCOM - QUALCOMM/"/>
    </mc:Choice>
  </mc:AlternateContent>
  <xr:revisionPtr revIDLastSave="37" documentId="6750EC6063FCE30CE0F0BBF72B61C105ED46F5F1" xr6:coauthVersionLast="21" xr6:coauthVersionMax="21" xr10:uidLastSave="{9117EA93-8C72-4C53-AE4B-855DCD7B0EDD}"/>
  <bookViews>
    <workbookView xWindow="480" yWindow="0" windowWidth="18690" windowHeight="15" tabRatio="825" xr2:uid="{00000000-000D-0000-FFFF-FFFF00000000}"/>
  </bookViews>
  <sheets>
    <sheet name="Valuation Model" sheetId="1" r:id="rId1"/>
    <sheet name="Company Analysis" sheetId="19" r:id="rId2"/>
    <sheet name="Graphing Data" sheetId="21" r:id="rId3"/>
    <sheet name="Revenue Chart" sheetId="22" r:id="rId4"/>
    <sheet name="Profit Chart" sheetId="23" r:id="rId5"/>
    <sheet name="ECF to OCP Chart" sheetId="25" r:id="rId6"/>
    <sheet name="ECF Breakdown Chart" sheetId="26" r:id="rId7"/>
    <sheet name="FCFO Chart" sheetId="27" r:id="rId8"/>
    <sheet name="Investment Efficacy Chart" sheetId="28" r:id="rId9"/>
    <sheet name="Valuation Histogram" sheetId="16" r:id="rId10"/>
    <sheet name="Histogram Data" sheetId="17" r:id="rId11"/>
    <sheet name="GDP Data" sheetId="20" r:id="rId12"/>
    <sheet name="Disclaimer" sheetId="18" r:id="rId13"/>
    <sheet name="PSW_Sheet" sheetId="11" state="veryHidden" r:id="rId14"/>
    <sheet name="_SSC" sheetId="12" state="veryHidden" r:id="rId15"/>
    <sheet name="_Options" sheetId="13" state="veryHidden" r:id="rId16"/>
  </sheets>
  <externalReferences>
    <externalReference r:id="rId17"/>
    <externalReference r:id="rId18"/>
    <externalReference r:id="rId19"/>
    <externalReference r:id="rId20"/>
    <externalReference r:id="rId21"/>
    <externalReference r:id="rId22"/>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0"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F28" i="19" l="1"/>
  <c r="F25" i="19"/>
  <c r="J25" i="19"/>
  <c r="C26" i="21" l="1"/>
  <c r="D26" i="21"/>
  <c r="E26" i="21"/>
  <c r="F26" i="21"/>
  <c r="G26" i="21"/>
  <c r="H26" i="21"/>
  <c r="I26" i="21"/>
  <c r="J26" i="21"/>
  <c r="K26" i="21"/>
  <c r="B26" i="21"/>
  <c r="G3" i="1" l="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I19" i="19"/>
  <c r="H19" i="19"/>
  <c r="G19" i="19"/>
  <c r="F19" i="19"/>
  <c r="E19" i="19"/>
  <c r="D19" i="19"/>
  <c r="C19" i="19"/>
  <c r="B19" i="19"/>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B28" i="19" l="1"/>
  <c r="F19" i="21"/>
  <c r="J28" i="19"/>
  <c r="J19" i="21" s="1"/>
  <c r="C28" i="19"/>
  <c r="C19" i="21" s="1"/>
  <c r="K28" i="19"/>
  <c r="K19" i="21" s="1"/>
  <c r="G28" i="19"/>
  <c r="G19" i="21" s="1"/>
  <c r="D22" i="21"/>
  <c r="D28" i="19"/>
  <c r="H22" i="21"/>
  <c r="H28" i="19"/>
  <c r="H19" i="21" s="1"/>
  <c r="E22" i="21"/>
  <c r="E28" i="19"/>
  <c r="E32" i="19" s="1"/>
  <c r="E30" i="21" s="1"/>
  <c r="E33" i="21" s="1"/>
  <c r="I22" i="21"/>
  <c r="I28" i="19"/>
  <c r="M12" i="21"/>
  <c r="M32" i="21" s="1"/>
  <c r="O4" i="21"/>
  <c r="N12" i="21"/>
  <c r="N32" i="21" s="1"/>
  <c r="O3" i="21"/>
  <c r="N11" i="21"/>
  <c r="N31" i="21" s="1"/>
  <c r="L29" i="21"/>
  <c r="L9" i="21"/>
  <c r="M1" i="21"/>
  <c r="C40" i="19"/>
  <c r="B19" i="21"/>
  <c r="B22" i="21"/>
  <c r="F22" i="21"/>
  <c r="J22" i="21"/>
  <c r="C13" i="21"/>
  <c r="C18" i="21"/>
  <c r="G13" i="21"/>
  <c r="G18" i="21"/>
  <c r="K13" i="21"/>
  <c r="K15" i="21" s="1"/>
  <c r="K18" i="21"/>
  <c r="C22" i="21"/>
  <c r="G22" i="21"/>
  <c r="K22" i="21"/>
  <c r="D13" i="21"/>
  <c r="D18" i="21"/>
  <c r="H13" i="21"/>
  <c r="H18" i="21"/>
  <c r="G12" i="19"/>
  <c r="I15" i="19"/>
  <c r="I45" i="19" s="1"/>
  <c r="E10" i="21"/>
  <c r="E38" i="21" s="1"/>
  <c r="I13" i="19"/>
  <c r="I41" i="19" s="1"/>
  <c r="I10" i="21"/>
  <c r="I38" i="21" s="1"/>
  <c r="K12" i="19"/>
  <c r="B12" i="19"/>
  <c r="B10" i="21"/>
  <c r="B38" i="21" s="1"/>
  <c r="B39" i="21" s="1"/>
  <c r="F12" i="19"/>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B32"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8" i="17"/>
  <c r="H10" i="17"/>
  <c r="H6" i="17"/>
  <c r="G6" i="17"/>
  <c r="G8" i="17"/>
  <c r="G10" i="17"/>
  <c r="G7" i="17"/>
  <c r="G9" i="17"/>
  <c r="G11" i="17"/>
  <c r="G12" i="17"/>
  <c r="G5" i="17"/>
  <c r="H5" i="17"/>
  <c r="C2" i="1"/>
  <c r="H7" i="17"/>
  <c r="H11" i="17"/>
  <c r="H9" i="17"/>
  <c r="H12" i="17"/>
  <c r="J7" i="17"/>
  <c r="B29" i="19" l="1"/>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E33" i="19"/>
  <c r="H42" i="19"/>
  <c r="H41" i="21" s="1"/>
  <c r="E9" i="17"/>
  <c r="E6" i="17"/>
  <c r="E7" i="17"/>
  <c r="E12" i="17"/>
  <c r="E11" i="17"/>
  <c r="E10" i="17"/>
  <c r="E8" i="17"/>
  <c r="E5" i="17"/>
  <c r="J8" i="17"/>
  <c r="F34" i="19" l="1"/>
  <c r="C34" i="19"/>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0" i="17" s="1"/>
  <c r="I7" i="1"/>
  <c r="B9" i="17" s="1"/>
  <c r="I6" i="1"/>
  <c r="B6" i="17" s="1"/>
  <c r="I2" i="1"/>
  <c r="B5" i="17" s="1"/>
  <c r="I4" i="1"/>
  <c r="B8" i="17" s="1"/>
  <c r="I5" i="1"/>
  <c r="B11" i="17" s="1"/>
  <c r="I3" i="1"/>
  <c r="B7"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9" i="17" s="1"/>
  <c r="K5" i="1"/>
  <c r="C11" i="17" s="1"/>
  <c r="G128" i="1"/>
  <c r="G129" i="1"/>
  <c r="G107" i="1"/>
  <c r="G106" i="1"/>
  <c r="G62" i="1"/>
  <c r="G66" i="1" s="1"/>
  <c r="G67" i="1" s="1"/>
  <c r="K2" i="1" s="1"/>
  <c r="C5" i="17" s="1"/>
  <c r="G85" i="1"/>
  <c r="G84" i="1"/>
  <c r="G74" i="1"/>
  <c r="G73" i="1"/>
  <c r="G132" i="1" l="1"/>
  <c r="G133" i="1" s="1"/>
  <c r="G110" i="1"/>
  <c r="G111" i="1" s="1"/>
  <c r="G88" i="1"/>
  <c r="G89" i="1" s="1"/>
  <c r="G77" i="1"/>
  <c r="G78" i="1" s="1"/>
  <c r="K8" i="1" l="1"/>
  <c r="C10" i="17" s="1"/>
  <c r="K6" i="1"/>
  <c r="C6" i="17" s="1"/>
  <c r="K4" i="1"/>
  <c r="C8" i="17" s="1"/>
  <c r="K3" i="1"/>
  <c r="C7"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8" i="17"/>
  <c r="D11" i="17"/>
  <c r="D10" i="17"/>
  <c r="D9" i="17"/>
  <c r="D7" i="17"/>
  <c r="D6"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<sst xmlns="http://schemas.openxmlformats.org/spreadsheetml/2006/main" count="378" uniqueCount="193">
  <si>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</si>
  <si>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</si>
  <si>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</si>
  <si>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</si>
  <si>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</si>
  <si>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</si>
  <si>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</si>
  <si>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</si>
  <si>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</si>
  <si>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</si>
  <si>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</si>
  <si>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</si>
  <si>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</si>
  <si>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</si>
  <si>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</si>
  <si>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</si>
  <si>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</si>
  <si>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</si>
  <si>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</si>
  <si>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</si>
  <si>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</si>
  <si>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</si>
  <si>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</si>
  <si>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</si>
  <si>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</si>
  <si>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</si>
  <si>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</si>
  <si>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</si>
  <si>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</si>
  <si>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</si>
  <si>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</si>
  <si>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</si>
  <si>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</si>
  <si>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</si>
  <si>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</si>
  <si>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</si>
  <si>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</si>
  <si>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</si>
  <si>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</si>
  <si>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</si>
  <si>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</si>
  <si>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</si>
  <si>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</si>
  <si>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</si>
  <si>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</si>
  <si>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</si>
  <si>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</si>
  <si>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</si>
  <si>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</si>
  <si>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</si>
  <si>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</si>
  <si>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</si>
  <si>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</si>
  <si>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</si>
  <si>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</si>
  <si>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</si>
  <si>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</si>
  <si>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</si>
  <si>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</si>
  <si>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</si>
  <si>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</si>
  <si>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</si>
  <si>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</si>
  <si>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</si>
  <si>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</si>
  <si>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</si>
  <si>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</si>
  <si>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</si>
  <si>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</si>
  <si>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</si>
  <si>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</si>
  <si>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</si>
  <si>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</si>
  <si>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</si>
  <si>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</si>
  <si>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</si>
  <si>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</si>
  <si>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</si>
  <si>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</si>
  <si>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</si>
  <si>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</si>
  <si>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</si>
  <si>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</si>
  <si>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</si>
  <si>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</si>
  <si>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</si>
  <si>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</si>
  <si>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</si>
  <si>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</si>
  <si>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</si>
  <si>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</si>
  <si>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</si>
  <si>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</si>
  <si>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</si>
  <si>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</si>
  <si>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</si>
  <si>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</si>
  <si>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</si>
  <si>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</si>
  <si>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</si>
  <si>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</si>
  <si>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</si>
  <si>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</si>
  <si>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</si>
  <si>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</si>
  <si>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</si>
  <si>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</si>
  <si>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</si>
  <si>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</si>
  <si>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</si>
  <si>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</si>
  <si>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</si>
  <si>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</si>
  <si>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</si>
  <si>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</si>
  <si>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</si>
  <si>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</si>
  <si>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</si>
  <si>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</si>
  <si>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</si>
  <si>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</si>
  <si>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</si>
  <si>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</si>
  <si>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</si>
  <si>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</si>
  <si>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</si>
  <si>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</si>
  <si>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</si>
  <si>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</si>
  <si>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</si>
  <si>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</si>
  <si>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</si>
  <si>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</si>
  <si>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</si>
  <si>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</si>
  <si>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</si>
  <si>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</si>
  <si>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</si>
  <si>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</si>
  <si>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</si>
  <si>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</si>
  <si>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</si>
  <si>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</si>
  <si>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</si>
  <si>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</si>
  <si>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</si>
  <si>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</si>
  <si>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</si>
  <si>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</si>
  <si>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</si>
  <si>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</si>
  <si>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</si>
  <si>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</si>
  <si>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</si>
  <si>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</si>
  <si>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</si>
  <si>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</si>
  <si>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</si>
  <si>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</si>
  <si>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</si>
  <si>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</si>
  <si>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</si>
  <si>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</si>
  <si>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</si>
  <si>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</si>
  <si>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</si>
  <si>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</si>
  <si>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</si>
  <si>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</si>
  <si>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</si>
  <si>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</si>
  <si>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</si>
  <si>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</si>
  <si>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</si>
  <si>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</si>
  <si>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</si>
  <si>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</si>
  <si>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</si>
  <si>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</si>
  <si>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</si>
  <si>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</si>
  <si>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</si>
  <si>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</si>
  <si>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</si>
  <si>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</si>
  <si>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</si>
  <si>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</si>
  <si>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</si>
  <si>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</si>
  <si>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</si>
  <si>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</si>
  <si>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NXP Semiconductor</t>
  </si>
  <si>
    <t>NXPI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</si>
</sst>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3">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6.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chartsheet" Target="chartsheets/sheet4.xml"/><Relationship Id="rId12" Type="http://schemas.openxmlformats.org/officeDocument/2006/relationships/worksheet" Target="worksheets/sheet5.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4.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worksheet" Target="worksheets/sheet8.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externalLink" Target="externalLinks/externalLink3.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7.xml"/><Relationship Id="rId22"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Data'!$B$2:$P$2</c:f>
              <c:numCache>
                <c:formatCode>_(* #,##0_);_(* \(#,##0\);_(* "-"??_);_(@_)</c:formatCode>
                <c:ptCount val="15"/>
                <c:pt idx="0">
                  <c:v>0</c:v>
                </c:pt>
                <c:pt idx="1">
                  <c:v>0</c:v>
                </c:pt>
                <c:pt idx="2">
                  <c:v>0</c:v>
                </c:pt>
                <c:pt idx="3">
                  <c:v>4402</c:v>
                </c:pt>
                <c:pt idx="4">
                  <c:v>4194</c:v>
                </c:pt>
                <c:pt idx="5">
                  <c:v>4358</c:v>
                </c:pt>
                <c:pt idx="6">
                  <c:v>4815</c:v>
                </c:pt>
                <c:pt idx="7">
                  <c:v>5647</c:v>
                </c:pt>
                <c:pt idx="8">
                  <c:v>6101</c:v>
                </c:pt>
                <c:pt idx="9">
                  <c:v>9498</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Data'!$B$3:$P$3</c:f>
              <c:numCache>
                <c:formatCode>General</c:formatCode>
                <c:ptCount val="15"/>
                <c:pt idx="10" formatCode="_(* #,##0_);_(* \(#,##0\);_(* &quot;-&quot;??_);_(@_)">
                  <c:v>9498</c:v>
                </c:pt>
                <c:pt idx="11" formatCode="_(* #,##0_);_(* \(#,##0\);_(* &quot;-&quot;??_);_(@_)">
                  <c:v>9498</c:v>
                </c:pt>
                <c:pt idx="12" formatCode="_(* #,##0_);_(* \(#,##0\);_(* &quot;-&quot;??_);_(@_)">
                  <c:v>9498</c:v>
                </c:pt>
                <c:pt idx="13" formatCode="_(* #,##0_);_(* \(#,##0\);_(* &quot;-&quot;??_);_(@_)">
                  <c:v>9498</c:v>
                </c:pt>
                <c:pt idx="14" formatCode="_(* #,##0_);_(* \(#,##0\);_(* &quot;-&quot;??_);_(@_)">
                  <c:v>9498</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Data'!$B$4:$P$4</c:f>
              <c:numCache>
                <c:formatCode>General</c:formatCode>
                <c:ptCount val="15"/>
                <c:pt idx="10" formatCode="_(* #,##0_);_(* \(#,##0\);_(* &quot;-&quot;??_);_(@_)">
                  <c:v>9498</c:v>
                </c:pt>
                <c:pt idx="11" formatCode="_(* #,##0_);_(* \(#,##0\);_(* &quot;-&quot;??_);_(@_)">
                  <c:v>9498</c:v>
                </c:pt>
                <c:pt idx="12" formatCode="_(* #,##0_);_(* \(#,##0\);_(* &quot;-&quot;??_);_(@_)">
                  <c:v>9498</c:v>
                </c:pt>
                <c:pt idx="13" formatCode="_(* #,##0_);_(* \(#,##0\);_(* &quot;-&quot;??_);_(@_)">
                  <c:v>9498</c:v>
                </c:pt>
                <c:pt idx="14" formatCode="_(* #,##0_);_(* \(#,##0\);_(* &quot;-&quot;??_);_(@_)">
                  <c:v>9498</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Data'!$B$5:$P$5</c:f>
              <c:numCache>
                <c:formatCode>0%</c:formatCode>
                <c:ptCount val="15"/>
                <c:pt idx="1">
                  <c:v>0</c:v>
                </c:pt>
                <c:pt idx="2">
                  <c:v>0</c:v>
                </c:pt>
                <c:pt idx="3">
                  <c:v>0</c:v>
                </c:pt>
                <c:pt idx="4">
                  <c:v>-4.725124943207637E-2</c:v>
                </c:pt>
                <c:pt idx="5">
                  <c:v>3.91034811635671E-2</c:v>
                </c:pt>
                <c:pt idx="6">
                  <c:v>0.10486461679669579</c:v>
                </c:pt>
                <c:pt idx="7">
                  <c:v>0.17279335410176522</c:v>
                </c:pt>
                <c:pt idx="8">
                  <c:v>8.0396670798654091E-2</c:v>
                </c:pt>
                <c:pt idx="9">
                  <c:v>0.55679396820193405</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Data'!$B$6:$P$6</c:f>
              <c:numCache>
                <c:formatCode>General</c:formatCode>
                <c:ptCount val="15"/>
                <c:pt idx="9" formatCode="0%">
                  <c:v>0.55679396820193405</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Data'!$B$7:$P$7</c:f>
              <c:numCache>
                <c:formatCode>General</c:formatCode>
                <c:ptCount val="15"/>
                <c:pt idx="9" formatCode="0%">
                  <c:v>0.55679396820193405</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Data'!$B$10:$P$10</c:f>
              <c:numCache>
                <c:formatCode>_(* #,##0_);_(* \(#,##0\);_(* "-"??_);_(@_)</c:formatCode>
                <c:ptCount val="15"/>
                <c:pt idx="0">
                  <c:v>0</c:v>
                </c:pt>
                <c:pt idx="1">
                  <c:v>0</c:v>
                </c:pt>
                <c:pt idx="2">
                  <c:v>0</c:v>
                </c:pt>
                <c:pt idx="3">
                  <c:v>-323</c:v>
                </c:pt>
                <c:pt idx="4">
                  <c:v>-416</c:v>
                </c:pt>
                <c:pt idx="5">
                  <c:v>189</c:v>
                </c:pt>
                <c:pt idx="6">
                  <c:v>377</c:v>
                </c:pt>
                <c:pt idx="7">
                  <c:v>1063</c:v>
                </c:pt>
                <c:pt idx="8">
                  <c:v>813</c:v>
                </c:pt>
                <c:pt idx="9">
                  <c:v>98</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Data'!$B$11:$P$11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Data'!$B$12:$P$12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Data'!$B$13:$P$13</c:f>
              <c:numCache>
                <c:formatCode>0%</c:formatCode>
                <c:ptCount val="15"/>
                <c:pt idx="0">
                  <c:v>0</c:v>
                </c:pt>
                <c:pt idx="1">
                  <c:v>0</c:v>
                </c:pt>
                <c:pt idx="2">
                  <c:v>0</c:v>
                </c:pt>
                <c:pt idx="3">
                  <c:v>-7.3375738300772375E-2</c:v>
                </c:pt>
                <c:pt idx="4">
                  <c:v>-9.918931807343824E-2</c:v>
                </c:pt>
                <c:pt idx="5">
                  <c:v>4.3368517668655349E-2</c:v>
                </c:pt>
                <c:pt idx="6">
                  <c:v>7.8296988577362406E-2</c:v>
                </c:pt>
                <c:pt idx="7">
                  <c:v>0.18824154418275191</c:v>
                </c:pt>
                <c:pt idx="8">
                  <c:v>0.13325684314046879</c:v>
                </c:pt>
                <c:pt idx="9">
                  <c:v>1.0317961676142346E-2</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Data'!$B$14:$P$14</c:f>
              <c:numCache>
                <c:formatCode>General</c:formatCode>
                <c:ptCount val="15"/>
                <c:pt idx="9" formatCode="0%">
                  <c:v>1.0317961676142346E-2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Data'!$B$15:$P$15</c:f>
              <c:numCache>
                <c:formatCode>General</c:formatCode>
                <c:ptCount val="15"/>
                <c:pt idx="9" formatCode="0%">
                  <c:v>1.0317961676142346E-2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Data'!$B$18:$K$18</c:f>
              <c:numCache>
                <c:formatCode>_(* #,##0_);_(* \(#,##0\);_(* "-"??_);_(@_)</c:formatCode>
                <c:ptCount val="10"/>
                <c:pt idx="0">
                  <c:v>0</c:v>
                </c:pt>
                <c:pt idx="1">
                  <c:v>0</c:v>
                </c:pt>
                <c:pt idx="2">
                  <c:v>0</c:v>
                </c:pt>
                <c:pt idx="3">
                  <c:v>-323</c:v>
                </c:pt>
                <c:pt idx="4">
                  <c:v>-416</c:v>
                </c:pt>
                <c:pt idx="5">
                  <c:v>189</c:v>
                </c:pt>
                <c:pt idx="6">
                  <c:v>377</c:v>
                </c:pt>
                <c:pt idx="7">
                  <c:v>1063</c:v>
                </c:pt>
                <c:pt idx="8">
                  <c:v>813</c:v>
                </c:pt>
                <c:pt idx="9">
                  <c:v>98</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Data'!$B$19:$K$19</c:f>
              <c:numCache>
                <c:formatCode>_(* #,##0_);_(* \(#,##0\);_(* "-"??_);_(@_)</c:formatCode>
                <c:ptCount val="10"/>
                <c:pt idx="0">
                  <c:v>0</c:v>
                </c:pt>
                <c:pt idx="1">
                  <c:v>0</c:v>
                </c:pt>
                <c:pt idx="2">
                  <c:v>0</c:v>
                </c:pt>
                <c:pt idx="3">
                  <c:v>-705.76990291262132</c:v>
                </c:pt>
                <c:pt idx="4">
                  <c:v>-333.15491992063494</c:v>
                </c:pt>
                <c:pt idx="5">
                  <c:v>-236.21565623999999</c:v>
                </c:pt>
                <c:pt idx="6">
                  <c:v>-120.76170464285724</c:v>
                </c:pt>
                <c:pt idx="7">
                  <c:v>330.04709166666692</c:v>
                </c:pt>
                <c:pt idx="8">
                  <c:v>10375.321417142866</c:v>
                </c:pt>
                <c:pt idx="9">
                  <c:v>-921.49649670634915</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Data'!$B$22:$K$22</c:f>
              <c:numCache>
                <c:formatCode>_(* #,##0_);_(* \(#,##0\);_(* "-"??_);_(@_)</c:formatCode>
                <c:ptCount val="10"/>
                <c:pt idx="0">
                  <c:v>0</c:v>
                </c:pt>
                <c:pt idx="1">
                  <c:v>0</c:v>
                </c:pt>
                <c:pt idx="2">
                  <c:v>0</c:v>
                </c:pt>
                <c:pt idx="3">
                  <c:v>-419</c:v>
                </c:pt>
                <c:pt idx="4">
                  <c:v>-360</c:v>
                </c:pt>
                <c:pt idx="5">
                  <c:v>-253</c:v>
                </c:pt>
                <c:pt idx="6">
                  <c:v>-264</c:v>
                </c:pt>
                <c:pt idx="7">
                  <c:v>-40</c:v>
                </c:pt>
                <c:pt idx="8">
                  <c:v>-164</c:v>
                </c:pt>
                <c:pt idx="9">
                  <c:v>-1757</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Data'!$B$24:$K$24</c:f>
              <c:numCache>
                <c:formatCode>_(* #,##0_);_(* \(#,##0\);_(* "-"??_);_(@_)</c:formatCode>
                <c:ptCount val="10"/>
                <c:pt idx="0">
                  <c:v>0</c:v>
                </c:pt>
                <c:pt idx="1">
                  <c:v>0</c:v>
                </c:pt>
                <c:pt idx="2">
                  <c:v>0</c:v>
                </c:pt>
                <c:pt idx="3">
                  <c:v>8</c:v>
                </c:pt>
                <c:pt idx="4">
                  <c:v>0</c:v>
                </c:pt>
                <c:pt idx="5">
                  <c:v>2</c:v>
                </c:pt>
                <c:pt idx="6">
                  <c:v>1</c:v>
                </c:pt>
                <c:pt idx="7">
                  <c:v>8</c:v>
                </c:pt>
                <c:pt idx="8">
                  <c:v>1692</c:v>
                </c:pt>
                <c:pt idx="9">
                  <c:v>202</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Data'!$B$27:$K$27</c:f>
              <c:numCache>
                <c:formatCode>_(* #,##0_);_(* \(#,##0\);_(* "-"??_);_(@_)</c:formatCode>
                <c:ptCount val="10"/>
                <c:pt idx="0">
                  <c:v>0</c:v>
                </c:pt>
                <c:pt idx="1">
                  <c:v>0</c:v>
                </c:pt>
                <c:pt idx="2">
                  <c:v>0</c:v>
                </c:pt>
                <c:pt idx="3">
                  <c:v>-315.76990291262132</c:v>
                </c:pt>
                <c:pt idx="4">
                  <c:v>52.845080079365076</c:v>
                </c:pt>
                <c:pt idx="5">
                  <c:v>42.784343760000013</c:v>
                </c:pt>
                <c:pt idx="6">
                  <c:v>151.23829535714276</c:v>
                </c:pt>
                <c:pt idx="7">
                  <c:v>373.04709166666692</c:v>
                </c:pt>
                <c:pt idx="8">
                  <c:v>10459.321417142866</c:v>
                </c:pt>
                <c:pt idx="9">
                  <c:v>654.50350329365085</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Data'!$B$23:$K$23</c:f>
              <c:numCache>
                <c:formatCode>_(* #,##0_);_(* \(#,##0\);_(* "-"??_);_(@_)</c:formatCode>
                <c:ptCount val="10"/>
                <c:pt idx="0">
                  <c:v>0</c:v>
                </c:pt>
                <c:pt idx="1">
                  <c:v>0</c:v>
                </c:pt>
                <c:pt idx="2">
                  <c:v>0</c:v>
                </c:pt>
                <c:pt idx="3">
                  <c:v>21</c:v>
                </c:pt>
                <c:pt idx="4">
                  <c:v>-26</c:v>
                </c:pt>
                <c:pt idx="5">
                  <c:v>-28</c:v>
                </c:pt>
                <c:pt idx="6">
                  <c:v>-9</c:v>
                </c:pt>
                <c:pt idx="7">
                  <c:v>-11</c:v>
                </c:pt>
                <c:pt idx="8">
                  <c:v>-1612</c:v>
                </c:pt>
                <c:pt idx="9">
                  <c:v>-21</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0</c:v>
                </c:pt>
                <c:pt idx="1">
                  <c:v>0</c:v>
                </c:pt>
                <c:pt idx="2">
                  <c:v>0</c:v>
                </c:pt>
                <c:pt idx="3">
                  <c:v>382.76990291262132</c:v>
                </c:pt>
                <c:pt idx="4">
                  <c:v>-82.845080079365061</c:v>
                </c:pt>
                <c:pt idx="5">
                  <c:v>425.21565623999999</c:v>
                </c:pt>
                <c:pt idx="6">
                  <c:v>497.76170464285724</c:v>
                </c:pt>
                <c:pt idx="7">
                  <c:v>732.95290833333308</c:v>
                </c:pt>
                <c:pt idx="8">
                  <c:v>-9562.3214171428663</c:v>
                </c:pt>
                <c:pt idx="9">
                  <c:v>1019.4964967063491</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Data'!$B$33:$P$33</c:f>
              <c:numCache>
                <c:formatCode>0%</c:formatCode>
                <c:ptCount val="15"/>
                <c:pt idx="0">
                  <c:v>0</c:v>
                </c:pt>
                <c:pt idx="1">
                  <c:v>0</c:v>
                </c:pt>
                <c:pt idx="2">
                  <c:v>0</c:v>
                </c:pt>
                <c:pt idx="3">
                  <c:v>8.6953635373153412E-2</c:v>
                </c:pt>
                <c:pt idx="4">
                  <c:v>-1.9753237977912508E-2</c:v>
                </c:pt>
                <c:pt idx="5">
                  <c:v>9.7571284130335015E-2</c:v>
                </c:pt>
                <c:pt idx="6">
                  <c:v>0.1033773010680908</c:v>
                </c:pt>
                <c:pt idx="7">
                  <c:v>0.12979509621627999</c:v>
                </c:pt>
                <c:pt idx="8">
                  <c:v>-1.5673367344931759</c:v>
                </c:pt>
                <c:pt idx="9">
                  <c:v>0.1073380181834438</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Data'!$B$35:$P$35</c:f>
              <c:numCache>
                <c:formatCode>General</c:formatCode>
                <c:ptCount val="15"/>
                <c:pt idx="9" formatCode="0%">
                  <c:v>0.1073380181834438</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Data'!$B$34:$P$34</c:f>
              <c:numCache>
                <c:formatCode>General</c:formatCode>
                <c:ptCount val="15"/>
                <c:pt idx="9" formatCode="0%">
                  <c:v>0.1073380181834438</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NXPI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0</c:v>
                </c:pt>
                <c:pt idx="1">
                  <c:v>0</c:v>
                </c:pt>
                <c:pt idx="2">
                  <c:v>0</c:v>
                </c:pt>
                <c:pt idx="3">
                  <c:v>-323</c:v>
                </c:pt>
                <c:pt idx="4">
                  <c:v>-416</c:v>
                </c:pt>
                <c:pt idx="5">
                  <c:v>189</c:v>
                </c:pt>
                <c:pt idx="6">
                  <c:v>377</c:v>
                </c:pt>
                <c:pt idx="7">
                  <c:v>1063</c:v>
                </c:pt>
                <c:pt idx="8">
                  <c:v>813</c:v>
                </c:pt>
                <c:pt idx="9">
                  <c:v>98</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NXPI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NXPI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1">
                  <c:v>0</c:v>
                </c:pt>
                <c:pt idx="2">
                  <c:v>0</c:v>
                </c:pt>
                <c:pt idx="3">
                  <c:v>0</c:v>
                </c:pt>
                <c:pt idx="4">
                  <c:v>0.25147837482583602</c:v>
                </c:pt>
                <c:pt idx="5">
                  <c:v>-1.4889920862350514</c:v>
                </c:pt>
                <c:pt idx="6">
                  <c:v>0.94904544044602202</c:v>
                </c:pt>
                <c:pt idx="7">
                  <c:v>1.783009077351343</c:v>
                </c:pt>
                <c:pt idx="8">
                  <c:v>-0.23299745936468963</c:v>
                </c:pt>
                <c:pt idx="9">
                  <c:v>-0.87945879458794585</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NXPI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Data'!$B$41:$K$41</c:f>
              <c:numCache>
                <c:formatCode>0%</c:formatCode>
                <c:ptCount val="10"/>
                <c:pt idx="3">
                  <c:v>0</c:v>
                </c:pt>
                <c:pt idx="4">
                  <c:v>1.2600678675838608</c:v>
                </c:pt>
                <c:pt idx="5">
                  <c:v>-0.29449437849342175</c:v>
                </c:pt>
                <c:pt idx="6">
                  <c:v>-1.3117595444177348</c:v>
                </c:pt>
                <c:pt idx="7">
                  <c:v>9.8210050390173205</c:v>
                </c:pt>
                <c:pt idx="8">
                  <c:v>0.35698816654848131</c:v>
                </c:pt>
                <c:pt idx="9">
                  <c:v>-0.13502141798237155</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NXP Semiconductor (NXPI)</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2.2783815521010282E-296</c:v>
                </c:pt>
                <c:pt idx="1">
                  <c:v>3.8509218155819642E-135</c:v>
                </c:pt>
                <c:pt idx="2">
                  <c:v>3.8679996779607127E-108</c:v>
                </c:pt>
                <c:pt idx="3">
                  <c:v>1.5303254160282872E-93</c:v>
                </c:pt>
                <c:pt idx="4">
                  <c:v>8.8844940633927979E-84</c:v>
                </c:pt>
                <c:pt idx="5">
                  <c:v>1.4761623201292426E-76</c:v>
                </c:pt>
                <c:pt idx="6">
                  <c:v>6.8356506598034234E-71</c:v>
                </c:pt>
                <c:pt idx="7">
                  <c:v>2.8748727879003405E-66</c:v>
                </c:pt>
                <c:pt idx="8">
                  <c:v>2.1855952992779441E-62</c:v>
                </c:pt>
                <c:pt idx="9">
                  <c:v>4.6376522210442648E-59</c:v>
                </c:pt>
                <c:pt idx="10">
                  <c:v>3.6737078845186842E-56</c:v>
                </c:pt>
                <c:pt idx="11">
                  <c:v>1.331853150856838E-53</c:v>
                </c:pt>
                <c:pt idx="12">
                  <c:v>2.5620512087624434E-51</c:v>
                </c:pt>
                <c:pt idx="13">
                  <c:v>2.9209411285776937E-49</c:v>
                </c:pt>
                <c:pt idx="14">
                  <c:v>2.1480680413271789E-47</c:v>
                </c:pt>
                <c:pt idx="15">
                  <c:v>1.0887441921252423E-45</c:v>
                </c:pt>
                <c:pt idx="16">
                  <c:v>4.009057746278028E-44</c:v>
                </c:pt>
                <c:pt idx="17">
                  <c:v>1.1191442839569753E-42</c:v>
                </c:pt>
                <c:pt idx="18">
                  <c:v>2.4524079734371617E-41</c:v>
                </c:pt>
                <c:pt idx="19">
                  <c:v>4.3420867530153818E-40</c:v>
                </c:pt>
                <c:pt idx="20">
                  <c:v>6.363487057966982E-39</c:v>
                </c:pt>
                <c:pt idx="21">
                  <c:v>7.8785325435555609E-38</c:v>
                </c:pt>
                <c:pt idx="22">
                  <c:v>8.3849070745853497E-37</c:v>
                </c:pt>
                <c:pt idx="23">
                  <c:v>7.7863378871911519E-36</c:v>
                </c:pt>
                <c:pt idx="24">
                  <c:v>6.3907182891822187E-35</c:v>
                </c:pt>
                <c:pt idx="25">
                  <c:v>4.6883163009196581E-34</c:v>
                </c:pt>
                <c:pt idx="26">
                  <c:v>3.1045159601091494E-33</c:v>
                </c:pt>
                <c:pt idx="27">
                  <c:v>1.8716536415210896E-32</c:v>
                </c:pt>
                <c:pt idx="28">
                  <c:v>1.0351911515752908E-31</c:v>
                </c:pt>
                <c:pt idx="29">
                  <c:v>5.2882995077265083E-31</c:v>
                </c:pt>
                <c:pt idx="30">
                  <c:v>2.5103237983038074E-30</c:v>
                </c:pt>
                <c:pt idx="31">
                  <c:v>1.1132792007914084E-29</c:v>
                </c:pt>
                <c:pt idx="32">
                  <c:v>4.6349263239368562E-29</c:v>
                </c:pt>
                <c:pt idx="33">
                  <c:v>1.8194569219763687E-28</c:v>
                </c:pt>
                <c:pt idx="34">
                  <c:v>6.7610608907881072E-28</c:v>
                </c:pt>
                <c:pt idx="35">
                  <c:v>2.3868009317039076E-27</c:v>
                </c:pt>
                <c:pt idx="36">
                  <c:v>8.0308054954775158E-27</c:v>
                </c:pt>
                <c:pt idx="37">
                  <c:v>2.583046223801544E-26</c:v>
                </c:pt>
                <c:pt idx="38">
                  <c:v>7.963670988027043E-26</c:v>
                </c:pt>
                <c:pt idx="39">
                  <c:v>2.3592924584939821E-25</c:v>
                </c:pt>
                <c:pt idx="40">
                  <c:v>6.7317618355802221E-25</c:v>
                </c:pt>
                <c:pt idx="41">
                  <c:v>1.8538149467681713E-24</c:v>
                </c:pt>
                <c:pt idx="42">
                  <c:v>4.9366905424117218E-24</c:v>
                </c:pt>
                <c:pt idx="43">
                  <c:v>1.2735458717356783E-23</c:v>
                </c:pt>
                <c:pt idx="44">
                  <c:v>3.1880268406269223E-23</c:v>
                </c:pt>
                <c:pt idx="45">
                  <c:v>7.7557763200111947E-23</c:v>
                </c:pt>
                <c:pt idx="46">
                  <c:v>1.8363028528579804E-22</c:v>
                </c:pt>
                <c:pt idx="47">
                  <c:v>4.2369732791136585E-22</c:v>
                </c:pt>
                <c:pt idx="48">
                  <c:v>9.5388685817154307E-22</c:v>
                </c:pt>
                <c:pt idx="49">
                  <c:v>2.0978246150384868E-21</c:v>
                </c:pt>
                <c:pt idx="50">
                  <c:v>4.5117109758351655E-21</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34"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34"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34"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2"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2"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2285" cy="6284939"/>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B5" sqref="B5"/>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49" t="s">
        <v>61</v>
      </c>
      <c r="B1" s="149"/>
      <c r="C1" s="149"/>
      <c r="D1" s="149"/>
      <c r="E1" s="149"/>
      <c r="F1" s="149"/>
      <c r="G1" s="149"/>
      <c r="I1" s="158" t="s">
        <v>51</v>
      </c>
      <c r="J1" s="159"/>
      <c r="K1" s="91" t="s">
        <v>58</v>
      </c>
      <c r="L1" s="63" t="s">
        <v>108</v>
      </c>
    </row>
    <row r="2" spans="1:13">
      <c r="A2" s="51" t="s">
        <v>191</v>
      </c>
      <c r="B2" s="44" t="s">
        <v>192</v>
      </c>
      <c r="C2" s="98" t="str">
        <f>A2&amp;" ("&amp;ticker&amp;")"</f>
        <v>NXP Semiconductor (NXPI)</v>
      </c>
      <c r="E2" s="3" t="s">
        <v>57</v>
      </c>
      <c r="F2" s="3"/>
      <c r="G2" s="50">
        <v>112.41</v>
      </c>
      <c r="I2" s="154" t="e">
        <f>(ROUND(AVERAGE(C9:G9)*100,0)&amp;"% | "&amp;ROUND(AVERAGE(C11:G11)*100,0)&amp;"% | "&amp;ROUND(C18*100,0)&amp;"%")</f>
        <v>#DIV/0!</v>
      </c>
      <c r="J2" s="155"/>
      <c r="K2" s="92">
        <f ca="1">TRUNC(Scenario1)+B13/G4</f>
        <v>0</v>
      </c>
      <c r="L2" s="94" t="s">
        <v>53</v>
      </c>
      <c r="M2" s="45"/>
    </row>
    <row r="3" spans="1:13">
      <c r="A3" t="s">
        <v>0</v>
      </c>
      <c r="B3" s="13">
        <v>42735</v>
      </c>
      <c r="E3" t="s">
        <v>60</v>
      </c>
      <c r="G3" s="31">
        <f>'Company Analysis'!K3</f>
        <v>9498</v>
      </c>
      <c r="I3" s="154" t="e">
        <f>(ROUND(AVERAGE(C9:G9)*100,0)&amp;"% | "&amp;ROUND(AVERAGE(C11:G11)*100,0)&amp;"% | "&amp;ROUND(C17*100,0)&amp;"%")</f>
        <v>#DIV/0!</v>
      </c>
      <c r="J3" s="155"/>
      <c r="K3" s="92">
        <f ca="1">TRUNC(Scenario2)+B13/G4</f>
        <v>0</v>
      </c>
      <c r="L3" s="94" t="s">
        <v>53</v>
      </c>
      <c r="M3" s="46"/>
    </row>
    <row r="4" spans="1:13" ht="15.75" thickBot="1">
      <c r="A4" s="68" t="s">
        <v>1</v>
      </c>
      <c r="B4" s="52">
        <v>0.1</v>
      </c>
      <c r="C4" s="12"/>
      <c r="D4" s="12"/>
      <c r="E4" s="12" t="s">
        <v>6</v>
      </c>
      <c r="F4" s="12"/>
      <c r="G4" s="53">
        <v>346.00286199999999</v>
      </c>
      <c r="I4" s="154" t="e">
        <f>(ROUND(AVERAGE(C9:G9)*100,0)&amp;"% | "&amp;ROUND(AVERAGE(C10:G10)*100,0)&amp;"% | "&amp;ROUND(C18*100,0)&amp;"%")</f>
        <v>#DIV/0!</v>
      </c>
      <c r="J4" s="155"/>
      <c r="K4" s="92">
        <f ca="1">TRUNC(Scenario3)+B13/G4</f>
        <v>0</v>
      </c>
      <c r="L4" s="95" t="s">
        <v>53</v>
      </c>
      <c r="M4" s="47"/>
    </row>
    <row r="5" spans="1:13">
      <c r="B5" s="2"/>
      <c r="I5" s="154" t="e">
        <f>(ROUND(AVERAGE(C9:G9)*100,0)&amp;"% | "&amp;ROUND(AVERAGE(C10:G10)*100,0)&amp;"% | "&amp;ROUND(C17*100,0)&amp;"%")</f>
        <v>#DIV/0!</v>
      </c>
      <c r="J5" s="155"/>
      <c r="K5" s="92">
        <f ca="1">TRUNC(Scenario4)+B13/G4</f>
        <v>0</v>
      </c>
      <c r="L5" s="95" t="s">
        <v>53</v>
      </c>
      <c r="M5" s="47"/>
    </row>
    <row r="6" spans="1:13" s="9" customFormat="1" ht="15.75" thickBot="1">
      <c r="A6" s="149" t="s">
        <v>96</v>
      </c>
      <c r="B6" s="149"/>
      <c r="C6" s="149"/>
      <c r="D6" s="149"/>
      <c r="E6" s="149"/>
      <c r="F6" s="149"/>
      <c r="G6" s="149"/>
      <c r="H6" s="8"/>
      <c r="I6" s="154" t="e">
        <f>(ROUND(AVERAGE(C8:G8)*100,0)&amp;"% | "&amp;ROUND(AVERAGE(C11:G11)*100,0)&amp;"% | "&amp;ROUND(C18*100,0)&amp;"%")</f>
        <v>#DIV/0!</v>
      </c>
      <c r="J6" s="155"/>
      <c r="K6" s="92">
        <f ca="1">TRUNC(Scenario5)+B13/G4</f>
        <v>0</v>
      </c>
      <c r="L6" s="94" t="s">
        <v>53</v>
      </c>
      <c r="M6" s="48"/>
    </row>
    <row r="7" spans="1:13">
      <c r="A7" s="7"/>
      <c r="B7" s="7" t="s">
        <v>2</v>
      </c>
      <c r="C7" s="40">
        <v>1</v>
      </c>
      <c r="D7" s="40">
        <v>2</v>
      </c>
      <c r="E7" s="40">
        <v>3</v>
      </c>
      <c r="F7" s="40">
        <v>4</v>
      </c>
      <c r="G7" s="40">
        <v>5</v>
      </c>
      <c r="I7" s="154" t="e">
        <f>(ROUND(AVERAGE(C8:G8)*100,0)&amp;"% | "&amp;ROUND(AVERAGE(C11:G11)*100,0)&amp;"% | "&amp;ROUND(C17*100,0)&amp;"%")</f>
        <v>#DIV/0!</v>
      </c>
      <c r="J7" s="155"/>
      <c r="K7" s="92">
        <f ca="1">TRUNC(Scenario6)+B13/G4</f>
        <v>0</v>
      </c>
      <c r="L7" s="96" t="s">
        <v>53</v>
      </c>
    </row>
    <row r="8" spans="1:13">
      <c r="A8" s="152" t="s">
        <v>5</v>
      </c>
      <c r="B8" s="22" t="s">
        <v>3</v>
      </c>
      <c r="C8" s="23"/>
      <c r="D8" s="23"/>
      <c r="E8" s="23"/>
      <c r="F8" s="23"/>
      <c r="G8" s="23"/>
      <c r="I8" s="154" t="e">
        <f>(ROUND(AVERAGE(C8:G8)*100,0)&amp;"% | "&amp;ROUND(AVERAGE(C10:G10)*100,0)&amp;"% | "&amp;ROUND(C18*100,0)&amp;"%")</f>
        <v>#DIV/0!</v>
      </c>
      <c r="J8" s="155"/>
      <c r="K8" s="92">
        <f ca="1">TRUNC(Scenario7)+B13/G4</f>
        <v>0</v>
      </c>
      <c r="L8" s="96" t="s">
        <v>53</v>
      </c>
    </row>
    <row r="9" spans="1:13">
      <c r="A9" s="153"/>
      <c r="B9" s="14" t="s">
        <v>4</v>
      </c>
      <c r="C9" s="24"/>
      <c r="D9" s="24"/>
      <c r="E9" s="24"/>
      <c r="F9" s="24"/>
      <c r="G9" s="24"/>
      <c r="I9" s="156" t="e">
        <f>(ROUND(AVERAGE(C8:G8)*100,0)&amp;"% | "&amp;ROUND(AVERAGE(C10:G10)*100,0)&amp;"% | "&amp;ROUND(C17*100,0)&amp;"%")</f>
        <v>#DIV/0!</v>
      </c>
      <c r="J9" s="157"/>
      <c r="K9" s="93">
        <f ca="1">TRUNC(Scenario8)+B13/G4</f>
        <v>0</v>
      </c>
      <c r="L9" s="97" t="s">
        <v>53</v>
      </c>
    </row>
    <row r="10" spans="1:13">
      <c r="A10" s="150" t="s">
        <v>124</v>
      </c>
      <c r="B10" s="22" t="s">
        <v>3</v>
      </c>
      <c r="C10" s="138"/>
      <c r="D10" s="138"/>
      <c r="E10" s="138"/>
      <c r="F10" s="138"/>
      <c r="G10" s="138"/>
    </row>
    <row r="11" spans="1:13">
      <c r="A11" s="151"/>
      <c r="B11" s="14" t="s">
        <v>4</v>
      </c>
      <c r="C11" s="139"/>
      <c r="D11" s="139"/>
      <c r="E11" s="139"/>
      <c r="F11" s="139"/>
      <c r="G11" s="139"/>
      <c r="I11" s="160" t="str">
        <f>A2&amp;" ("&amp;B2&amp;")"</f>
        <v>NXP Semiconductor (NXPI)</v>
      </c>
      <c r="J11" s="161"/>
      <c r="K11" s="161"/>
      <c r="L11" s="162"/>
    </row>
    <row r="12" spans="1:13">
      <c r="A12" s="1" t="s">
        <v>62</v>
      </c>
      <c r="B12" s="14"/>
      <c r="C12" s="25"/>
      <c r="D12" s="25"/>
      <c r="E12" s="25"/>
      <c r="F12" s="25"/>
      <c r="G12" s="25"/>
      <c r="I12" s="140" t="str">
        <f ca="1">"$"&amp;ROUND(F21/G4,0)&amp;" Scenario"</f>
        <v>$0 Scenario</v>
      </c>
      <c r="J12" s="141"/>
      <c r="K12" s="141"/>
      <c r="L12" s="142"/>
    </row>
    <row r="13" spans="1:13">
      <c r="A13" s="67" t="s">
        <v>10</v>
      </c>
      <c r="B13" s="26">
        <v>0</v>
      </c>
      <c r="I13" s="73" t="s">
        <v>16</v>
      </c>
      <c r="K13" s="74"/>
      <c r="L13" s="65" t="s">
        <v>4</v>
      </c>
    </row>
    <row r="14" spans="1:13">
      <c r="B14" s="2"/>
      <c r="I14" s="71" t="s">
        <v>17</v>
      </c>
      <c r="K14" s="72"/>
      <c r="L14" s="65" t="s">
        <v>3</v>
      </c>
    </row>
    <row r="15" spans="1:13" ht="15.75" thickBot="1">
      <c r="A15" s="149" t="s">
        <v>97</v>
      </c>
      <c r="B15" s="149"/>
      <c r="C15" s="149"/>
      <c r="D15" s="3"/>
      <c r="E15" s="149" t="s">
        <v>98</v>
      </c>
      <c r="F15" s="149"/>
      <c r="G15" s="149"/>
      <c r="I15" s="75" t="s">
        <v>118</v>
      </c>
      <c r="J15" s="76"/>
      <c r="K15" s="76"/>
      <c r="L15" s="66" t="s">
        <v>4</v>
      </c>
    </row>
    <row r="16" spans="1:13">
      <c r="A16" s="67" t="s">
        <v>11</v>
      </c>
      <c r="B16" s="27">
        <v>5</v>
      </c>
      <c r="C16" t="s">
        <v>12</v>
      </c>
      <c r="E16" s="28" t="s">
        <v>14</v>
      </c>
      <c r="G16" s="32">
        <v>2.5000000000000001E-2</v>
      </c>
      <c r="I16" s="49" t="s">
        <v>117</v>
      </c>
      <c r="K16" s="3"/>
      <c r="L16" s="57">
        <f>(F26/G3)^0.2-1</f>
        <v>0</v>
      </c>
    </row>
    <row r="17" spans="1:12">
      <c r="A17" s="147" t="s">
        <v>59</v>
      </c>
      <c r="B17" s="21" t="s">
        <v>3</v>
      </c>
      <c r="C17" s="23">
        <v>7.0000000000000007E-2</v>
      </c>
      <c r="D17" s="37">
        <f>IF(C17=B$4,C17-0.0001,C17)</f>
        <v>7.0000000000000007E-2</v>
      </c>
      <c r="E17" s="28" t="s">
        <v>15</v>
      </c>
      <c r="G17" s="32">
        <v>2.5000000000000001E-2</v>
      </c>
      <c r="I17" s="71" t="s">
        <v>116</v>
      </c>
      <c r="K17" s="72"/>
      <c r="L17" s="54">
        <f>SUM(B29:F29)/SUM(B26:F26)</f>
        <v>0</v>
      </c>
    </row>
    <row r="18" spans="1:12">
      <c r="A18" s="148"/>
      <c r="B18" s="15" t="s">
        <v>4</v>
      </c>
      <c r="C18" s="24">
        <v>-0.05</v>
      </c>
      <c r="D18" s="37">
        <f>IF(C18=B$4,C18-0.0001,C18)</f>
        <v>-0.05</v>
      </c>
      <c r="G18" s="11"/>
      <c r="I18" s="75" t="s">
        <v>119</v>
      </c>
      <c r="K18" s="28"/>
      <c r="L18" s="56">
        <f ca="1">(F21/G4)/G2-1</f>
        <v>-1</v>
      </c>
    </row>
    <row r="19" spans="1:12">
      <c r="C19" s="3"/>
      <c r="D19" s="3"/>
      <c r="E19" s="3"/>
      <c r="F19" s="3"/>
      <c r="J19" s="55"/>
      <c r="K19" s="55"/>
      <c r="L19" s="55"/>
    </row>
    <row r="20" spans="1:12" ht="15.75" thickBot="1">
      <c r="A20" s="59" t="s">
        <v>7</v>
      </c>
      <c r="B20" s="64" t="s">
        <v>92</v>
      </c>
      <c r="C20" s="64" t="s">
        <v>93</v>
      </c>
      <c r="D20" s="64" t="s">
        <v>94</v>
      </c>
      <c r="E20" s="64" t="s">
        <v>95</v>
      </c>
      <c r="F20" s="64" t="s">
        <v>8</v>
      </c>
      <c r="I20" s="143" t="s">
        <v>123</v>
      </c>
      <c r="J20" s="144"/>
      <c r="K20" s="144"/>
      <c r="L20" s="145"/>
    </row>
    <row r="21" spans="1:12">
      <c r="A21" s="16" t="s">
        <v>13</v>
      </c>
      <c r="B21" s="17">
        <f ca="1">SUM(B43:F43)</f>
        <v>0</v>
      </c>
      <c r="C21" s="17">
        <f ca="1">B54*F43</f>
        <v>0</v>
      </c>
      <c r="D21" s="17">
        <f ca="1">B51*B50</f>
        <v>0</v>
      </c>
      <c r="E21" s="17">
        <f>B13</f>
        <v>0</v>
      </c>
      <c r="F21" s="17">
        <f ca="1">B21+C21+D21+E21</f>
        <v>0</v>
      </c>
      <c r="I21" s="101"/>
      <c r="J21" s="102"/>
      <c r="K21" s="69" t="s">
        <v>120</v>
      </c>
      <c r="L21" s="70" t="s">
        <v>121</v>
      </c>
    </row>
    <row r="22" spans="1:12">
      <c r="A22" s="16" t="s">
        <v>9</v>
      </c>
      <c r="B22" s="60" t="str">
        <f ca="1">IFERROR(B21/$F21,"")</f>
        <v/>
      </c>
      <c r="C22" s="60" t="str">
        <f ca="1">IFERROR(C21/$F21,"")</f>
        <v/>
      </c>
      <c r="D22" s="60" t="str">
        <f ca="1">IFERROR(D21/$F21,"")</f>
        <v/>
      </c>
      <c r="E22" s="60" t="str">
        <f ca="1">IFERROR(E21/$F21,"")</f>
        <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43100</v>
      </c>
      <c r="C25" s="33">
        <f t="shared" ref="C25:F25" si="0">DATE(YEAR($B$3)+C24,MONTH($B$3),DAY($B$3))</f>
        <v>43465</v>
      </c>
      <c r="D25" s="33">
        <f t="shared" si="0"/>
        <v>43830</v>
      </c>
      <c r="E25" s="33">
        <f t="shared" si="0"/>
        <v>44196</v>
      </c>
      <c r="F25" s="33">
        <f t="shared" si="0"/>
        <v>44561</v>
      </c>
      <c r="I25" s="9" t="s">
        <v>57</v>
      </c>
      <c r="L25" s="9">
        <v>26.29</v>
      </c>
    </row>
    <row r="26" spans="1:12" hidden="1">
      <c r="A26" t="s">
        <v>37</v>
      </c>
      <c r="B26" s="30">
        <f>(CHOOSE($B36,C8,C9)+1)*G3</f>
        <v>9498</v>
      </c>
      <c r="C26" s="30">
        <f>(CHOOSE($B36,D8,D9)+1)*B26</f>
        <v>9498</v>
      </c>
      <c r="D26" s="30">
        <f>(CHOOSE($B36,E8,E9)+1)*C26</f>
        <v>9498</v>
      </c>
      <c r="E26" s="30">
        <f>(CHOOSE($B36,F8,F9)+1)*D26</f>
        <v>9498</v>
      </c>
      <c r="F26" s="30">
        <f>(CHOOSE($B36,G8,G9)+1)*E26</f>
        <v>9498</v>
      </c>
    </row>
    <row r="27" spans="1:12" hidden="1">
      <c r="A27" t="s">
        <v>71</v>
      </c>
      <c r="B27" s="58">
        <f>CHOOSE($B37,C10,C11)*B26</f>
        <v>0</v>
      </c>
      <c r="C27" s="5">
        <f>CHOOSE($B37,D10,D11)*C26</f>
        <v>0</v>
      </c>
      <c r="D27" s="5">
        <f>CHOOSE($B37,E10,E11)*D26</f>
        <v>0</v>
      </c>
      <c r="E27" s="5">
        <f>CHOOSE($B37,F10,F11)*E26</f>
        <v>0</v>
      </c>
      <c r="F27" s="5">
        <f>CHOOSE($B37,G10,G11)*F26</f>
        <v>0</v>
      </c>
    </row>
    <row r="28" spans="1:12" hidden="1">
      <c r="A28" t="s">
        <v>72</v>
      </c>
      <c r="B28" s="58">
        <f>-C12*B27</f>
        <v>0</v>
      </c>
      <c r="C28" s="58">
        <f t="shared" ref="C28:E28" si="1">-D12*C27</f>
        <v>0</v>
      </c>
      <c r="D28" s="58">
        <f t="shared" si="1"/>
        <v>0</v>
      </c>
      <c r="E28" s="58">
        <f t="shared" si="1"/>
        <v>0</v>
      </c>
      <c r="F28" s="58">
        <f>-G12*F27</f>
        <v>0</v>
      </c>
    </row>
    <row r="29" spans="1:12" ht="15.75" hidden="1" thickBot="1">
      <c r="A29" t="s">
        <v>73</v>
      </c>
      <c r="B29" s="4">
        <f>B27+B28</f>
        <v>0</v>
      </c>
      <c r="C29" s="4">
        <f>C27+C28</f>
        <v>0</v>
      </c>
      <c r="D29" s="4">
        <f>D27+D28</f>
        <v>0</v>
      </c>
      <c r="E29" s="4">
        <f>E27+E28</f>
        <v>0</v>
      </c>
      <c r="F29" s="4">
        <f>F27+F28</f>
        <v>0</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6" t="s">
        <v>35</v>
      </c>
      <c r="B41" s="146"/>
      <c r="C41" s="146"/>
      <c r="D41" s="146"/>
      <c r="E41" s="146"/>
      <c r="F41" s="146"/>
    </row>
    <row r="42" spans="1:16" hidden="1">
      <c r="A42" t="s">
        <v>21</v>
      </c>
      <c r="B42" s="19">
        <f ca="1">B25-TODAY()</f>
        <v>130</v>
      </c>
      <c r="C42" s="19">
        <f ca="1">C25-TODAY()</f>
        <v>495</v>
      </c>
      <c r="D42" s="19">
        <f ca="1">D25-TODAY()</f>
        <v>860</v>
      </c>
      <c r="E42" s="19">
        <f ca="1">E25-TODAY()</f>
        <v>1226</v>
      </c>
      <c r="F42" s="19">
        <f ca="1">F25-TODAY()</f>
        <v>1591</v>
      </c>
      <c r="P42" s="38"/>
    </row>
    <row r="43" spans="1:16" hidden="1">
      <c r="A43" t="s">
        <v>22</v>
      </c>
      <c r="B43" s="17">
        <f ca="1">B29*EXP(-$B$4*B42/365.25)</f>
        <v>0</v>
      </c>
      <c r="C43" s="17">
        <f ca="1">C29*EXP(-$B$4*C42/365.25)</f>
        <v>0</v>
      </c>
      <c r="D43" s="17">
        <f ca="1">D29*EXP(-$B$4*D42/365.25)</f>
        <v>0</v>
      </c>
      <c r="E43" s="17">
        <f ca="1">E29*EXP(-$B$4*E42/365.25)</f>
        <v>0</v>
      </c>
      <c r="F43" s="17">
        <f ca="1">F29*EXP(-$B$4*F42/365.25)</f>
        <v>0</v>
      </c>
      <c r="O43" s="39"/>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3417</v>
      </c>
      <c r="C48" s="34"/>
    </row>
    <row r="49" spans="1:7" hidden="1">
      <c r="A49" s="6" t="s">
        <v>24</v>
      </c>
      <c r="B49" s="17">
        <f>F29*EXP(CHOOSE(B38,C17,C18)*B16)</f>
        <v>0</v>
      </c>
    </row>
    <row r="50" spans="1:7" hidden="1">
      <c r="A50" s="6" t="s">
        <v>29</v>
      </c>
      <c r="B50" s="17">
        <f ca="1">B49*EXP(-B4*B48/365.25)</f>
        <v>0</v>
      </c>
    </row>
    <row r="51" spans="1:7" hidden="1">
      <c r="A51" s="6" t="s">
        <v>31</v>
      </c>
      <c r="B51" s="17">
        <f>(1+SUM(G16,G17))/(B4-SUM(G16,G17))</f>
        <v>21</v>
      </c>
    </row>
    <row r="52" spans="1:7" hidden="1">
      <c r="A52" s="6" t="s">
        <v>32</v>
      </c>
      <c r="B52" s="18">
        <f>(1+CHOOSE(B38,D17,D18))/(B4-(CHOOSE(B38,D17,D18)))</f>
        <v>6.3333333333333321</v>
      </c>
      <c r="F52" s="38"/>
    </row>
    <row r="53" spans="1:7" hidden="1">
      <c r="A53" s="6" t="s">
        <v>33</v>
      </c>
      <c r="B53" s="38">
        <f>1-(((1+CHOOSE(B38,D17,D18))/(1+B4))^B16)</f>
        <v>0.51954291652954687</v>
      </c>
      <c r="F53" s="39"/>
    </row>
    <row r="54" spans="1:7" hidden="1">
      <c r="A54" s="6" t="s">
        <v>30</v>
      </c>
      <c r="B54" s="36">
        <f>B52*B53</f>
        <v>3.2904384713537964</v>
      </c>
    </row>
    <row r="55" spans="1:7" hidden="1"/>
    <row r="56" spans="1:7" hidden="1"/>
    <row r="57" spans="1:7" hidden="1">
      <c r="A57" s="41" t="s">
        <v>36</v>
      </c>
    </row>
    <row r="58" spans="1:7" hidden="1">
      <c r="A58" t="s">
        <v>37</v>
      </c>
      <c r="B58" s="18">
        <f>$G$3*(1+C$9)</f>
        <v>9498</v>
      </c>
      <c r="C58" s="18">
        <f>B58*(1+D$9)</f>
        <v>9498</v>
      </c>
      <c r="D58" s="18">
        <f>C58*(1+E$9)</f>
        <v>9498</v>
      </c>
      <c r="E58" s="18">
        <f>D58*(1+F$9)</f>
        <v>9498</v>
      </c>
      <c r="F58" s="18">
        <f>E58*(1+G$9)</f>
        <v>9498</v>
      </c>
    </row>
    <row r="59" spans="1:7" hidden="1">
      <c r="A59" t="s">
        <v>38</v>
      </c>
      <c r="B59" s="18">
        <f>B58*C$11</f>
        <v>0</v>
      </c>
      <c r="C59" s="18">
        <f>C58*D$11</f>
        <v>0</v>
      </c>
      <c r="D59" s="18">
        <f>D58*E$11</f>
        <v>0</v>
      </c>
      <c r="E59" s="18">
        <f>E58*F$11</f>
        <v>0</v>
      </c>
      <c r="F59" s="18">
        <f>F58*G$11</f>
        <v>0</v>
      </c>
    </row>
    <row r="60" spans="1:7" hidden="1">
      <c r="B60" s="20">
        <f>B59/B58</f>
        <v>0</v>
      </c>
      <c r="C60" s="20">
        <f>C59/C58</f>
        <v>0</v>
      </c>
      <c r="D60" s="20">
        <f>D59/D58</f>
        <v>0</v>
      </c>
      <c r="E60" s="20">
        <f>E59/E58</f>
        <v>0</v>
      </c>
      <c r="F60" s="20">
        <f>F59/F58</f>
        <v>0</v>
      </c>
    </row>
    <row r="61" spans="1:7" hidden="1">
      <c r="A61" t="s">
        <v>39</v>
      </c>
      <c r="B61" s="38">
        <f t="shared" ref="B61:E61" si="2">B59-(C$12*B59)</f>
        <v>0</v>
      </c>
      <c r="C61" s="38">
        <f t="shared" si="2"/>
        <v>0</v>
      </c>
      <c r="D61" s="38">
        <f t="shared" si="2"/>
        <v>0</v>
      </c>
      <c r="E61" s="38">
        <f t="shared" si="2"/>
        <v>0</v>
      </c>
      <c r="F61" s="38">
        <f>F59-(G$12*F59)</f>
        <v>0</v>
      </c>
    </row>
    <row r="62" spans="1:7" hidden="1">
      <c r="A62" t="s">
        <v>42</v>
      </c>
      <c r="B62" s="18">
        <f ca="1">B61*EXP(-$B$4*B$42/365.25)</f>
        <v>0</v>
      </c>
      <c r="C62" s="18">
        <f ca="1">C61*EXP(-$B$4*C$42/365.25)</f>
        <v>0</v>
      </c>
      <c r="D62" s="18">
        <f ca="1">D61*EXP(-$B$4*D$42/365.25)</f>
        <v>0</v>
      </c>
      <c r="E62" s="18">
        <f ca="1">E61*EXP(-$B$4*E$42/365.25)</f>
        <v>0</v>
      </c>
      <c r="F62" s="18">
        <f ca="1">F61*EXP(-$B$4*F$42/365.25)</f>
        <v>0</v>
      </c>
      <c r="G62" s="18">
        <f ca="1">SUM(B62:F62)</f>
        <v>0</v>
      </c>
    </row>
    <row r="63" spans="1:7" hidden="1">
      <c r="A63" t="s">
        <v>41</v>
      </c>
      <c r="F63" s="38">
        <f>((1+$D$18)/($B$4-$D$18)*(1-(((1+$D$18)/(1+$B$4))^$B$16)))</f>
        <v>3.2904384713537964</v>
      </c>
      <c r="G63" s="18">
        <f ca="1">F63*F62</f>
        <v>0</v>
      </c>
    </row>
    <row r="64" spans="1:7" hidden="1">
      <c r="A64" t="s">
        <v>40</v>
      </c>
      <c r="B64" s="38"/>
      <c r="F64" s="18">
        <f>F61*EXP($C$18*$B$16)</f>
        <v>0</v>
      </c>
    </row>
    <row r="65" spans="1:7" hidden="1">
      <c r="A65" t="s">
        <v>43</v>
      </c>
      <c r="F65" s="18">
        <f ca="1">F64*EXP(-$B$4*B$48/365.25)</f>
        <v>0</v>
      </c>
      <c r="G65" s="42">
        <f ca="1">F65*B$51</f>
        <v>0</v>
      </c>
    </row>
    <row r="66" spans="1:7" hidden="1">
      <c r="A66" t="s">
        <v>44</v>
      </c>
      <c r="G66" s="18">
        <f ca="1">SUM(G62:G63,G65)</f>
        <v>0</v>
      </c>
    </row>
    <row r="67" spans="1:7" hidden="1">
      <c r="A67" t="s">
        <v>25</v>
      </c>
      <c r="G67" s="43">
        <f ca="1">G66/$G$4</f>
        <v>0</v>
      </c>
    </row>
    <row r="68" spans="1:7" hidden="1">
      <c r="G68" s="38"/>
    </row>
    <row r="69" spans="1:7" hidden="1">
      <c r="A69" s="41" t="s">
        <v>45</v>
      </c>
    </row>
    <row r="70" spans="1:7" hidden="1">
      <c r="A70" t="s">
        <v>37</v>
      </c>
      <c r="B70" s="18">
        <f>$G$3*(1+C$9)</f>
        <v>9498</v>
      </c>
      <c r="C70" s="18">
        <f>B70*(1+D$9)</f>
        <v>9498</v>
      </c>
      <c r="D70" s="18">
        <f>C70*(1+E$9)</f>
        <v>9498</v>
      </c>
      <c r="E70" s="18">
        <f>D70*(1+F$9)</f>
        <v>9498</v>
      </c>
      <c r="F70" s="18">
        <f>E70*(1+G$9)</f>
        <v>9498</v>
      </c>
    </row>
    <row r="71" spans="1:7" hidden="1">
      <c r="A71" t="s">
        <v>38</v>
      </c>
      <c r="B71" s="18">
        <f>B70*C$11</f>
        <v>0</v>
      </c>
      <c r="C71" s="18">
        <f>C70*D$11</f>
        <v>0</v>
      </c>
      <c r="D71" s="18">
        <f>D70*E$11</f>
        <v>0</v>
      </c>
      <c r="E71" s="18">
        <f>E70*F$11</f>
        <v>0</v>
      </c>
      <c r="F71" s="18">
        <f>F70*G$11</f>
        <v>0</v>
      </c>
    </row>
    <row r="72" spans="1:7" hidden="1">
      <c r="A72" t="s">
        <v>39</v>
      </c>
      <c r="B72" s="38">
        <f t="shared" ref="B72:E72" si="3">B71-(C$12*B71)</f>
        <v>0</v>
      </c>
      <c r="C72" s="38">
        <f t="shared" si="3"/>
        <v>0</v>
      </c>
      <c r="D72" s="38">
        <f t="shared" si="3"/>
        <v>0</v>
      </c>
      <c r="E72" s="38">
        <f t="shared" si="3"/>
        <v>0</v>
      </c>
      <c r="F72" s="38">
        <f>F71-(G$12*F71)</f>
        <v>0</v>
      </c>
    </row>
    <row r="73" spans="1:7" hidden="1">
      <c r="A73" t="s">
        <v>42</v>
      </c>
      <c r="B73" s="18">
        <f ca="1">B72*EXP(-$B$4*B$42/365.25)</f>
        <v>0</v>
      </c>
      <c r="C73" s="18">
        <f ca="1">C72*EXP(-$B$4*C$42/365.25)</f>
        <v>0</v>
      </c>
      <c r="D73" s="18">
        <f ca="1">D72*EXP(-$B$4*D$42/365.25)</f>
        <v>0</v>
      </c>
      <c r="E73" s="18">
        <f ca="1">E72*EXP(-$B$4*E$42/365.25)</f>
        <v>0</v>
      </c>
      <c r="F73" s="18">
        <f ca="1">F72*EXP(-$B$4*F$42/365.25)</f>
        <v>0</v>
      </c>
      <c r="G73" s="18">
        <f ca="1">SUM(B73:F73)</f>
        <v>0</v>
      </c>
    </row>
    <row r="74" spans="1:7" hidden="1">
      <c r="A74" t="s">
        <v>41</v>
      </c>
      <c r="F74" s="38">
        <f>((1+$D$17)/($B$4-$D$17)*(1-(((1+$D$17)/(1+$B$4))^$B$16)))</f>
        <v>4.6054841458295943</v>
      </c>
      <c r="G74" s="18">
        <f ca="1">F74*F73</f>
        <v>0</v>
      </c>
    </row>
    <row r="75" spans="1:7" hidden="1">
      <c r="A75" t="s">
        <v>40</v>
      </c>
      <c r="B75" s="38"/>
      <c r="F75" s="18">
        <f>F72*EXP($C$17*$B$16)</f>
        <v>0</v>
      </c>
    </row>
    <row r="76" spans="1:7" hidden="1">
      <c r="A76" t="s">
        <v>43</v>
      </c>
      <c r="F76" s="18">
        <f ca="1">F75*EXP(-$B$4*B$48/365.25)</f>
        <v>0</v>
      </c>
      <c r="G76" s="42">
        <f ca="1">F76*B$51</f>
        <v>0</v>
      </c>
    </row>
    <row r="77" spans="1:7" hidden="1">
      <c r="A77" t="s">
        <v>44</v>
      </c>
      <c r="G77" s="18">
        <f ca="1">SUM(G73:G74,G76)</f>
        <v>0</v>
      </c>
    </row>
    <row r="78" spans="1:7" hidden="1">
      <c r="A78" t="s">
        <v>25</v>
      </c>
      <c r="G78" s="43">
        <f ca="1">G77/$G$4</f>
        <v>0</v>
      </c>
    </row>
    <row r="79" spans="1:7" hidden="1"/>
    <row r="80" spans="1:7" hidden="1">
      <c r="A80" s="41" t="s">
        <v>46</v>
      </c>
    </row>
    <row r="81" spans="1:7" hidden="1">
      <c r="A81" t="s">
        <v>37</v>
      </c>
      <c r="B81" s="18">
        <f>$G$3*(1+C$9)</f>
        <v>9498</v>
      </c>
      <c r="C81" s="18">
        <f>B81*(1+D$9)</f>
        <v>9498</v>
      </c>
      <c r="D81" s="18">
        <f>C81*(1+E$9)</f>
        <v>9498</v>
      </c>
      <c r="E81" s="18">
        <f>D81*(1+F$9)</f>
        <v>9498</v>
      </c>
      <c r="F81" s="18">
        <f>E81*(1+G$9)</f>
        <v>9498</v>
      </c>
    </row>
    <row r="82" spans="1:7" hidden="1">
      <c r="A82" t="s">
        <v>38</v>
      </c>
      <c r="B82" s="18">
        <f>B81*C$10</f>
        <v>0</v>
      </c>
      <c r="C82" s="18">
        <f>C81*D$10</f>
        <v>0</v>
      </c>
      <c r="D82" s="18">
        <f>D81*E$10</f>
        <v>0</v>
      </c>
      <c r="E82" s="18">
        <f>E81*F$10</f>
        <v>0</v>
      </c>
      <c r="F82" s="18">
        <f>F81*G$10</f>
        <v>0</v>
      </c>
    </row>
    <row r="83" spans="1:7" hidden="1">
      <c r="A83" t="s">
        <v>39</v>
      </c>
      <c r="B83" s="38">
        <f>B82-(C$12*B82)</f>
        <v>0</v>
      </c>
      <c r="C83" s="38">
        <f t="shared" ref="C83:F83" si="4">C82-(D$12*C82)</f>
        <v>0</v>
      </c>
      <c r="D83" s="38">
        <f t="shared" si="4"/>
        <v>0</v>
      </c>
      <c r="E83" s="38">
        <f t="shared" si="4"/>
        <v>0</v>
      </c>
      <c r="F83" s="38">
        <f t="shared" si="4"/>
        <v>0</v>
      </c>
    </row>
    <row r="84" spans="1:7" hidden="1">
      <c r="A84" t="s">
        <v>42</v>
      </c>
      <c r="B84" s="18">
        <f ca="1">B83*EXP(-$B$4*B$42/365.25)</f>
        <v>0</v>
      </c>
      <c r="C84" s="18">
        <f ca="1">C83*EXP(-$B$4*C$42/365.25)</f>
        <v>0</v>
      </c>
      <c r="D84" s="18">
        <f ca="1">D83*EXP(-$B$4*D$42/365.25)</f>
        <v>0</v>
      </c>
      <c r="E84" s="18">
        <f ca="1">E83*EXP(-$B$4*E$42/365.25)</f>
        <v>0</v>
      </c>
      <c r="F84" s="18">
        <f ca="1">F83*EXP(-$B$4*F$42/365.25)</f>
        <v>0</v>
      </c>
      <c r="G84" s="18">
        <f ca="1">SUM(B84:F84)</f>
        <v>0</v>
      </c>
    </row>
    <row r="85" spans="1:7" hidden="1">
      <c r="A85" t="s">
        <v>41</v>
      </c>
      <c r="F85" s="38">
        <f>((1+$D$18)/($B$4-$D$18)*(1-(((1+$D$18)/(1+$B$4))^$B$16)))</f>
        <v>3.2904384713537964</v>
      </c>
      <c r="G85" s="18">
        <f ca="1">F85*F84</f>
        <v>0</v>
      </c>
    </row>
    <row r="86" spans="1:7" hidden="1">
      <c r="A86" t="s">
        <v>40</v>
      </c>
      <c r="B86" s="38"/>
      <c r="F86" s="18">
        <f>F83*EXP($C$18*$B$16)</f>
        <v>0</v>
      </c>
    </row>
    <row r="87" spans="1:7" hidden="1">
      <c r="A87" t="s">
        <v>43</v>
      </c>
      <c r="F87" s="18">
        <f ca="1">F86*EXP(-$B$4*B$48/365.25)</f>
        <v>0</v>
      </c>
      <c r="G87" s="42">
        <f ca="1">F87*B$51</f>
        <v>0</v>
      </c>
    </row>
    <row r="88" spans="1:7" hidden="1">
      <c r="A88" t="s">
        <v>44</v>
      </c>
      <c r="G88" s="18">
        <f ca="1">SUM(G84:G85,G87)</f>
        <v>0</v>
      </c>
    </row>
    <row r="89" spans="1:7" hidden="1">
      <c r="A89" t="s">
        <v>25</v>
      </c>
      <c r="G89" s="43">
        <f ca="1">G88/$G$4</f>
        <v>0</v>
      </c>
    </row>
    <row r="90" spans="1:7" hidden="1"/>
    <row r="91" spans="1:7" hidden="1">
      <c r="A91" s="41" t="s">
        <v>47</v>
      </c>
    </row>
    <row r="92" spans="1:7" hidden="1">
      <c r="A92" t="s">
        <v>37</v>
      </c>
      <c r="B92" s="18">
        <f>$G$3*(1+C$9)</f>
        <v>9498</v>
      </c>
      <c r="C92" s="18">
        <f>B92*(1+D$9)</f>
        <v>9498</v>
      </c>
      <c r="D92" s="18">
        <f>C92*(1+E$9)</f>
        <v>9498</v>
      </c>
      <c r="E92" s="18">
        <f>D92*(1+F$9)</f>
        <v>9498</v>
      </c>
      <c r="F92" s="18">
        <f>E92*(1+G$9)</f>
        <v>9498</v>
      </c>
    </row>
    <row r="93" spans="1:7" hidden="1">
      <c r="A93" t="s">
        <v>38</v>
      </c>
      <c r="B93" s="18">
        <f>B92*C$10</f>
        <v>0</v>
      </c>
      <c r="C93" s="18">
        <f>C92*D$10</f>
        <v>0</v>
      </c>
      <c r="D93" s="18">
        <f>D92*E$10</f>
        <v>0</v>
      </c>
      <c r="E93" s="18">
        <f>E92*F$10</f>
        <v>0</v>
      </c>
      <c r="F93" s="18">
        <f>F92*G$10</f>
        <v>0</v>
      </c>
    </row>
    <row r="94" spans="1:7" hidden="1">
      <c r="A94" t="s">
        <v>39</v>
      </c>
      <c r="B94" s="38">
        <f>B93-(C$12*B93)</f>
        <v>0</v>
      </c>
      <c r="C94" s="38">
        <f t="shared" ref="C94" si="5">C93-(D$12*C93)</f>
        <v>0</v>
      </c>
      <c r="D94" s="38">
        <f t="shared" ref="D94" si="6">D93-(E$12*D93)</f>
        <v>0</v>
      </c>
      <c r="E94" s="38">
        <f t="shared" ref="E94" si="7">E93-(F$12*E93)</f>
        <v>0</v>
      </c>
      <c r="F94" s="38">
        <f t="shared" ref="F94" si="8">F93-(G$12*F93)</f>
        <v>0</v>
      </c>
    </row>
    <row r="95" spans="1:7" hidden="1">
      <c r="A95" t="s">
        <v>42</v>
      </c>
      <c r="B95" s="18">
        <f ca="1">B94*EXP(-$B$4*B$42/365.25)</f>
        <v>0</v>
      </c>
      <c r="C95" s="18">
        <f ca="1">C94*EXP(-$B$4*C$42/365.25)</f>
        <v>0</v>
      </c>
      <c r="D95" s="18">
        <f ca="1">D94*EXP(-$B$4*D$42/365.25)</f>
        <v>0</v>
      </c>
      <c r="E95" s="18">
        <f ca="1">E94*EXP(-$B$4*E$42/365.25)</f>
        <v>0</v>
      </c>
      <c r="F95" s="18">
        <f ca="1">F94*EXP(-$B$4*F$42/365.25)</f>
        <v>0</v>
      </c>
      <c r="G95" s="18">
        <f ca="1">SUM(B95:F95)</f>
        <v>0</v>
      </c>
    </row>
    <row r="96" spans="1:7" hidden="1">
      <c r="A96" t="s">
        <v>41</v>
      </c>
      <c r="F96" s="38">
        <f>((1+$D$17)/($B$4-$D$17)*(1-(((1+$D$17)/(1+$B$4))^$B$16)))</f>
        <v>4.6054841458295943</v>
      </c>
      <c r="G96" s="18">
        <f ca="1">F96*F95</f>
        <v>0</v>
      </c>
    </row>
    <row r="97" spans="1:7" hidden="1">
      <c r="A97" t="s">
        <v>40</v>
      </c>
      <c r="B97" s="38"/>
      <c r="F97" s="18">
        <f>F94*EXP($C$17*$B$16)</f>
        <v>0</v>
      </c>
    </row>
    <row r="98" spans="1:7" hidden="1">
      <c r="A98" t="s">
        <v>43</v>
      </c>
      <c r="F98" s="18">
        <f ca="1">F97*EXP(-$B$4*B$48/365.25)</f>
        <v>0</v>
      </c>
      <c r="G98" s="42">
        <f ca="1">F98*B$51</f>
        <v>0</v>
      </c>
    </row>
    <row r="99" spans="1:7" hidden="1">
      <c r="A99" t="s">
        <v>44</v>
      </c>
      <c r="G99" s="18">
        <f ca="1">SUM(G95:G96,G98)</f>
        <v>0</v>
      </c>
    </row>
    <row r="100" spans="1:7" hidden="1">
      <c r="A100" t="s">
        <v>25</v>
      </c>
      <c r="G100" s="43">
        <f ca="1">G99/$G$4</f>
        <v>0</v>
      </c>
    </row>
    <row r="101" spans="1:7" hidden="1"/>
    <row r="102" spans="1:7" hidden="1">
      <c r="A102" s="41" t="s">
        <v>48</v>
      </c>
    </row>
    <row r="103" spans="1:7" hidden="1">
      <c r="A103" t="s">
        <v>37</v>
      </c>
      <c r="B103" s="18">
        <f>$G$3*(1+C$8)</f>
        <v>9498</v>
      </c>
      <c r="C103" s="18">
        <f>B103*(1+D$8)</f>
        <v>9498</v>
      </c>
      <c r="D103" s="18">
        <f>C103*(1+E$8)</f>
        <v>9498</v>
      </c>
      <c r="E103" s="18">
        <f>D103*(1+F$8)</f>
        <v>9498</v>
      </c>
      <c r="F103" s="18">
        <f>E103*(1+G$8)</f>
        <v>9498</v>
      </c>
    </row>
    <row r="104" spans="1:7" hidden="1">
      <c r="A104" t="s">
        <v>38</v>
      </c>
      <c r="B104" s="18">
        <f>B103*C$11</f>
        <v>0</v>
      </c>
      <c r="C104" s="18">
        <f>C103*D$11</f>
        <v>0</v>
      </c>
      <c r="D104" s="18">
        <f>D103*E$11</f>
        <v>0</v>
      </c>
      <c r="E104" s="18">
        <f>E103*F$11</f>
        <v>0</v>
      </c>
      <c r="F104" s="18">
        <f>F103*G$11</f>
        <v>0</v>
      </c>
    </row>
    <row r="105" spans="1:7" hidden="1">
      <c r="A105" t="s">
        <v>39</v>
      </c>
      <c r="B105" s="38">
        <f>B104-(C$12*B104)</f>
        <v>0</v>
      </c>
      <c r="C105" s="38">
        <f t="shared" ref="C105" si="9">C104-(D$12*C104)</f>
        <v>0</v>
      </c>
      <c r="D105" s="38">
        <f t="shared" ref="D105" si="10">D104-(E$12*D104)</f>
        <v>0</v>
      </c>
      <c r="E105" s="38">
        <f t="shared" ref="E105" si="11">E104-(F$12*E104)</f>
        <v>0</v>
      </c>
      <c r="F105" s="38">
        <f t="shared" ref="F105" si="12">F104-(G$12*F104)</f>
        <v>0</v>
      </c>
    </row>
    <row r="106" spans="1:7" hidden="1">
      <c r="A106" t="s">
        <v>42</v>
      </c>
      <c r="B106" s="18">
        <f ca="1">B105*EXP(-$B$4*B$42/365.25)</f>
        <v>0</v>
      </c>
      <c r="C106" s="18">
        <f ca="1">C105*EXP(-$B$4*C$42/365.25)</f>
        <v>0</v>
      </c>
      <c r="D106" s="18">
        <f ca="1">D105*EXP(-$B$4*D$42/365.25)</f>
        <v>0</v>
      </c>
      <c r="E106" s="18">
        <f ca="1">E105*EXP(-$B$4*E$42/365.25)</f>
        <v>0</v>
      </c>
      <c r="F106" s="18">
        <f ca="1">F105*EXP(-$B$4*F$42/365.25)</f>
        <v>0</v>
      </c>
      <c r="G106" s="18">
        <f ca="1">SUM(B106:F106)</f>
        <v>0</v>
      </c>
    </row>
    <row r="107" spans="1:7" hidden="1">
      <c r="A107" t="s">
        <v>41</v>
      </c>
      <c r="F107" s="38">
        <f>((1+$D$18)/($B$4-$D$18)*(1-(((1+$D$18)/(1+$B$4))^$B$16)))</f>
        <v>3.2904384713537964</v>
      </c>
      <c r="G107" s="18">
        <f ca="1">F107*F106</f>
        <v>0</v>
      </c>
    </row>
    <row r="108" spans="1:7" hidden="1">
      <c r="A108" t="s">
        <v>40</v>
      </c>
      <c r="B108" s="38"/>
      <c r="F108" s="18">
        <f>F105*EXP($C$18*$B$16)</f>
        <v>0</v>
      </c>
    </row>
    <row r="109" spans="1:7" hidden="1">
      <c r="A109" t="s">
        <v>43</v>
      </c>
      <c r="F109" s="18">
        <f ca="1">F108*EXP(-$B$4*B$48/365.25)</f>
        <v>0</v>
      </c>
      <c r="G109" s="42">
        <f ca="1">F109*B$51</f>
        <v>0</v>
      </c>
    </row>
    <row r="110" spans="1:7" hidden="1">
      <c r="A110" t="s">
        <v>44</v>
      </c>
      <c r="G110" s="18">
        <f ca="1">SUM(G106:G107,G109)</f>
        <v>0</v>
      </c>
    </row>
    <row r="111" spans="1:7" hidden="1">
      <c r="A111" t="s">
        <v>25</v>
      </c>
      <c r="G111" s="43">
        <f ca="1">G110/$G$4</f>
        <v>0</v>
      </c>
    </row>
    <row r="112" spans="1:7" hidden="1"/>
    <row r="113" spans="1:7" hidden="1">
      <c r="A113" s="41" t="s">
        <v>49</v>
      </c>
    </row>
    <row r="114" spans="1:7" hidden="1">
      <c r="A114" t="s">
        <v>37</v>
      </c>
      <c r="B114" s="18">
        <f>$G$3*(1+C$8)</f>
        <v>9498</v>
      </c>
      <c r="C114" s="18">
        <f>B114*(1+D$8)</f>
        <v>9498</v>
      </c>
      <c r="D114" s="18">
        <f>C114*(1+E$8)</f>
        <v>9498</v>
      </c>
      <c r="E114" s="18">
        <f>D114*(1+F$8)</f>
        <v>9498</v>
      </c>
      <c r="F114" s="18">
        <f>E114*(1+G$8)</f>
        <v>9498</v>
      </c>
    </row>
    <row r="115" spans="1:7" hidden="1">
      <c r="A115" t="s">
        <v>38</v>
      </c>
      <c r="B115" s="18">
        <f>B114*C$11</f>
        <v>0</v>
      </c>
      <c r="C115" s="18">
        <f>C114*D$11</f>
        <v>0</v>
      </c>
      <c r="D115" s="18">
        <f>D114*E$11</f>
        <v>0</v>
      </c>
      <c r="E115" s="18">
        <f>E114*F$11</f>
        <v>0</v>
      </c>
      <c r="F115" s="18">
        <f>F114*G$11</f>
        <v>0</v>
      </c>
    </row>
    <row r="116" spans="1:7" hidden="1">
      <c r="A116" t="s">
        <v>39</v>
      </c>
      <c r="B116" s="38">
        <f>B115-(C$12*B115)</f>
        <v>0</v>
      </c>
      <c r="C116" s="38">
        <f t="shared" ref="C116" si="13">C115-(D$12*C115)</f>
        <v>0</v>
      </c>
      <c r="D116" s="38">
        <f t="shared" ref="D116" si="14">D115-(E$12*D115)</f>
        <v>0</v>
      </c>
      <c r="E116" s="38">
        <f t="shared" ref="E116" si="15">E115-(F$12*E115)</f>
        <v>0</v>
      </c>
      <c r="F116" s="38">
        <f t="shared" ref="F116" si="16">F115-(G$12*F115)</f>
        <v>0</v>
      </c>
    </row>
    <row r="117" spans="1:7" hidden="1">
      <c r="A117" t="s">
        <v>42</v>
      </c>
      <c r="B117" s="18">
        <f ca="1">B116*EXP(-$B$4*B$42/365.25)</f>
        <v>0</v>
      </c>
      <c r="C117" s="18">
        <f ca="1">C116*EXP(-$B$4*C$42/365.25)</f>
        <v>0</v>
      </c>
      <c r="D117" s="18">
        <f ca="1">D116*EXP(-$B$4*D$42/365.25)</f>
        <v>0</v>
      </c>
      <c r="E117" s="18">
        <f ca="1">E116*EXP(-$B$4*E$42/365.25)</f>
        <v>0</v>
      </c>
      <c r="F117" s="18">
        <f ca="1">F116*EXP(-$B$4*F$42/365.25)</f>
        <v>0</v>
      </c>
      <c r="G117" s="18">
        <f ca="1">SUM(B117:F117)</f>
        <v>0</v>
      </c>
    </row>
    <row r="118" spans="1:7" hidden="1">
      <c r="A118" t="s">
        <v>41</v>
      </c>
      <c r="F118" s="38">
        <f>((1+$D$17)/($B$4-$D$17)*(1-(((1+$D$17)/(1+$B$4))^$B$16)))</f>
        <v>4.6054841458295943</v>
      </c>
      <c r="G118" s="18">
        <f ca="1">F118*F117</f>
        <v>0</v>
      </c>
    </row>
    <row r="119" spans="1:7" hidden="1">
      <c r="A119" t="s">
        <v>40</v>
      </c>
      <c r="B119" s="38"/>
      <c r="F119" s="18">
        <f>F116*EXP($C$17*$B$16)</f>
        <v>0</v>
      </c>
    </row>
    <row r="120" spans="1:7" hidden="1">
      <c r="A120" t="s">
        <v>43</v>
      </c>
      <c r="F120" s="18">
        <f ca="1">F119*EXP(-$B$4*B$48/365.25)</f>
        <v>0</v>
      </c>
      <c r="G120" s="42">
        <f ca="1">F120*B$51</f>
        <v>0</v>
      </c>
    </row>
    <row r="121" spans="1:7" hidden="1">
      <c r="A121" t="s">
        <v>44</v>
      </c>
      <c r="G121" s="18">
        <f ca="1">SUM(G117:G118,G120)</f>
        <v>0</v>
      </c>
    </row>
    <row r="122" spans="1:7" hidden="1">
      <c r="A122" t="s">
        <v>25</v>
      </c>
      <c r="G122" s="43">
        <f ca="1">G121/$G$4</f>
        <v>0</v>
      </c>
    </row>
    <row r="123" spans="1:7" hidden="1"/>
    <row r="124" spans="1:7" hidden="1">
      <c r="A124" s="41" t="s">
        <v>50</v>
      </c>
    </row>
    <row r="125" spans="1:7" hidden="1">
      <c r="A125" t="s">
        <v>37</v>
      </c>
      <c r="B125" s="18">
        <f>$G$3*(1+C$8)</f>
        <v>9498</v>
      </c>
      <c r="C125" s="18">
        <f>B125*(1+D$8)</f>
        <v>9498</v>
      </c>
      <c r="D125" s="18">
        <f>C125*(1+E$8)</f>
        <v>9498</v>
      </c>
      <c r="E125" s="18">
        <f>D125*(1+F$8)</f>
        <v>9498</v>
      </c>
      <c r="F125" s="18">
        <f>E125*(1+G$8)</f>
        <v>9498</v>
      </c>
    </row>
    <row r="126" spans="1:7" hidden="1">
      <c r="A126" t="s">
        <v>38</v>
      </c>
      <c r="B126" s="18">
        <f>B125*C$10</f>
        <v>0</v>
      </c>
      <c r="C126" s="18">
        <f>C125*D$10</f>
        <v>0</v>
      </c>
      <c r="D126" s="18">
        <f>D125*E$10</f>
        <v>0</v>
      </c>
      <c r="E126" s="18">
        <f>E125*F$10</f>
        <v>0</v>
      </c>
      <c r="F126" s="18">
        <f>F125*G$10</f>
        <v>0</v>
      </c>
    </row>
    <row r="127" spans="1:7" hidden="1">
      <c r="A127" t="s">
        <v>39</v>
      </c>
      <c r="B127" s="38">
        <f>B126-(C$12*B126)</f>
        <v>0</v>
      </c>
      <c r="C127" s="38">
        <f t="shared" ref="C127" si="17">C126-(D$12*C126)</f>
        <v>0</v>
      </c>
      <c r="D127" s="38">
        <f t="shared" ref="D127" si="18">D126-(E$12*D126)</f>
        <v>0</v>
      </c>
      <c r="E127" s="38">
        <f t="shared" ref="E127" si="19">E126-(F$12*E126)</f>
        <v>0</v>
      </c>
      <c r="F127" s="38">
        <f t="shared" ref="F127" si="20">F126-(G$12*F126)</f>
        <v>0</v>
      </c>
    </row>
    <row r="128" spans="1:7" hidden="1">
      <c r="A128" t="s">
        <v>42</v>
      </c>
      <c r="B128" s="18">
        <f ca="1">B127*EXP(-$B$4*B$42/365.25)</f>
        <v>0</v>
      </c>
      <c r="C128" s="18">
        <f ca="1">C127*EXP(-$B$4*C$42/365.25)</f>
        <v>0</v>
      </c>
      <c r="D128" s="18">
        <f ca="1">D127*EXP(-$B$4*D$42/365.25)</f>
        <v>0</v>
      </c>
      <c r="E128" s="18">
        <f ca="1">E127*EXP(-$B$4*E$42/365.25)</f>
        <v>0</v>
      </c>
      <c r="F128" s="18">
        <f ca="1">F127*EXP(-$B$4*F$42/365.25)</f>
        <v>0</v>
      </c>
      <c r="G128" s="18">
        <f ca="1">SUM(B128:F128)</f>
        <v>0</v>
      </c>
    </row>
    <row r="129" spans="1:11" hidden="1">
      <c r="A129" t="s">
        <v>41</v>
      </c>
      <c r="F129" s="38">
        <f>((1+$D$18)/($B$4-$D$18)*(1-(((1+$D$18)/(1+$B$4))^$B$16)))</f>
        <v>3.2904384713537964</v>
      </c>
      <c r="G129" s="18">
        <f ca="1">F129*F128</f>
        <v>0</v>
      </c>
    </row>
    <row r="130" spans="1:11" hidden="1">
      <c r="A130" t="s">
        <v>40</v>
      </c>
      <c r="B130" s="38"/>
      <c r="F130" s="18">
        <f>F127*EXP($C$18*$B$16)</f>
        <v>0</v>
      </c>
    </row>
    <row r="131" spans="1:11" hidden="1">
      <c r="A131" t="s">
        <v>43</v>
      </c>
      <c r="F131" s="18">
        <f ca="1">F130*EXP(-$B$4*B$48/365.25)</f>
        <v>0</v>
      </c>
      <c r="G131" s="42">
        <f ca="1">F131*B$51</f>
        <v>0</v>
      </c>
    </row>
    <row r="132" spans="1:11" hidden="1">
      <c r="A132" t="s">
        <v>44</v>
      </c>
      <c r="G132" s="18">
        <f ca="1">SUM(G128:G129,G131)</f>
        <v>0</v>
      </c>
    </row>
    <row r="133" spans="1:11" hidden="1">
      <c r="A133" t="s">
        <v>25</v>
      </c>
      <c r="G133" s="43">
        <f ca="1">G132/$G$4</f>
        <v>0</v>
      </c>
    </row>
    <row r="134" spans="1:11" hidden="1"/>
    <row r="135" spans="1:11" hidden="1">
      <c r="A135" s="41" t="s">
        <v>49</v>
      </c>
    </row>
    <row r="136" spans="1:11" hidden="1">
      <c r="A136" t="s">
        <v>37</v>
      </c>
      <c r="B136" s="18">
        <f>$G$3*(1+C$8)</f>
        <v>9498</v>
      </c>
      <c r="C136" s="18">
        <f>B136*(1+D$8)</f>
        <v>9498</v>
      </c>
      <c r="D136" s="18">
        <f>C136*(1+E$8)</f>
        <v>9498</v>
      </c>
      <c r="E136" s="18">
        <f>D136*(1+F$8)</f>
        <v>9498</v>
      </c>
      <c r="F136" s="18">
        <f>E136*(1+G$8)</f>
        <v>9498</v>
      </c>
    </row>
    <row r="137" spans="1:11" hidden="1">
      <c r="A137" t="s">
        <v>38</v>
      </c>
      <c r="B137" s="18">
        <f>B136*C$10</f>
        <v>0</v>
      </c>
      <c r="C137" s="18">
        <f>C136*D$10</f>
        <v>0</v>
      </c>
      <c r="D137" s="18">
        <f>D136*E$10</f>
        <v>0</v>
      </c>
      <c r="E137" s="18">
        <f>E136*F$10</f>
        <v>0</v>
      </c>
      <c r="F137" s="18">
        <f>F136*G$10</f>
        <v>0</v>
      </c>
    </row>
    <row r="138" spans="1:11" hidden="1">
      <c r="A138" t="s">
        <v>39</v>
      </c>
      <c r="B138" s="38">
        <f>B137-(C$12*B137)</f>
        <v>0</v>
      </c>
      <c r="C138" s="38">
        <f t="shared" ref="C138" si="21">C137-(D$12*C137)</f>
        <v>0</v>
      </c>
      <c r="D138" s="38">
        <f t="shared" ref="D138" si="22">D137-(E$12*D137)</f>
        <v>0</v>
      </c>
      <c r="E138" s="38">
        <f t="shared" ref="E138" si="23">E137-(F$12*E137)</f>
        <v>0</v>
      </c>
      <c r="F138" s="38">
        <f t="shared" ref="F138" si="24">F137-(G$12*F137)</f>
        <v>0</v>
      </c>
    </row>
    <row r="139" spans="1:11" hidden="1">
      <c r="A139" t="s">
        <v>42</v>
      </c>
      <c r="B139" s="18">
        <f ca="1">B138*EXP(-$B$4*B$42/365.25)</f>
        <v>0</v>
      </c>
      <c r="C139" s="18">
        <f ca="1">C138*EXP(-$B$4*C$42/365.25)</f>
        <v>0</v>
      </c>
      <c r="D139" s="18">
        <f ca="1">D138*EXP(-$B$4*D$42/365.25)</f>
        <v>0</v>
      </c>
      <c r="E139" s="18">
        <f ca="1">E138*EXP(-$B$4*E$42/365.25)</f>
        <v>0</v>
      </c>
      <c r="F139" s="18">
        <f ca="1">F138*EXP(-$B$4*F$42/365.25)</f>
        <v>0</v>
      </c>
      <c r="G139" s="18">
        <f ca="1">SUM(B139:F139)</f>
        <v>0</v>
      </c>
      <c r="H139" s="18"/>
      <c r="I139" s="18"/>
      <c r="J139" s="18"/>
      <c r="K139" s="18"/>
    </row>
    <row r="140" spans="1:11" hidden="1">
      <c r="A140" t="s">
        <v>41</v>
      </c>
      <c r="F140" s="38">
        <f>((1+$D$17)/($B$4-$D$17)*(1-(((1+$D$17)/(1+$B$4))^$B$16)))</f>
        <v>4.6054841458295943</v>
      </c>
      <c r="G140" s="18">
        <f ca="1">F140*F139</f>
        <v>0</v>
      </c>
    </row>
    <row r="141" spans="1:11" hidden="1">
      <c r="A141" t="s">
        <v>40</v>
      </c>
      <c r="B141" s="38"/>
      <c r="F141" s="18">
        <f>F138*EXP($C$17*$B$16)</f>
        <v>0</v>
      </c>
    </row>
    <row r="142" spans="1:11" hidden="1">
      <c r="A142" t="s">
        <v>43</v>
      </c>
      <c r="F142" s="18">
        <f ca="1">F141*EXP(-$B$4*B$48/365.25)</f>
        <v>0</v>
      </c>
      <c r="G142" s="42">
        <f ca="1">F142*B$51</f>
        <v>0</v>
      </c>
    </row>
    <row r="143" spans="1:11" hidden="1">
      <c r="A143" t="s">
        <v>44</v>
      </c>
      <c r="G143" s="18">
        <f ca="1">SUM(G139:G140,G142)</f>
        <v>0</v>
      </c>
    </row>
    <row r="144" spans="1:11" hidden="1">
      <c r="A144" t="s">
        <v>25</v>
      </c>
      <c r="G144" s="43">
        <f ca="1">G143/$G$4</f>
        <v>0</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120" zoomScaleNormal="120" workbookViewId="0">
      <selection activeCell="F22" sqref="F22"/>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39447</v>
      </c>
      <c r="C2" s="106">
        <f>DATE(YEAR('Valuation Model'!$B3)+C1,MONTH('Valuation Model'!$B3),DAY('Valuation Model'!$B3))</f>
        <v>39813</v>
      </c>
      <c r="D2" s="106">
        <f>DATE(YEAR('Valuation Model'!$B3)+D1,MONTH('Valuation Model'!$B3),DAY('Valuation Model'!$B3))</f>
        <v>40178</v>
      </c>
      <c r="E2" s="106">
        <f>DATE(YEAR('Valuation Model'!$B3)+E1,MONTH('Valuation Model'!$B3),DAY('Valuation Model'!$B3))</f>
        <v>40543</v>
      </c>
      <c r="F2" s="106">
        <f>DATE(YEAR('Valuation Model'!$B3)+F1,MONTH('Valuation Model'!$B3),DAY('Valuation Model'!$B3))</f>
        <v>40908</v>
      </c>
      <c r="G2" s="106">
        <f>DATE(YEAR('Valuation Model'!$B3)+G1,MONTH('Valuation Model'!$B3),DAY('Valuation Model'!$B3))</f>
        <v>41274</v>
      </c>
      <c r="H2" s="106">
        <f>DATE(YEAR('Valuation Model'!$B3)+H1,MONTH('Valuation Model'!$B3),DAY('Valuation Model'!$B3))</f>
        <v>41639</v>
      </c>
      <c r="I2" s="106">
        <f>DATE(YEAR('Valuation Model'!$B3)+I1,MONTH('Valuation Model'!$B3),DAY('Valuation Model'!$B3))</f>
        <v>42004</v>
      </c>
      <c r="J2" s="106">
        <f>DATE(YEAR('Valuation Model'!$B3)+J1,MONTH('Valuation Model'!$B3),DAY('Valuation Model'!$B3))</f>
        <v>42369</v>
      </c>
      <c r="K2" s="106">
        <f>DATE(YEAR('Valuation Model'!$B3)+K1,MONTH('Valuation Model'!$B3),DAY('Valuation Model'!$B3))</f>
        <v>42735</v>
      </c>
    </row>
    <row r="3" spans="1:11">
      <c r="A3" s="1" t="s">
        <v>37</v>
      </c>
      <c r="B3" s="107"/>
      <c r="C3" s="107"/>
      <c r="D3" s="107"/>
      <c r="E3" s="107">
        <v>4402</v>
      </c>
      <c r="F3" s="107">
        <v>4194</v>
      </c>
      <c r="G3" s="107">
        <v>4358</v>
      </c>
      <c r="H3" s="107">
        <v>4815</v>
      </c>
      <c r="I3" s="107">
        <v>5647</v>
      </c>
      <c r="J3" s="107">
        <v>6101</v>
      </c>
      <c r="K3" s="107">
        <v>9498</v>
      </c>
    </row>
    <row r="4" spans="1:11">
      <c r="A4" s="108" t="s">
        <v>131</v>
      </c>
      <c r="B4" s="108"/>
      <c r="C4" s="109" t="str">
        <f t="shared" ref="C4:F4" si="0">IFERROR(C3/B3-1,"")</f>
        <v/>
      </c>
      <c r="D4" s="109" t="str">
        <f t="shared" si="0"/>
        <v/>
      </c>
      <c r="E4" s="109" t="str">
        <f t="shared" si="0"/>
        <v/>
      </c>
      <c r="F4" s="109">
        <f t="shared" si="0"/>
        <v>-4.725124943207637E-2</v>
      </c>
      <c r="G4" s="109">
        <f>IFERROR(G3/F3-1,"")</f>
        <v>3.91034811635671E-2</v>
      </c>
      <c r="H4" s="109">
        <f t="shared" ref="H4:K4" si="1">IFERROR(H3/G3-1,"")</f>
        <v>0.10486461679669579</v>
      </c>
      <c r="I4" s="109">
        <f t="shared" si="1"/>
        <v>0.17279335410176522</v>
      </c>
      <c r="J4" s="109">
        <f t="shared" si="1"/>
        <v>8.0396670798654091E-2</v>
      </c>
      <c r="K4" s="109">
        <f t="shared" si="1"/>
        <v>0.55679396820193405</v>
      </c>
    </row>
    <row r="5" spans="1:11">
      <c r="A5" s="108" t="s">
        <v>132</v>
      </c>
      <c r="B5" s="108"/>
      <c r="C5" s="108"/>
      <c r="D5" s="108"/>
      <c r="E5" s="109" t="str">
        <f>IFERROR(SUM(C3:E3)/SUM(B3:D3)-1,"")</f>
        <v/>
      </c>
      <c r="F5" s="109">
        <f t="shared" ref="F5:K5" si="2">IFERROR(SUM(D3:F3)/SUM(C3:E3)-1,"")</f>
        <v>0.95274875056792374</v>
      </c>
      <c r="G5" s="109">
        <f t="shared" si="2"/>
        <v>0.50697999069334565</v>
      </c>
      <c r="H5" s="109">
        <f t="shared" si="2"/>
        <v>3.1882044156245071E-2</v>
      </c>
      <c r="I5" s="109">
        <f t="shared" si="2"/>
        <v>0.10870053115882405</v>
      </c>
      <c r="J5" s="109">
        <f t="shared" si="2"/>
        <v>0.11761133603238871</v>
      </c>
      <c r="K5" s="109">
        <f t="shared" si="2"/>
        <v>0.28273863430537949</v>
      </c>
    </row>
    <row r="6" spans="1:11">
      <c r="A6" s="108" t="s">
        <v>133</v>
      </c>
      <c r="B6" s="108"/>
      <c r="C6" s="108"/>
      <c r="D6" s="108"/>
      <c r="E6" s="108"/>
      <c r="F6" s="110"/>
      <c r="G6" s="109">
        <f>IFERROR(SUM(C3:G3)/SUM(B3:F3)-1,"")</f>
        <v>0.50697999069334565</v>
      </c>
      <c r="H6" s="109">
        <f t="shared" ref="H6:K6" si="3">IFERROR(SUM(D3:H3)/SUM(C3:G3)-1,"")</f>
        <v>0.37169986104678099</v>
      </c>
      <c r="I6" s="109">
        <f t="shared" si="3"/>
        <v>0.31780066407788854</v>
      </c>
      <c r="J6" s="109">
        <f t="shared" si="3"/>
        <v>7.2557225828493443E-2</v>
      </c>
      <c r="K6" s="109">
        <f t="shared" si="3"/>
        <v>0.21118853274935301</v>
      </c>
    </row>
    <row r="8" spans="1:11" s="9" customFormat="1" ht="15.75" thickBot="1">
      <c r="A8" s="59" t="s">
        <v>134</v>
      </c>
      <c r="B8" s="111">
        <f t="shared" ref="B8:J8" si="4">B2</f>
        <v>39447</v>
      </c>
      <c r="C8" s="111">
        <f t="shared" si="4"/>
        <v>39813</v>
      </c>
      <c r="D8" s="111">
        <f t="shared" si="4"/>
        <v>40178</v>
      </c>
      <c r="E8" s="111">
        <f t="shared" si="4"/>
        <v>40543</v>
      </c>
      <c r="F8" s="111">
        <f t="shared" si="4"/>
        <v>40908</v>
      </c>
      <c r="G8" s="111">
        <f t="shared" si="4"/>
        <v>41274</v>
      </c>
      <c r="H8" s="111">
        <f t="shared" si="4"/>
        <v>41639</v>
      </c>
      <c r="I8" s="111">
        <f t="shared" si="4"/>
        <v>42004</v>
      </c>
      <c r="J8" s="111">
        <f t="shared" si="4"/>
        <v>42369</v>
      </c>
      <c r="K8" s="111">
        <f>K2</f>
        <v>42735</v>
      </c>
    </row>
    <row r="9" spans="1:11">
      <c r="A9" s="112" t="s">
        <v>135</v>
      </c>
      <c r="B9" s="113"/>
      <c r="C9" s="113"/>
      <c r="D9" s="113"/>
      <c r="E9" s="113">
        <v>361</v>
      </c>
      <c r="F9" s="113">
        <v>175</v>
      </c>
      <c r="G9" s="113">
        <v>722</v>
      </c>
      <c r="H9" s="113">
        <v>891</v>
      </c>
      <c r="I9" s="113">
        <v>1468</v>
      </c>
      <c r="J9" s="113">
        <v>1330</v>
      </c>
      <c r="K9" s="113">
        <v>2303</v>
      </c>
    </row>
    <row r="10" spans="1:11">
      <c r="A10" s="114" t="s">
        <v>136</v>
      </c>
      <c r="B10" s="113"/>
      <c r="C10" s="113"/>
      <c r="D10" s="113"/>
      <c r="E10" s="113">
        <v>-684</v>
      </c>
      <c r="F10" s="113">
        <v>-591</v>
      </c>
      <c r="G10" s="113">
        <v>-533</v>
      </c>
      <c r="H10" s="113">
        <v>-514</v>
      </c>
      <c r="I10" s="113">
        <v>-405</v>
      </c>
      <c r="J10" s="113">
        <v>-517</v>
      </c>
      <c r="K10" s="113">
        <v>-2205</v>
      </c>
    </row>
    <row r="11" spans="1:11">
      <c r="A11" s="115" t="s">
        <v>137</v>
      </c>
      <c r="B11" s="5">
        <f t="shared" ref="B11:K11" si="5">B9+B10</f>
        <v>0</v>
      </c>
      <c r="C11" s="5">
        <f t="shared" si="5"/>
        <v>0</v>
      </c>
      <c r="D11" s="5">
        <f t="shared" si="5"/>
        <v>0</v>
      </c>
      <c r="E11" s="5">
        <f t="shared" si="5"/>
        <v>-323</v>
      </c>
      <c r="F11" s="5">
        <f t="shared" si="5"/>
        <v>-416</v>
      </c>
      <c r="G11" s="5">
        <f t="shared" si="5"/>
        <v>189</v>
      </c>
      <c r="H11" s="5">
        <f t="shared" si="5"/>
        <v>377</v>
      </c>
      <c r="I11" s="5">
        <f t="shared" si="5"/>
        <v>1063</v>
      </c>
      <c r="J11" s="5">
        <f t="shared" si="5"/>
        <v>813</v>
      </c>
      <c r="K11" s="5">
        <f t="shared" si="5"/>
        <v>98</v>
      </c>
    </row>
    <row r="12" spans="1:11">
      <c r="A12" s="108" t="s">
        <v>127</v>
      </c>
      <c r="B12" s="109" t="str">
        <f t="shared" ref="B12:K12" si="6">IFERROR(B11/B$3,"")</f>
        <v/>
      </c>
      <c r="C12" s="109" t="str">
        <f t="shared" si="6"/>
        <v/>
      </c>
      <c r="D12" s="109" t="str">
        <f t="shared" si="6"/>
        <v/>
      </c>
      <c r="E12" s="109">
        <f t="shared" si="6"/>
        <v>-7.3375738300772375E-2</v>
      </c>
      <c r="F12" s="109">
        <f t="shared" si="6"/>
        <v>-9.918931807343824E-2</v>
      </c>
      <c r="G12" s="109">
        <f t="shared" si="6"/>
        <v>4.3368517668655349E-2</v>
      </c>
      <c r="H12" s="109">
        <f t="shared" si="6"/>
        <v>7.8296988577362406E-2</v>
      </c>
      <c r="I12" s="109">
        <f t="shared" si="6"/>
        <v>0.18824154418275191</v>
      </c>
      <c r="J12" s="109">
        <f t="shared" si="6"/>
        <v>0.13325684314046879</v>
      </c>
      <c r="K12" s="109">
        <f t="shared" si="6"/>
        <v>1.0317961676142346E-2</v>
      </c>
    </row>
    <row r="13" spans="1:11">
      <c r="A13" s="108" t="s">
        <v>138</v>
      </c>
      <c r="B13" s="108"/>
      <c r="C13" s="109" t="str">
        <f t="shared" ref="C13:F13" si="7">IFERROR(C11/B11-1,"")</f>
        <v/>
      </c>
      <c r="D13" s="109" t="str">
        <f t="shared" si="7"/>
        <v/>
      </c>
      <c r="E13" s="109" t="str">
        <f t="shared" si="7"/>
        <v/>
      </c>
      <c r="F13" s="109">
        <f t="shared" si="7"/>
        <v>0.28792569659442724</v>
      </c>
      <c r="G13" s="109">
        <f>IFERROR(G11/F11-1,"")</f>
        <v>-1.4543269230769231</v>
      </c>
      <c r="H13" s="109">
        <f t="shared" ref="H13:K13" si="8">IFERROR(H11/G11-1,"")</f>
        <v>0.99470899470899465</v>
      </c>
      <c r="I13" s="109">
        <f t="shared" si="8"/>
        <v>1.819628647214854</v>
      </c>
      <c r="J13" s="109">
        <f t="shared" si="8"/>
        <v>-0.23518344308560679</v>
      </c>
      <c r="K13" s="109">
        <f t="shared" si="8"/>
        <v>-0.87945879458794585</v>
      </c>
    </row>
    <row r="14" spans="1:11">
      <c r="A14" s="108" t="s">
        <v>139</v>
      </c>
      <c r="B14" s="108"/>
      <c r="C14" s="108"/>
      <c r="D14" s="108"/>
      <c r="E14" s="109" t="str">
        <f>IFERROR(SUM(C11:E11)/SUM(B11:D11)-1,"")</f>
        <v/>
      </c>
      <c r="F14" s="109">
        <f t="shared" ref="F14:K14" si="9">IFERROR(SUM(D11:F11)/SUM(C11:E11)-1,"")</f>
        <v>1.2879256965944275</v>
      </c>
      <c r="G14" s="109">
        <f t="shared" si="9"/>
        <v>-0.25575101488497975</v>
      </c>
      <c r="H14" s="109">
        <f t="shared" si="9"/>
        <v>-1.2727272727272727</v>
      </c>
      <c r="I14" s="109">
        <f t="shared" si="9"/>
        <v>9.86</v>
      </c>
      <c r="J14" s="109">
        <f t="shared" si="9"/>
        <v>0.38305709023941059</v>
      </c>
      <c r="K14" s="109">
        <f t="shared" si="9"/>
        <v>-0.12383488681757659</v>
      </c>
    </row>
    <row r="15" spans="1:11">
      <c r="A15" s="108" t="s">
        <v>133</v>
      </c>
      <c r="B15" s="108"/>
      <c r="C15" s="108"/>
      <c r="D15" s="108"/>
      <c r="E15" s="108"/>
      <c r="F15" s="109"/>
      <c r="G15" s="109">
        <f>IFERROR(SUM(C11:G11)/SUM(B11:F11)-1,"")</f>
        <v>-0.25575101488497975</v>
      </c>
      <c r="H15" s="109">
        <f t="shared" ref="H15:K15" si="10">IFERROR(SUM(D11:H11)/SUM(C11:G11)-1,"")</f>
        <v>-0.68545454545454543</v>
      </c>
      <c r="I15" s="109">
        <f t="shared" si="10"/>
        <v>-6.1445086705202314</v>
      </c>
      <c r="J15" s="109">
        <f t="shared" si="10"/>
        <v>1.2764044943820223</v>
      </c>
      <c r="K15" s="109">
        <f t="shared" si="10"/>
        <v>0.25370187561697932</v>
      </c>
    </row>
    <row r="16" spans="1:11" s="9" customFormat="1">
      <c r="A16"/>
      <c r="B16"/>
      <c r="C16"/>
      <c r="D16"/>
      <c r="E16"/>
      <c r="F16"/>
      <c r="G16"/>
      <c r="H16"/>
      <c r="I16"/>
      <c r="J16"/>
      <c r="K16"/>
    </row>
    <row r="17" spans="1:16" s="9" customFormat="1" ht="15.75" thickBot="1">
      <c r="A17" s="59" t="s">
        <v>140</v>
      </c>
      <c r="B17" s="111">
        <f t="shared" ref="B17:J17" si="11">B2</f>
        <v>39447</v>
      </c>
      <c r="C17" s="111">
        <f t="shared" si="11"/>
        <v>39813</v>
      </c>
      <c r="D17" s="111">
        <f t="shared" si="11"/>
        <v>40178</v>
      </c>
      <c r="E17" s="111">
        <f t="shared" si="11"/>
        <v>40543</v>
      </c>
      <c r="F17" s="111">
        <f t="shared" si="11"/>
        <v>40908</v>
      </c>
      <c r="G17" s="111">
        <f t="shared" si="11"/>
        <v>41274</v>
      </c>
      <c r="H17" s="111">
        <f t="shared" si="11"/>
        <v>41639</v>
      </c>
      <c r="I17" s="111">
        <f t="shared" si="11"/>
        <v>42004</v>
      </c>
      <c r="J17" s="111">
        <f t="shared" si="11"/>
        <v>42369</v>
      </c>
      <c r="K17" s="111">
        <f>K2</f>
        <v>42735</v>
      </c>
    </row>
    <row r="18" spans="1:16">
      <c r="A18" s="112" t="s">
        <v>141</v>
      </c>
      <c r="B18" s="113"/>
      <c r="C18" s="113"/>
      <c r="D18" s="113"/>
      <c r="E18" s="113">
        <v>-265</v>
      </c>
      <c r="F18" s="113">
        <v>-231</v>
      </c>
      <c r="G18" s="113">
        <v>-280</v>
      </c>
      <c r="H18" s="113">
        <v>-250</v>
      </c>
      <c r="I18" s="113">
        <v>-365</v>
      </c>
      <c r="J18" s="113">
        <v>-353</v>
      </c>
      <c r="K18" s="113">
        <v>-448</v>
      </c>
    </row>
    <row r="19" spans="1:16" s="117" customFormat="1">
      <c r="A19" s="114" t="s">
        <v>178</v>
      </c>
      <c r="B19" s="116">
        <f t="shared" ref="B19:K19" si="12">B18-B10</f>
        <v>0</v>
      </c>
      <c r="C19" s="116">
        <f t="shared" si="12"/>
        <v>0</v>
      </c>
      <c r="D19" s="116">
        <f t="shared" si="12"/>
        <v>0</v>
      </c>
      <c r="E19" s="116">
        <f t="shared" si="12"/>
        <v>419</v>
      </c>
      <c r="F19" s="116">
        <f t="shared" si="12"/>
        <v>360</v>
      </c>
      <c r="G19" s="116">
        <f t="shared" si="12"/>
        <v>253</v>
      </c>
      <c r="H19" s="116">
        <f t="shared" si="12"/>
        <v>264</v>
      </c>
      <c r="I19" s="116">
        <f t="shared" si="12"/>
        <v>40</v>
      </c>
      <c r="J19" s="116">
        <f t="shared" si="12"/>
        <v>164</v>
      </c>
      <c r="K19" s="116">
        <f t="shared" si="12"/>
        <v>1757</v>
      </c>
    </row>
    <row r="20" spans="1:16" s="117" customFormat="1">
      <c r="A20" s="114" t="s">
        <v>142</v>
      </c>
      <c r="B20" s="113"/>
      <c r="C20" s="113"/>
      <c r="D20" s="113"/>
      <c r="E20" s="113">
        <v>-21</v>
      </c>
      <c r="F20" s="113">
        <v>26</v>
      </c>
      <c r="G20" s="113">
        <v>28</v>
      </c>
      <c r="H20" s="113">
        <v>9</v>
      </c>
      <c r="I20" s="113">
        <v>11</v>
      </c>
      <c r="J20" s="113">
        <v>1612</v>
      </c>
      <c r="K20" s="113">
        <v>21</v>
      </c>
    </row>
    <row r="21" spans="1:16" s="117" customFormat="1">
      <c r="A21" s="114" t="s">
        <v>143</v>
      </c>
      <c r="B21" s="113"/>
      <c r="C21" s="113"/>
      <c r="D21" s="113"/>
      <c r="E21" s="113">
        <v>-8</v>
      </c>
      <c r="F21" s="113">
        <v>0</v>
      </c>
      <c r="G21" s="113">
        <v>-2</v>
      </c>
      <c r="H21" s="113">
        <v>-1</v>
      </c>
      <c r="I21" s="113">
        <v>-8</v>
      </c>
      <c r="J21" s="113">
        <v>-1692</v>
      </c>
      <c r="K21" s="113">
        <v>-202</v>
      </c>
    </row>
    <row r="22" spans="1:16">
      <c r="A22" s="112" t="s">
        <v>144</v>
      </c>
      <c r="B22" s="113"/>
      <c r="C22" s="113"/>
      <c r="D22" s="113"/>
      <c r="E22" s="113"/>
      <c r="F22" s="113"/>
      <c r="G22" s="113"/>
      <c r="H22" s="113"/>
      <c r="I22" s="113"/>
      <c r="J22" s="113"/>
      <c r="K22" s="113"/>
    </row>
    <row r="23" spans="1:16">
      <c r="A23" s="112" t="s">
        <v>189</v>
      </c>
      <c r="B23" s="113"/>
      <c r="C23" s="113"/>
      <c r="D23" s="113"/>
      <c r="E23" s="113"/>
      <c r="F23" s="113"/>
      <c r="G23" s="113"/>
      <c r="H23" s="113"/>
      <c r="I23" s="113"/>
      <c r="J23" s="113"/>
      <c r="K23" s="113"/>
    </row>
    <row r="24" spans="1:16">
      <c r="A24" s="118" t="s">
        <v>145</v>
      </c>
      <c r="B24" s="119"/>
      <c r="C24" s="119"/>
      <c r="D24" s="119"/>
      <c r="E24" s="119">
        <v>13.692233009708742</v>
      </c>
      <c r="F24" s="119">
        <v>22.65503968253968</v>
      </c>
      <c r="G24" s="119">
        <v>23.329640000000005</v>
      </c>
      <c r="H24" s="119">
        <v>34.095595238095228</v>
      </c>
      <c r="I24" s="119">
        <v>62.831666666666699</v>
      </c>
      <c r="J24" s="119">
        <v>91.586031746031821</v>
      </c>
      <c r="K24" s="119">
        <v>86.199563492063504</v>
      </c>
    </row>
    <row r="25" spans="1:16">
      <c r="A25" s="120" t="s">
        <v>146</v>
      </c>
      <c r="B25" s="121"/>
      <c r="C25" s="121"/>
      <c r="D25" s="121"/>
      <c r="E25" s="121">
        <v>9</v>
      </c>
      <c r="F25" s="121">
        <f>1+1.774</f>
        <v>2.774</v>
      </c>
      <c r="G25" s="121">
        <v>2.4340000000000002</v>
      </c>
      <c r="H25" s="121">
        <v>9.6270000000000007</v>
      </c>
      <c r="I25" s="121">
        <v>8.2449999999999992</v>
      </c>
      <c r="J25" s="121">
        <f>5.008+109.751</f>
        <v>114.759</v>
      </c>
      <c r="K25" s="121">
        <v>8.9269999999999996</v>
      </c>
      <c r="M25" s="17"/>
      <c r="N25" s="18"/>
      <c r="O25" s="18"/>
      <c r="P25" s="18"/>
    </row>
    <row r="26" spans="1:16">
      <c r="A26" s="122" t="s">
        <v>147</v>
      </c>
      <c r="B26" s="123"/>
      <c r="C26" s="123"/>
      <c r="D26" s="123"/>
      <c r="E26" s="123">
        <v>439</v>
      </c>
      <c r="F26" s="123">
        <v>10</v>
      </c>
      <c r="G26" s="123">
        <v>14</v>
      </c>
      <c r="H26" s="123">
        <v>177</v>
      </c>
      <c r="I26" s="123">
        <v>145</v>
      </c>
      <c r="J26" s="123">
        <v>51</v>
      </c>
      <c r="K26" s="123">
        <v>115</v>
      </c>
    </row>
    <row r="27" spans="1:16">
      <c r="A27" s="112" t="s">
        <v>148</v>
      </c>
      <c r="B27" s="124">
        <f t="shared" ref="B27:E27" si="13">-B24*B25+B26</f>
        <v>0</v>
      </c>
      <c r="C27" s="124">
        <f t="shared" si="13"/>
        <v>0</v>
      </c>
      <c r="D27" s="124">
        <f t="shared" si="13"/>
        <v>0</v>
      </c>
      <c r="E27" s="124">
        <f t="shared" si="13"/>
        <v>315.76990291262132</v>
      </c>
      <c r="F27" s="124">
        <f>-F24*F25+F26</f>
        <v>-52.845080079365076</v>
      </c>
      <c r="G27" s="124">
        <f t="shared" ref="G27:K27" si="14">-G24*G25+G26</f>
        <v>-42.784343760000013</v>
      </c>
      <c r="H27" s="124">
        <f t="shared" si="14"/>
        <v>-151.23829535714276</v>
      </c>
      <c r="I27" s="124">
        <f t="shared" si="14"/>
        <v>-373.04709166666692</v>
      </c>
      <c r="J27" s="124">
        <f t="shared" si="14"/>
        <v>-10459.321417142866</v>
      </c>
      <c r="K27" s="124">
        <f t="shared" si="14"/>
        <v>-654.50350329365085</v>
      </c>
    </row>
    <row r="28" spans="1:16">
      <c r="A28" s="1" t="s">
        <v>149</v>
      </c>
      <c r="B28" s="5">
        <f>B19+B20+B21+B22+B23+B27</f>
        <v>0</v>
      </c>
      <c r="C28" s="5">
        <f t="shared" ref="C28:K28" si="15">C19+C20+C21+C22+C23+C27</f>
        <v>0</v>
      </c>
      <c r="D28" s="5">
        <f t="shared" si="15"/>
        <v>0</v>
      </c>
      <c r="E28" s="5">
        <f t="shared" si="15"/>
        <v>705.76990291262132</v>
      </c>
      <c r="F28" s="5">
        <f>F19+F20+F21+F22+F23+F27</f>
        <v>333.15491992063494</v>
      </c>
      <c r="G28" s="5">
        <f t="shared" si="15"/>
        <v>236.21565623999999</v>
      </c>
      <c r="H28" s="5">
        <f t="shared" si="15"/>
        <v>120.76170464285724</v>
      </c>
      <c r="I28" s="5">
        <f t="shared" si="15"/>
        <v>-330.04709166666692</v>
      </c>
      <c r="J28" s="5">
        <f t="shared" si="15"/>
        <v>-10375.321417142866</v>
      </c>
      <c r="K28" s="5">
        <f t="shared" si="15"/>
        <v>921.49649670634915</v>
      </c>
    </row>
    <row r="29" spans="1:16">
      <c r="A29" s="108" t="s">
        <v>150</v>
      </c>
      <c r="B29" s="109" t="str">
        <f t="shared" ref="B29:E29" si="16">IFERROR(-B28/B11,"")</f>
        <v/>
      </c>
      <c r="C29" s="109" t="str">
        <f t="shared" si="16"/>
        <v/>
      </c>
      <c r="D29" s="109" t="str">
        <f t="shared" si="16"/>
        <v/>
      </c>
      <c r="E29" s="109">
        <f t="shared" si="16"/>
        <v>2.1850461390483633</v>
      </c>
      <c r="F29" s="109">
        <f>IFERROR(-F28/F11,"")</f>
        <v>0.80085317288614166</v>
      </c>
      <c r="G29" s="109">
        <f t="shared" ref="G29:K29" si="17">IFERROR(-G28/G11,"")</f>
        <v>-1.249818286984127</v>
      </c>
      <c r="H29" s="109">
        <f t="shared" si="17"/>
        <v>-0.32032282398635875</v>
      </c>
      <c r="I29" s="109">
        <f t="shared" si="17"/>
        <v>0.31048644559423039</v>
      </c>
      <c r="J29" s="109">
        <f t="shared" si="17"/>
        <v>12.761772960815334</v>
      </c>
      <c r="K29" s="109">
        <f t="shared" si="17"/>
        <v>-9.4030254765953991</v>
      </c>
    </row>
    <row r="31" spans="1:16" s="9" customFormat="1" ht="15.75" thickBot="1">
      <c r="A31" s="59" t="s">
        <v>151</v>
      </c>
      <c r="B31" s="111">
        <f t="shared" ref="B31:J31" si="18">B2</f>
        <v>39447</v>
      </c>
      <c r="C31" s="111">
        <f t="shared" si="18"/>
        <v>39813</v>
      </c>
      <c r="D31" s="111">
        <f t="shared" si="18"/>
        <v>40178</v>
      </c>
      <c r="E31" s="111">
        <f t="shared" si="18"/>
        <v>40543</v>
      </c>
      <c r="F31" s="111">
        <f t="shared" si="18"/>
        <v>40908</v>
      </c>
      <c r="G31" s="111">
        <f t="shared" si="18"/>
        <v>41274</v>
      </c>
      <c r="H31" s="111">
        <f t="shared" si="18"/>
        <v>41639</v>
      </c>
      <c r="I31" s="111">
        <f t="shared" si="18"/>
        <v>42004</v>
      </c>
      <c r="J31" s="111">
        <f t="shared" si="18"/>
        <v>42369</v>
      </c>
      <c r="K31" s="111">
        <f>K2</f>
        <v>42735</v>
      </c>
    </row>
    <row r="32" spans="1:16" ht="15.75" thickBot="1">
      <c r="A32" s="125" t="s">
        <v>152</v>
      </c>
      <c r="B32" s="4">
        <f t="shared" ref="B32:K32" si="19">B11+B28</f>
        <v>0</v>
      </c>
      <c r="C32" s="4">
        <f t="shared" si="19"/>
        <v>0</v>
      </c>
      <c r="D32" s="4">
        <f t="shared" si="19"/>
        <v>0</v>
      </c>
      <c r="E32" s="4">
        <f t="shared" si="19"/>
        <v>382.76990291262132</v>
      </c>
      <c r="F32" s="4">
        <f t="shared" si="19"/>
        <v>-82.845080079365061</v>
      </c>
      <c r="G32" s="4">
        <f t="shared" si="19"/>
        <v>425.21565623999999</v>
      </c>
      <c r="H32" s="4">
        <f t="shared" si="19"/>
        <v>497.76170464285724</v>
      </c>
      <c r="I32" s="4">
        <f t="shared" si="19"/>
        <v>732.95290833333308</v>
      </c>
      <c r="J32" s="4">
        <f t="shared" si="19"/>
        <v>-9562.3214171428663</v>
      </c>
      <c r="K32" s="4">
        <f t="shared" si="19"/>
        <v>1019.4964967063491</v>
      </c>
    </row>
    <row r="33" spans="1:11" ht="15.75" thickTop="1">
      <c r="A33" s="108" t="s">
        <v>128</v>
      </c>
      <c r="B33" s="109" t="str">
        <f t="shared" ref="B33:K33" si="20">IFERROR(B32/B$3,"")</f>
        <v/>
      </c>
      <c r="C33" s="109" t="str">
        <f t="shared" si="20"/>
        <v/>
      </c>
      <c r="D33" s="109" t="str">
        <f t="shared" si="20"/>
        <v/>
      </c>
      <c r="E33" s="109">
        <f t="shared" si="20"/>
        <v>8.6953635373153412E-2</v>
      </c>
      <c r="F33" s="109">
        <f t="shared" si="20"/>
        <v>-1.9753237977912508E-2</v>
      </c>
      <c r="G33" s="109">
        <f t="shared" si="20"/>
        <v>9.7571284130335015E-2</v>
      </c>
      <c r="H33" s="109">
        <f t="shared" si="20"/>
        <v>0.1033773010680908</v>
      </c>
      <c r="I33" s="109">
        <f t="shared" si="20"/>
        <v>0.12979509621627999</v>
      </c>
      <c r="J33" s="109">
        <f t="shared" si="20"/>
        <v>-1.5673367344931759</v>
      </c>
      <c r="K33" s="109">
        <f t="shared" si="20"/>
        <v>0.1073380181834438</v>
      </c>
    </row>
    <row r="34" spans="1:11">
      <c r="A34" s="108" t="s">
        <v>138</v>
      </c>
      <c r="B34" s="108"/>
      <c r="C34" s="109" t="str">
        <f t="shared" ref="C34:F34" si="21">IFERROR(C32/B32-1,"")</f>
        <v/>
      </c>
      <c r="D34" s="109" t="str">
        <f t="shared" si="21"/>
        <v/>
      </c>
      <c r="E34" s="109" t="str">
        <f t="shared" si="21"/>
        <v/>
      </c>
      <c r="F34" s="109">
        <f t="shared" si="21"/>
        <v>-1.2164357214320398</v>
      </c>
      <c r="G34" s="109">
        <f>IFERROR(G32/F32-1,"")</f>
        <v>-6.1326603321844351</v>
      </c>
      <c r="H34" s="109">
        <f t="shared" ref="H34:K34" si="22">IFERROR(H32/G32-1,"")</f>
        <v>0.17061001244486373</v>
      </c>
      <c r="I34" s="109">
        <f t="shared" si="22"/>
        <v>0.472497585685554</v>
      </c>
      <c r="J34" s="109">
        <f t="shared" si="22"/>
        <v>-14.04629712007924</v>
      </c>
      <c r="K34" s="109">
        <f t="shared" si="22"/>
        <v>-1.1066160038166721</v>
      </c>
    </row>
    <row r="35" spans="1:11">
      <c r="A35" s="108" t="s">
        <v>139</v>
      </c>
      <c r="B35" s="108"/>
      <c r="C35" s="108"/>
      <c r="D35" s="108"/>
      <c r="E35" s="109" t="str">
        <f>IFERROR(SUM(C32:E32)/SUM(B32:D32)-1,"")</f>
        <v/>
      </c>
      <c r="F35" s="109">
        <f t="shared" ref="F35" si="23">IFERROR(SUM(D32:F32)/SUM(C32:E32)-1,"")</f>
        <v>-0.21643572143203993</v>
      </c>
      <c r="G35" s="109">
        <f t="shared" ref="G35:K35" si="24">IFERROR(SUM(E32:G32)/SUM(D32:F32)-1,"")</f>
        <v>1.4177407932533796</v>
      </c>
      <c r="H35" s="109">
        <f t="shared" si="24"/>
        <v>0.15857865482450761</v>
      </c>
      <c r="I35" s="109">
        <f t="shared" si="24"/>
        <v>0.97103516559615954</v>
      </c>
      <c r="J35" s="109">
        <f t="shared" si="24"/>
        <v>-6.0313753900460538</v>
      </c>
      <c r="K35" s="109">
        <f t="shared" si="24"/>
        <v>-6.262114911646699E-2</v>
      </c>
    </row>
    <row r="36" spans="1:11">
      <c r="A36" s="108" t="s">
        <v>133</v>
      </c>
      <c r="B36" s="108"/>
      <c r="C36" s="108"/>
      <c r="D36" s="108"/>
      <c r="E36" s="108"/>
      <c r="F36" s="109"/>
      <c r="G36" s="109">
        <f>IFERROR(SUM(C32:G32)/SUM(B32:F32)-1,"")</f>
        <v>1.4177407932533796</v>
      </c>
      <c r="H36" s="109">
        <f t="shared" ref="H36" si="25">IFERROR(SUM(D32:H32)/SUM(C32:G32)-1,"")</f>
        <v>0.68643486194427661</v>
      </c>
      <c r="I36" s="109">
        <f t="shared" ref="I36:K36" si="26">IFERROR(SUM(E32:I32)/SUM(D32:H32)-1,"")</f>
        <v>0.59935530256889469</v>
      </c>
      <c r="J36" s="109">
        <f t="shared" si="26"/>
        <v>-5.084779215230359</v>
      </c>
      <c r="K36" s="109">
        <f t="shared" si="26"/>
        <v>-0.1379783430262691</v>
      </c>
    </row>
    <row r="38" spans="1:11" s="9" customFormat="1" ht="15.75" thickBot="1">
      <c r="A38" s="59" t="s">
        <v>153</v>
      </c>
      <c r="B38" s="126">
        <f t="shared" ref="B38:E38" si="27">B2</f>
        <v>39447</v>
      </c>
      <c r="C38" s="126">
        <f t="shared" si="27"/>
        <v>39813</v>
      </c>
      <c r="D38" s="126">
        <f t="shared" si="27"/>
        <v>40178</v>
      </c>
      <c r="E38" s="126">
        <f t="shared" si="27"/>
        <v>40543</v>
      </c>
      <c r="F38" s="126">
        <f>F2</f>
        <v>40908</v>
      </c>
      <c r="G38" s="126">
        <f t="shared" ref="G38:K38" si="28">G2</f>
        <v>41274</v>
      </c>
      <c r="H38" s="126">
        <f t="shared" si="28"/>
        <v>41639</v>
      </c>
      <c r="I38" s="126">
        <f t="shared" si="28"/>
        <v>42004</v>
      </c>
      <c r="J38" s="126">
        <f t="shared" si="28"/>
        <v>42369</v>
      </c>
      <c r="K38" s="126">
        <f t="shared" si="28"/>
        <v>42735</v>
      </c>
    </row>
    <row r="39" spans="1:11" s="117" customFormat="1" ht="15.75" thickBot="1">
      <c r="A39" s="127" t="s">
        <v>154</v>
      </c>
      <c r="B39" s="128">
        <f>VLOOKUP(B38,'GDP Data'!$A$2:$B$62,2,TRUE)</f>
        <v>14690</v>
      </c>
      <c r="C39" s="128">
        <f>VLOOKUP(C38,'GDP Data'!$A$2:$B$62,2,TRUE)</f>
        <v>14549.9</v>
      </c>
      <c r="D39" s="128">
        <f>VLOOKUP(D38,'GDP Data'!$A$2:$B$62,2,TRUE)</f>
        <v>14566.5</v>
      </c>
      <c r="E39" s="128">
        <f>VLOOKUP(E38,'GDP Data'!$A$2:$B$62,2,TRUE)</f>
        <v>15230.2</v>
      </c>
      <c r="F39" s="128">
        <f>VLOOKUP(F38,'GDP Data'!$A$2:$B$62,2,TRUE)</f>
        <v>15785.3</v>
      </c>
      <c r="G39" s="128">
        <f>VLOOKUP(G38,'GDP Data'!$A$2:$B$62,2,TRUE)</f>
        <v>16332.5</v>
      </c>
      <c r="H39" s="128">
        <f>VLOOKUP(H38,'GDP Data'!$A$2:$B$62,2,TRUE)</f>
        <v>17078.3</v>
      </c>
      <c r="I39" s="128">
        <f>VLOOKUP(I38,'GDP Data'!$A$2:$B$62,2,TRUE)</f>
        <v>17703.7</v>
      </c>
      <c r="J39" s="128">
        <f>VLOOKUP(J38,'GDP Data'!$A$2:$B$62,2,TRUE)</f>
        <v>17665</v>
      </c>
      <c r="K39" s="128">
        <f>VLOOKUP(K38,'GDP Data'!$A$2:$B$62,2,TRUE)</f>
        <v>17665</v>
      </c>
    </row>
    <row r="40" spans="1:11">
      <c r="A40" t="s">
        <v>155</v>
      </c>
      <c r="C40" s="129">
        <f t="shared" ref="C40" si="29">C39/B39-1</f>
        <v>-9.5371000680735118E-3</v>
      </c>
      <c r="D40" s="129">
        <f t="shared" ref="D40" si="30">D39/C39-1</f>
        <v>1.1409013120364797E-3</v>
      </c>
      <c r="E40" s="129">
        <f t="shared" ref="E40:F40" si="31">E39/D39-1</f>
        <v>4.5563450382727577E-2</v>
      </c>
      <c r="F40" s="129">
        <f t="shared" si="31"/>
        <v>3.6447321768591223E-2</v>
      </c>
      <c r="G40" s="129">
        <f>G39/F39-1</f>
        <v>3.4665163158128287E-2</v>
      </c>
      <c r="H40" s="129">
        <f t="shared" ref="H40:K40" si="32">H39/G39-1</f>
        <v>4.5663554262972639E-2</v>
      </c>
      <c r="I40" s="129">
        <f t="shared" si="32"/>
        <v>3.6619569863511003E-2</v>
      </c>
      <c r="J40" s="129">
        <f t="shared" si="32"/>
        <v>-2.1859837209171618E-3</v>
      </c>
      <c r="K40" s="129">
        <f t="shared" si="32"/>
        <v>0</v>
      </c>
    </row>
    <row r="41" spans="1:11">
      <c r="A41" s="130" t="s">
        <v>156</v>
      </c>
      <c r="B41" s="130"/>
      <c r="C41" s="131" t="str">
        <f t="shared" ref="C41:F41" si="33">C13</f>
        <v/>
      </c>
      <c r="D41" s="131" t="str">
        <f t="shared" si="33"/>
        <v/>
      </c>
      <c r="E41" s="131" t="str">
        <f t="shared" si="33"/>
        <v/>
      </c>
      <c r="F41" s="131">
        <f t="shared" si="33"/>
        <v>0.28792569659442724</v>
      </c>
      <c r="G41" s="131">
        <f>G13</f>
        <v>-1.4543269230769231</v>
      </c>
      <c r="H41" s="131">
        <f t="shared" ref="H41:K41" si="34">H13</f>
        <v>0.99470899470899465</v>
      </c>
      <c r="I41" s="131">
        <f t="shared" si="34"/>
        <v>1.819628647214854</v>
      </c>
      <c r="J41" s="131">
        <f t="shared" si="34"/>
        <v>-0.23518344308560679</v>
      </c>
      <c r="K41" s="131">
        <f t="shared" si="34"/>
        <v>-0.87945879458794585</v>
      </c>
    </row>
    <row r="42" spans="1:11">
      <c r="A42" t="s">
        <v>157</v>
      </c>
      <c r="D42" s="132"/>
      <c r="E42" s="132">
        <f t="shared" ref="E42" si="35">SUM(C39:E39)/SUM(B39:D39)-1</f>
        <v>1.2331531465721968E-2</v>
      </c>
      <c r="F42" s="132">
        <f t="shared" ref="F42" si="36">SUM(D39:F39)/SUM(C39:E39)-1</f>
        <v>2.7857829010566659E-2</v>
      </c>
      <c r="G42" s="132">
        <f t="shared" ref="G42:J42" si="37">SUM(E39:G39)/SUM(D39:F39)-1</f>
        <v>3.8743363608441994E-2</v>
      </c>
      <c r="H42" s="132">
        <f t="shared" si="37"/>
        <v>3.9032271690462084E-2</v>
      </c>
      <c r="I42" s="132">
        <f t="shared" si="37"/>
        <v>3.8994960982679627E-2</v>
      </c>
      <c r="J42" s="132">
        <f t="shared" si="37"/>
        <v>2.606892369092928E-2</v>
      </c>
      <c r="K42" s="132">
        <f>SUM(I39:K39)/SUM(H39:J39)-1</f>
        <v>1.1186531164794955E-2</v>
      </c>
    </row>
    <row r="43" spans="1:11">
      <c r="A43" s="130" t="s">
        <v>158</v>
      </c>
      <c r="B43" s="130"/>
      <c r="C43" s="130"/>
      <c r="D43" s="131"/>
      <c r="E43" s="131" t="str">
        <f t="shared" ref="E43:J43" si="38">E14</f>
        <v/>
      </c>
      <c r="F43" s="131">
        <f t="shared" si="38"/>
        <v>1.2879256965944275</v>
      </c>
      <c r="G43" s="131">
        <f t="shared" si="38"/>
        <v>-0.25575101488497975</v>
      </c>
      <c r="H43" s="131">
        <f t="shared" si="38"/>
        <v>-1.2727272727272727</v>
      </c>
      <c r="I43" s="131">
        <f t="shared" si="38"/>
        <v>9.86</v>
      </c>
      <c r="J43" s="131">
        <f t="shared" si="38"/>
        <v>0.38305709023941059</v>
      </c>
      <c r="K43" s="131">
        <f>K14</f>
        <v>-0.12383488681757659</v>
      </c>
    </row>
    <row r="44" spans="1:11">
      <c r="A44" t="s">
        <v>159</v>
      </c>
      <c r="G44" s="132">
        <f t="shared" ref="G44:J44" si="39">SUM(C39:G39)/SUM(B39:F39)-1</f>
        <v>2.1952128988972586E-2</v>
      </c>
      <c r="H44" s="132">
        <f t="shared" si="39"/>
        <v>3.3066368139944791E-2</v>
      </c>
      <c r="I44" s="132">
        <f t="shared" si="39"/>
        <v>3.9715012001093841E-2</v>
      </c>
      <c r="J44" s="132">
        <f t="shared" si="39"/>
        <v>2.9645683672226975E-2</v>
      </c>
      <c r="K44" s="132">
        <f>SUM(G39:K39)/SUM(F39:J39)-1</f>
        <v>2.2227924621119E-2</v>
      </c>
    </row>
    <row r="45" spans="1:11">
      <c r="A45" s="130" t="s">
        <v>160</v>
      </c>
      <c r="B45" s="130"/>
      <c r="C45" s="130"/>
      <c r="D45" s="130"/>
      <c r="E45" s="131"/>
      <c r="F45" s="131"/>
      <c r="G45" s="131">
        <f t="shared" ref="G45:J45" si="40">G15</f>
        <v>-0.25575101488497975</v>
      </c>
      <c r="H45" s="131">
        <f t="shared" si="40"/>
        <v>-0.68545454545454543</v>
      </c>
      <c r="I45" s="131">
        <f t="shared" si="40"/>
        <v>-6.1445086705202314</v>
      </c>
      <c r="J45" s="131">
        <f t="shared" si="40"/>
        <v>1.2764044943820223</v>
      </c>
      <c r="K45" s="131">
        <f>K15</f>
        <v>0.25370187561697932</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topLeftCell="A7" workbookViewId="0">
      <selection activeCell="D28" sqref="D28"/>
    </sheetView>
  </sheetViews>
  <sheetFormatPr defaultRowHeight="15"/>
  <cols>
    <col min="1" max="1" width="37.42578125" bestFit="1" customWidth="1"/>
    <col min="12" max="12" width="9.5703125" bestFit="1" customWidth="1"/>
  </cols>
  <sheetData>
    <row r="1" spans="1:16">
      <c r="A1" s="10" t="s">
        <v>37</v>
      </c>
      <c r="B1" s="134">
        <f>'Company Analysis'!B2</f>
        <v>39447</v>
      </c>
      <c r="C1" s="134">
        <f>'Company Analysis'!C2</f>
        <v>39813</v>
      </c>
      <c r="D1" s="134">
        <f>'Company Analysis'!D2</f>
        <v>40178</v>
      </c>
      <c r="E1" s="134">
        <f>'Company Analysis'!E2</f>
        <v>40543</v>
      </c>
      <c r="F1" s="134">
        <f>'Company Analysis'!F2</f>
        <v>40908</v>
      </c>
      <c r="G1" s="134">
        <f>'Company Analysis'!G2</f>
        <v>41274</v>
      </c>
      <c r="H1" s="134">
        <f>'Company Analysis'!H2</f>
        <v>41639</v>
      </c>
      <c r="I1" s="134">
        <f>'Company Analysis'!I2</f>
        <v>42004</v>
      </c>
      <c r="J1" s="134">
        <f>'Company Analysis'!J2</f>
        <v>42369</v>
      </c>
      <c r="K1" s="134">
        <f>'Company Analysis'!K2</f>
        <v>42735</v>
      </c>
      <c r="L1" s="134">
        <f>'Graphing Data'!K1+365</f>
        <v>43100</v>
      </c>
      <c r="M1" s="134">
        <f>'Graphing Data'!L1+365</f>
        <v>43465</v>
      </c>
      <c r="N1" s="134">
        <f>'Graphing Data'!M1+365</f>
        <v>43830</v>
      </c>
      <c r="O1" s="134">
        <f>'Graphing Data'!N1+365</f>
        <v>44195</v>
      </c>
      <c r="P1" s="134">
        <f>'Graphing Data'!O1+365</f>
        <v>44560</v>
      </c>
    </row>
    <row r="2" spans="1:16">
      <c r="A2" t="s">
        <v>163</v>
      </c>
      <c r="B2" s="17">
        <f>'Company Analysis'!B3</f>
        <v>0</v>
      </c>
      <c r="C2" s="17">
        <f>'Company Analysis'!C3</f>
        <v>0</v>
      </c>
      <c r="D2" s="17">
        <f>'Company Analysis'!D3</f>
        <v>0</v>
      </c>
      <c r="E2" s="17">
        <f>'Company Analysis'!E3</f>
        <v>4402</v>
      </c>
      <c r="F2" s="17">
        <f>'Company Analysis'!F3</f>
        <v>4194</v>
      </c>
      <c r="G2" s="17">
        <f>'Company Analysis'!G3</f>
        <v>4358</v>
      </c>
      <c r="H2" s="17">
        <f>'Company Analysis'!H3</f>
        <v>4815</v>
      </c>
      <c r="I2" s="17">
        <f>'Company Analysis'!I3</f>
        <v>5647</v>
      </c>
      <c r="J2" s="17">
        <f>'Company Analysis'!J3</f>
        <v>6101</v>
      </c>
      <c r="K2" s="17">
        <f>'Company Analysis'!K3</f>
        <v>9498</v>
      </c>
      <c r="L2" s="17"/>
      <c r="M2" s="17"/>
      <c r="N2" s="17"/>
      <c r="O2" s="17"/>
      <c r="P2" s="17"/>
    </row>
    <row r="3" spans="1:16">
      <c r="A3" t="s">
        <v>164</v>
      </c>
      <c r="L3" s="17">
        <f>$K$2*(1+'Valuation Model'!C8)</f>
        <v>9498</v>
      </c>
      <c r="M3" s="17">
        <f>L3*(1+'Valuation Model'!D8)</f>
        <v>9498</v>
      </c>
      <c r="N3" s="17">
        <f>M3*(1+'Valuation Model'!E8)</f>
        <v>9498</v>
      </c>
      <c r="O3" s="17">
        <f>N3*(1+'Valuation Model'!F8)</f>
        <v>9498</v>
      </c>
      <c r="P3" s="17">
        <f>O3*(1+'Valuation Model'!G8)</f>
        <v>9498</v>
      </c>
    </row>
    <row r="4" spans="1:16">
      <c r="A4" t="s">
        <v>165</v>
      </c>
      <c r="L4" s="17">
        <f>$K$2*(1+'Valuation Model'!C9)</f>
        <v>9498</v>
      </c>
      <c r="M4" s="17">
        <f>L4*(1+'Valuation Model'!D9)</f>
        <v>9498</v>
      </c>
      <c r="N4" s="17">
        <f>M4*(1+'Valuation Model'!E9)</f>
        <v>9498</v>
      </c>
      <c r="O4" s="17">
        <f>N4*(1+'Valuation Model'!F9)</f>
        <v>9498</v>
      </c>
      <c r="P4" s="17">
        <f>O4*(1+'Valuation Model'!G9)</f>
        <v>9498</v>
      </c>
    </row>
    <row r="5" spans="1:16">
      <c r="A5" t="s">
        <v>166</v>
      </c>
      <c r="C5" s="20" t="e">
        <f>C2/B2-1</f>
        <v>#DIV/0!</v>
      </c>
      <c r="D5" s="20" t="e">
        <f t="shared" ref="D5:K5" si="0">D2/C2-1</f>
        <v>#DIV/0!</v>
      </c>
      <c r="E5" s="20" t="e">
        <f t="shared" si="0"/>
        <v>#DIV/0!</v>
      </c>
      <c r="F5" s="20">
        <f t="shared" si="0"/>
        <v>-4.725124943207637E-2</v>
      </c>
      <c r="G5" s="20">
        <f t="shared" si="0"/>
        <v>3.91034811635671E-2</v>
      </c>
      <c r="H5" s="20">
        <f t="shared" si="0"/>
        <v>0.10486461679669579</v>
      </c>
      <c r="I5" s="20">
        <f t="shared" si="0"/>
        <v>0.17279335410176522</v>
      </c>
      <c r="J5" s="20">
        <f t="shared" si="0"/>
        <v>8.0396670798654091E-2</v>
      </c>
      <c r="K5" s="20">
        <f t="shared" si="0"/>
        <v>0.55679396820193405</v>
      </c>
    </row>
    <row r="6" spans="1:16">
      <c r="A6" t="s">
        <v>167</v>
      </c>
      <c r="K6" s="99">
        <f>K5</f>
        <v>0.55679396820193405</v>
      </c>
      <c r="L6" s="99">
        <f>'Valuation Model'!C8</f>
        <v>0</v>
      </c>
      <c r="M6" s="99">
        <f>'Valuation Model'!D8</f>
        <v>0</v>
      </c>
      <c r="N6" s="99">
        <f>'Valuation Model'!E8</f>
        <v>0</v>
      </c>
      <c r="O6" s="99">
        <f>'Valuation Model'!F8</f>
        <v>0</v>
      </c>
      <c r="P6" s="99">
        <f>'Valuation Model'!G8</f>
        <v>0</v>
      </c>
    </row>
    <row r="7" spans="1:16">
      <c r="A7" t="s">
        <v>168</v>
      </c>
      <c r="K7" s="99">
        <f>K5</f>
        <v>0.55679396820193405</v>
      </c>
      <c r="L7" s="99">
        <f>'Valuation Model'!C9</f>
        <v>0</v>
      </c>
      <c r="M7" s="99">
        <f>'Valuation Model'!D9</f>
        <v>0</v>
      </c>
      <c r="N7" s="99">
        <f>'Valuation Model'!E9</f>
        <v>0</v>
      </c>
      <c r="O7" s="99">
        <f>'Valuation Model'!F9</f>
        <v>0</v>
      </c>
      <c r="P7" s="99">
        <f>'Valuation Model'!G9</f>
        <v>0</v>
      </c>
    </row>
    <row r="9" spans="1:16">
      <c r="A9" s="10" t="s">
        <v>71</v>
      </c>
      <c r="B9" s="134">
        <f>B1</f>
        <v>39447</v>
      </c>
      <c r="C9" s="134">
        <f t="shared" ref="C9:P9" si="1">C1</f>
        <v>39813</v>
      </c>
      <c r="D9" s="134">
        <f t="shared" si="1"/>
        <v>40178</v>
      </c>
      <c r="E9" s="134">
        <f t="shared" si="1"/>
        <v>40543</v>
      </c>
      <c r="F9" s="134">
        <f t="shared" si="1"/>
        <v>40908</v>
      </c>
      <c r="G9" s="134">
        <f t="shared" si="1"/>
        <v>41274</v>
      </c>
      <c r="H9" s="134">
        <f t="shared" si="1"/>
        <v>41639</v>
      </c>
      <c r="I9" s="134">
        <f t="shared" si="1"/>
        <v>42004</v>
      </c>
      <c r="J9" s="134">
        <f t="shared" si="1"/>
        <v>42369</v>
      </c>
      <c r="K9" s="134">
        <f t="shared" si="1"/>
        <v>42735</v>
      </c>
      <c r="L9" s="134">
        <f t="shared" si="1"/>
        <v>43100</v>
      </c>
      <c r="M9" s="134">
        <f t="shared" si="1"/>
        <v>43465</v>
      </c>
      <c r="N9" s="134">
        <f t="shared" si="1"/>
        <v>43830</v>
      </c>
      <c r="O9" s="134">
        <f t="shared" si="1"/>
        <v>44195</v>
      </c>
      <c r="P9" s="134">
        <f t="shared" si="1"/>
        <v>44560</v>
      </c>
    </row>
    <row r="10" spans="1:16">
      <c r="A10" t="s">
        <v>169</v>
      </c>
      <c r="B10" s="17">
        <f>'Company Analysis'!B11</f>
        <v>0</v>
      </c>
      <c r="C10" s="17">
        <f>'Company Analysis'!C11</f>
        <v>0</v>
      </c>
      <c r="D10" s="17">
        <f>'Company Analysis'!D11</f>
        <v>0</v>
      </c>
      <c r="E10" s="17">
        <f>'Company Analysis'!E11</f>
        <v>-323</v>
      </c>
      <c r="F10" s="17">
        <f>'Company Analysis'!F11</f>
        <v>-416</v>
      </c>
      <c r="G10" s="17">
        <f>'Company Analysis'!G11</f>
        <v>189</v>
      </c>
      <c r="H10" s="17">
        <f>'Company Analysis'!H11</f>
        <v>377</v>
      </c>
      <c r="I10" s="17">
        <f>'Company Analysis'!I11</f>
        <v>1063</v>
      </c>
      <c r="J10" s="17">
        <f>'Company Analysis'!J11</f>
        <v>813</v>
      </c>
      <c r="K10" s="17">
        <f>'Company Analysis'!K11</f>
        <v>98</v>
      </c>
    </row>
    <row r="11" spans="1:16">
      <c r="A11" t="s">
        <v>170</v>
      </c>
      <c r="L11" s="18">
        <f>'Valuation Model'!C10*'Graphing Data'!L3</f>
        <v>0</v>
      </c>
      <c r="M11" s="18">
        <f>'Valuation Model'!D10*'Graphing Data'!M3</f>
        <v>0</v>
      </c>
      <c r="N11" s="18">
        <f>'Valuation Model'!E10*'Graphing Data'!N3</f>
        <v>0</v>
      </c>
      <c r="O11" s="18">
        <f>'Valuation Model'!F10*'Graphing Data'!O3</f>
        <v>0</v>
      </c>
      <c r="P11" s="18">
        <f>'Valuation Model'!G10*'Graphing Data'!P3</f>
        <v>0</v>
      </c>
    </row>
    <row r="12" spans="1:16">
      <c r="A12" t="s">
        <v>171</v>
      </c>
      <c r="L12" s="18">
        <f>'Valuation Model'!C11*'Graphing Data'!L4</f>
        <v>0</v>
      </c>
      <c r="M12" s="18">
        <f>'Valuation Model'!D11*'Graphing Data'!M4</f>
        <v>0</v>
      </c>
      <c r="N12" s="18">
        <f>'Valuation Model'!E11*'Graphing Data'!N4</f>
        <v>0</v>
      </c>
      <c r="O12" s="18">
        <f>'Valuation Model'!F11*'Graphing Data'!O4</f>
        <v>0</v>
      </c>
      <c r="P12" s="18">
        <f>'Valuation Model'!G11*'Graphing Data'!P4</f>
        <v>0</v>
      </c>
    </row>
    <row r="13" spans="1:16">
      <c r="A13" t="s">
        <v>172</v>
      </c>
      <c r="B13" s="20" t="e">
        <f>B10/B2</f>
        <v>#DIV/0!</v>
      </c>
      <c r="C13" s="20" t="e">
        <f t="shared" ref="C13:K13" si="2">C10/C2</f>
        <v>#DIV/0!</v>
      </c>
      <c r="D13" s="20" t="e">
        <f t="shared" si="2"/>
        <v>#DIV/0!</v>
      </c>
      <c r="E13" s="20">
        <f t="shared" si="2"/>
        <v>-7.3375738300772375E-2</v>
      </c>
      <c r="F13" s="20">
        <f t="shared" si="2"/>
        <v>-9.918931807343824E-2</v>
      </c>
      <c r="G13" s="20">
        <f t="shared" si="2"/>
        <v>4.3368517668655349E-2</v>
      </c>
      <c r="H13" s="20">
        <f t="shared" si="2"/>
        <v>7.8296988577362406E-2</v>
      </c>
      <c r="I13" s="20">
        <f t="shared" si="2"/>
        <v>0.18824154418275191</v>
      </c>
      <c r="J13" s="20">
        <f t="shared" si="2"/>
        <v>0.13325684314046879</v>
      </c>
      <c r="K13" s="20">
        <f t="shared" si="2"/>
        <v>1.0317961676142346E-2</v>
      </c>
    </row>
    <row r="14" spans="1:16">
      <c r="A14" t="s">
        <v>173</v>
      </c>
      <c r="K14" s="99">
        <f>K13</f>
        <v>1.0317961676142346E-2</v>
      </c>
      <c r="L14" s="99">
        <f>'Valuation Model'!C10</f>
        <v>0</v>
      </c>
      <c r="M14" s="99">
        <f>'Valuation Model'!D10</f>
        <v>0</v>
      </c>
      <c r="N14" s="99">
        <f>'Valuation Model'!E10</f>
        <v>0</v>
      </c>
      <c r="O14" s="99">
        <f>'Valuation Model'!F10</f>
        <v>0</v>
      </c>
      <c r="P14" s="99">
        <f>'Valuation Model'!G10</f>
        <v>0</v>
      </c>
    </row>
    <row r="15" spans="1:16">
      <c r="A15" t="s">
        <v>174</v>
      </c>
      <c r="K15" s="99">
        <f>K13</f>
        <v>1.0317961676142346E-2</v>
      </c>
      <c r="L15" s="99">
        <f>'Valuation Model'!C11</f>
        <v>0</v>
      </c>
      <c r="M15" s="99">
        <f>'Valuation Model'!D11</f>
        <v>0</v>
      </c>
      <c r="N15" s="99">
        <f>'Valuation Model'!E11</f>
        <v>0</v>
      </c>
      <c r="O15" s="99">
        <f>'Valuation Model'!F11</f>
        <v>0</v>
      </c>
      <c r="P15" s="99">
        <f>'Valuation Model'!G11</f>
        <v>0</v>
      </c>
    </row>
    <row r="17" spans="1:16">
      <c r="A17" s="10" t="s">
        <v>175</v>
      </c>
      <c r="B17" s="134">
        <f>B9</f>
        <v>39447</v>
      </c>
      <c r="C17" s="134">
        <f t="shared" ref="C17:K17" si="3">C9</f>
        <v>39813</v>
      </c>
      <c r="D17" s="134">
        <f t="shared" si="3"/>
        <v>40178</v>
      </c>
      <c r="E17" s="134">
        <f t="shared" si="3"/>
        <v>40543</v>
      </c>
      <c r="F17" s="134">
        <f t="shared" si="3"/>
        <v>40908</v>
      </c>
      <c r="G17" s="134">
        <f t="shared" si="3"/>
        <v>41274</v>
      </c>
      <c r="H17" s="134">
        <f t="shared" si="3"/>
        <v>41639</v>
      </c>
      <c r="I17" s="134">
        <f t="shared" si="3"/>
        <v>42004</v>
      </c>
      <c r="J17" s="134">
        <f t="shared" si="3"/>
        <v>42369</v>
      </c>
      <c r="K17" s="134">
        <f t="shared" si="3"/>
        <v>42735</v>
      </c>
    </row>
    <row r="18" spans="1:16">
      <c r="A18" t="s">
        <v>137</v>
      </c>
      <c r="B18" s="18">
        <f>B10</f>
        <v>0</v>
      </c>
      <c r="C18" s="18">
        <f t="shared" ref="C18:K18" si="4">C10</f>
        <v>0</v>
      </c>
      <c r="D18" s="18">
        <f t="shared" si="4"/>
        <v>0</v>
      </c>
      <c r="E18" s="18">
        <f t="shared" si="4"/>
        <v>-323</v>
      </c>
      <c r="F18" s="18">
        <f t="shared" si="4"/>
        <v>-416</v>
      </c>
      <c r="G18" s="18">
        <f t="shared" si="4"/>
        <v>189</v>
      </c>
      <c r="H18" s="18">
        <f t="shared" si="4"/>
        <v>377</v>
      </c>
      <c r="I18" s="18">
        <f t="shared" si="4"/>
        <v>1063</v>
      </c>
      <c r="J18" s="18">
        <f t="shared" si="4"/>
        <v>813</v>
      </c>
      <c r="K18" s="18">
        <f t="shared" si="4"/>
        <v>98</v>
      </c>
    </row>
    <row r="19" spans="1:16">
      <c r="A19" t="s">
        <v>176</v>
      </c>
      <c r="B19" s="18">
        <f>-'Company Analysis'!B28</f>
        <v>0</v>
      </c>
      <c r="C19" s="18">
        <f>-'Company Analysis'!C28</f>
        <v>0</v>
      </c>
      <c r="D19" s="18">
        <f>-'Company Analysis'!D28</f>
        <v>0</v>
      </c>
      <c r="E19" s="18">
        <f>-'Company Analysis'!E28</f>
        <v>-705.76990291262132</v>
      </c>
      <c r="F19" s="18">
        <f>-'Company Analysis'!F28</f>
        <v>-333.15491992063494</v>
      </c>
      <c r="G19" s="18">
        <f>-'Company Analysis'!G28</f>
        <v>-236.21565623999999</v>
      </c>
      <c r="H19" s="18">
        <f>-'Company Analysis'!H28</f>
        <v>-120.76170464285724</v>
      </c>
      <c r="I19" s="18">
        <f>-'Company Analysis'!I28</f>
        <v>330.04709166666692</v>
      </c>
      <c r="J19" s="18">
        <f>-'Company Analysis'!J28</f>
        <v>10375.321417142866</v>
      </c>
      <c r="K19" s="18">
        <f>-'Company Analysis'!K28</f>
        <v>-921.49649670634915</v>
      </c>
    </row>
    <row r="21" spans="1:16">
      <c r="A21" s="10" t="s">
        <v>177</v>
      </c>
      <c r="B21" s="134">
        <f>B17</f>
        <v>39447</v>
      </c>
      <c r="C21" s="134">
        <f t="shared" ref="C21:K21" si="5">C17</f>
        <v>39813</v>
      </c>
      <c r="D21" s="134">
        <f t="shared" si="5"/>
        <v>40178</v>
      </c>
      <c r="E21" s="134">
        <f t="shared" si="5"/>
        <v>40543</v>
      </c>
      <c r="F21" s="134">
        <f t="shared" si="5"/>
        <v>40908</v>
      </c>
      <c r="G21" s="134">
        <f t="shared" si="5"/>
        <v>41274</v>
      </c>
      <c r="H21" s="134">
        <f t="shared" si="5"/>
        <v>41639</v>
      </c>
      <c r="I21" s="134">
        <f t="shared" si="5"/>
        <v>42004</v>
      </c>
      <c r="J21" s="134">
        <f t="shared" si="5"/>
        <v>42369</v>
      </c>
      <c r="K21" s="134">
        <f t="shared" si="5"/>
        <v>42735</v>
      </c>
    </row>
    <row r="22" spans="1:16">
      <c r="A22" t="str">
        <f>'Company Analysis'!A19</f>
        <v>Capex in Excess of Maintenance</v>
      </c>
      <c r="B22" s="18">
        <f>-'Company Analysis'!B19</f>
        <v>0</v>
      </c>
      <c r="C22" s="18">
        <f>-'Company Analysis'!C19</f>
        <v>0</v>
      </c>
      <c r="D22" s="18">
        <f>-'Company Analysis'!D19</f>
        <v>0</v>
      </c>
      <c r="E22" s="18">
        <f>-'Company Analysis'!E19</f>
        <v>-419</v>
      </c>
      <c r="F22" s="18">
        <f>-'Company Analysis'!F19</f>
        <v>-360</v>
      </c>
      <c r="G22" s="18">
        <f>-'Company Analysis'!G19</f>
        <v>-253</v>
      </c>
      <c r="H22" s="18">
        <f>-'Company Analysis'!H19</f>
        <v>-264</v>
      </c>
      <c r="I22" s="18">
        <f>-'Company Analysis'!I19</f>
        <v>-40</v>
      </c>
      <c r="J22" s="18">
        <f>-'Company Analysis'!J19</f>
        <v>-164</v>
      </c>
      <c r="K22" s="18">
        <f>-'Company Analysis'!K19</f>
        <v>-1757</v>
      </c>
    </row>
    <row r="23" spans="1:16">
      <c r="A23" t="s">
        <v>179</v>
      </c>
      <c r="B23" s="18">
        <f>-'Company Analysis'!B20</f>
        <v>0</v>
      </c>
      <c r="C23" s="18">
        <f>-'Company Analysis'!C20</f>
        <v>0</v>
      </c>
      <c r="D23" s="18">
        <f>-'Company Analysis'!D20</f>
        <v>0</v>
      </c>
      <c r="E23" s="18">
        <f>-'Company Analysis'!E20</f>
        <v>21</v>
      </c>
      <c r="F23" s="18">
        <f>-'Company Analysis'!F20</f>
        <v>-26</v>
      </c>
      <c r="G23" s="18">
        <f>-'Company Analysis'!G20</f>
        <v>-28</v>
      </c>
      <c r="H23" s="18">
        <f>-'Company Analysis'!H20</f>
        <v>-9</v>
      </c>
      <c r="I23" s="18">
        <f>-'Company Analysis'!I20</f>
        <v>-11</v>
      </c>
      <c r="J23" s="18">
        <f>-'Company Analysis'!J20</f>
        <v>-1612</v>
      </c>
      <c r="K23" s="18">
        <f>-'Company Analysis'!K20</f>
        <v>-21</v>
      </c>
    </row>
    <row r="24" spans="1:16">
      <c r="A24" t="s">
        <v>180</v>
      </c>
      <c r="B24" s="18">
        <f>-'Company Analysis'!B21</f>
        <v>0</v>
      </c>
      <c r="C24" s="18">
        <f>-'Company Analysis'!C21</f>
        <v>0</v>
      </c>
      <c r="D24" s="18">
        <f>-'Company Analysis'!D21</f>
        <v>0</v>
      </c>
      <c r="E24" s="18">
        <f>-'Company Analysis'!E21</f>
        <v>8</v>
      </c>
      <c r="F24" s="18">
        <f>-'Company Analysis'!F21</f>
        <v>0</v>
      </c>
      <c r="G24" s="18">
        <f>-'Company Analysis'!G21</f>
        <v>2</v>
      </c>
      <c r="H24" s="18">
        <f>-'Company Analysis'!H21</f>
        <v>1</v>
      </c>
      <c r="I24" s="18">
        <f>-'Company Analysis'!I21</f>
        <v>8</v>
      </c>
      <c r="J24" s="18">
        <f>-'Company Analysis'!J21</f>
        <v>1692</v>
      </c>
      <c r="K24" s="18">
        <f>-'Company Analysis'!K21</f>
        <v>202</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0</v>
      </c>
      <c r="C27" s="18">
        <f>-'Company Analysis'!C27</f>
        <v>0</v>
      </c>
      <c r="D27" s="18">
        <f>-'Company Analysis'!D27</f>
        <v>0</v>
      </c>
      <c r="E27" s="18">
        <f>-'Company Analysis'!E27</f>
        <v>-315.76990291262132</v>
      </c>
      <c r="F27" s="18">
        <f>-'Company Analysis'!F27</f>
        <v>52.845080079365076</v>
      </c>
      <c r="G27" s="18">
        <f>-'Company Analysis'!G27</f>
        <v>42.784343760000013</v>
      </c>
      <c r="H27" s="18">
        <f>-'Company Analysis'!H27</f>
        <v>151.23829535714276</v>
      </c>
      <c r="I27" s="18">
        <f>-'Company Analysis'!I27</f>
        <v>373.04709166666692</v>
      </c>
      <c r="J27" s="18">
        <f>-'Company Analysis'!J27</f>
        <v>10459.321417142866</v>
      </c>
      <c r="K27" s="18">
        <f>-'Company Analysis'!K27</f>
        <v>654.50350329365085</v>
      </c>
    </row>
    <row r="29" spans="1:16">
      <c r="A29" s="10" t="s">
        <v>73</v>
      </c>
      <c r="B29" s="134">
        <f>B1</f>
        <v>39447</v>
      </c>
      <c r="C29" s="134">
        <f t="shared" ref="C29:P29" si="6">C1</f>
        <v>39813</v>
      </c>
      <c r="D29" s="134">
        <f t="shared" si="6"/>
        <v>40178</v>
      </c>
      <c r="E29" s="134">
        <f t="shared" si="6"/>
        <v>40543</v>
      </c>
      <c r="F29" s="134">
        <f t="shared" si="6"/>
        <v>40908</v>
      </c>
      <c r="G29" s="134">
        <f t="shared" si="6"/>
        <v>41274</v>
      </c>
      <c r="H29" s="134">
        <f t="shared" si="6"/>
        <v>41639</v>
      </c>
      <c r="I29" s="134">
        <f t="shared" si="6"/>
        <v>42004</v>
      </c>
      <c r="J29" s="134">
        <f t="shared" si="6"/>
        <v>42369</v>
      </c>
      <c r="K29" s="134">
        <f t="shared" si="6"/>
        <v>42735</v>
      </c>
      <c r="L29" s="134">
        <f t="shared" si="6"/>
        <v>43100</v>
      </c>
      <c r="M29" s="134">
        <f t="shared" si="6"/>
        <v>43465</v>
      </c>
      <c r="N29" s="134">
        <f t="shared" si="6"/>
        <v>43830</v>
      </c>
      <c r="O29" s="134">
        <f t="shared" si="6"/>
        <v>44195</v>
      </c>
      <c r="P29" s="134">
        <f t="shared" si="6"/>
        <v>44560</v>
      </c>
    </row>
    <row r="30" spans="1:16">
      <c r="A30" t="s">
        <v>183</v>
      </c>
      <c r="B30" s="18">
        <f>'Company Analysis'!B32</f>
        <v>0</v>
      </c>
      <c r="C30" s="18">
        <f>'Company Analysis'!C32</f>
        <v>0</v>
      </c>
      <c r="D30" s="18">
        <f>'Company Analysis'!D32</f>
        <v>0</v>
      </c>
      <c r="E30" s="18">
        <f>'Company Analysis'!E32</f>
        <v>382.76990291262132</v>
      </c>
      <c r="F30" s="18">
        <f>'Company Analysis'!F32</f>
        <v>-82.845080079365061</v>
      </c>
      <c r="G30" s="18">
        <f>'Company Analysis'!G32</f>
        <v>425.21565623999999</v>
      </c>
      <c r="H30" s="18">
        <f>'Company Analysis'!H32</f>
        <v>497.76170464285724</v>
      </c>
      <c r="I30" s="18">
        <f>'Company Analysis'!I32</f>
        <v>732.95290833333308</v>
      </c>
      <c r="J30" s="18">
        <f>'Company Analysis'!J32</f>
        <v>-9562.3214171428663</v>
      </c>
      <c r="K30" s="18">
        <f>'Company Analysis'!K32</f>
        <v>1019.4964967063491</v>
      </c>
    </row>
    <row r="31" spans="1:16">
      <c r="A31" t="s">
        <v>184</v>
      </c>
      <c r="L31" s="18">
        <f>L11*(1-'Valuation Model'!C12)</f>
        <v>0</v>
      </c>
      <c r="M31" s="18">
        <f>M11*(1-'Valuation Model'!D12)</f>
        <v>0</v>
      </c>
      <c r="N31" s="18">
        <f>N11*(1-'Valuation Model'!E12)</f>
        <v>0</v>
      </c>
      <c r="O31" s="18">
        <f>O11*(1-'Valuation Model'!F12)</f>
        <v>0</v>
      </c>
      <c r="P31" s="18">
        <f>P11*(1-'Valuation Model'!G12)</f>
        <v>0</v>
      </c>
    </row>
    <row r="32" spans="1:16">
      <c r="A32" t="s">
        <v>185</v>
      </c>
      <c r="L32" s="18">
        <f>L12*(1-'Valuation Model'!C12)</f>
        <v>0</v>
      </c>
      <c r="M32" s="18">
        <f>M12*(1-'Valuation Model'!D12)</f>
        <v>0</v>
      </c>
      <c r="N32" s="18">
        <f>N12*(1-'Valuation Model'!E12)</f>
        <v>0</v>
      </c>
      <c r="O32" s="18">
        <f>O12*(1-'Valuation Model'!F12)</f>
        <v>0</v>
      </c>
      <c r="P32" s="18">
        <f>P12*(1-'Valuation Model'!G12)</f>
        <v>0</v>
      </c>
    </row>
    <row r="33" spans="1:16">
      <c r="A33" t="s">
        <v>186</v>
      </c>
      <c r="B33" s="20" t="e">
        <f t="shared" ref="B33:J33" si="7">B30/B2</f>
        <v>#DIV/0!</v>
      </c>
      <c r="C33" s="20" t="e">
        <f t="shared" si="7"/>
        <v>#DIV/0!</v>
      </c>
      <c r="D33" s="20" t="e">
        <f t="shared" si="7"/>
        <v>#DIV/0!</v>
      </c>
      <c r="E33" s="20">
        <f t="shared" si="7"/>
        <v>8.6953635373153412E-2</v>
      </c>
      <c r="F33" s="20">
        <f t="shared" si="7"/>
        <v>-1.9753237977912508E-2</v>
      </c>
      <c r="G33" s="20">
        <f t="shared" si="7"/>
        <v>9.7571284130335015E-2</v>
      </c>
      <c r="H33" s="20">
        <f t="shared" si="7"/>
        <v>0.1033773010680908</v>
      </c>
      <c r="I33" s="20">
        <f t="shared" si="7"/>
        <v>0.12979509621627999</v>
      </c>
      <c r="J33" s="20">
        <f t="shared" si="7"/>
        <v>-1.5673367344931759</v>
      </c>
      <c r="K33" s="20">
        <f>K30/K2</f>
        <v>0.1073380181834438</v>
      </c>
    </row>
    <row r="34" spans="1:16">
      <c r="A34" t="s">
        <v>187</v>
      </c>
      <c r="K34" s="99">
        <f>K33</f>
        <v>0.1073380181834438</v>
      </c>
      <c r="L34" s="135">
        <f>(1-'Valuation Model'!C12)*'Valuation Model'!C10</f>
        <v>0</v>
      </c>
      <c r="M34" s="135">
        <f>(1-'Valuation Model'!D12)*'Valuation Model'!D10</f>
        <v>0</v>
      </c>
      <c r="N34" s="135">
        <f>(1-'Valuation Model'!E12)*'Valuation Model'!E10</f>
        <v>0</v>
      </c>
      <c r="O34" s="135">
        <f>(1-'Valuation Model'!F12)*'Valuation Model'!F10</f>
        <v>0</v>
      </c>
      <c r="P34" s="135">
        <f>(1-'Valuation Model'!G12)*'Valuation Model'!G10</f>
        <v>0</v>
      </c>
    </row>
    <row r="35" spans="1:16">
      <c r="A35" t="s">
        <v>188</v>
      </c>
      <c r="K35" s="99">
        <f>K33</f>
        <v>0.1073380181834438</v>
      </c>
      <c r="L35" s="135">
        <f>(1-'Valuation Model'!C12)*'Valuation Model'!C11</f>
        <v>0</v>
      </c>
      <c r="M35" s="135">
        <f>(1-'Valuation Model'!D12)*'Valuation Model'!D11</f>
        <v>0</v>
      </c>
      <c r="N35" s="135">
        <f>(1-'Valuation Model'!E12)*'Valuation Model'!E11</f>
        <v>0</v>
      </c>
      <c r="O35" s="135">
        <f>(1-'Valuation Model'!F12)*'Valuation Model'!F11</f>
        <v>0</v>
      </c>
      <c r="P35" s="135">
        <f>(1-'Valuation Model'!G12)*'Valuation Model'!G11</f>
        <v>0</v>
      </c>
    </row>
    <row r="37" spans="1:16">
      <c r="A37" s="10" t="s">
        <v>153</v>
      </c>
      <c r="B37" s="134">
        <f>B1</f>
        <v>39447</v>
      </c>
      <c r="C37" s="134">
        <f t="shared" ref="C37:K37" si="8">C1</f>
        <v>39813</v>
      </c>
      <c r="D37" s="134">
        <f t="shared" si="8"/>
        <v>40178</v>
      </c>
      <c r="E37" s="134">
        <f t="shared" si="8"/>
        <v>40543</v>
      </c>
      <c r="F37" s="134">
        <f t="shared" si="8"/>
        <v>40908</v>
      </c>
      <c r="G37" s="134">
        <f t="shared" si="8"/>
        <v>41274</v>
      </c>
      <c r="H37" s="134">
        <f t="shared" si="8"/>
        <v>41639</v>
      </c>
      <c r="I37" s="134">
        <f t="shared" si="8"/>
        <v>42004</v>
      </c>
      <c r="J37" s="134">
        <f t="shared" si="8"/>
        <v>42369</v>
      </c>
      <c r="K37" s="134">
        <f t="shared" si="8"/>
        <v>42735</v>
      </c>
    </row>
    <row r="38" spans="1:16">
      <c r="A38" t="str">
        <f>ticker&amp;" Actual OCP ($, LHS)"</f>
        <v>NXPI Actual OCP ($, LHS)</v>
      </c>
      <c r="B38" s="18">
        <f>B10</f>
        <v>0</v>
      </c>
      <c r="C38" s="18">
        <f t="shared" ref="C38:K38" si="9">C10</f>
        <v>0</v>
      </c>
      <c r="D38" s="18">
        <f t="shared" si="9"/>
        <v>0</v>
      </c>
      <c r="E38" s="18">
        <f t="shared" si="9"/>
        <v>-323</v>
      </c>
      <c r="F38" s="18">
        <f t="shared" si="9"/>
        <v>-416</v>
      </c>
      <c r="G38" s="18">
        <f t="shared" si="9"/>
        <v>189</v>
      </c>
      <c r="H38" s="18">
        <f t="shared" si="9"/>
        <v>377</v>
      </c>
      <c r="I38" s="18">
        <f t="shared" si="9"/>
        <v>1063</v>
      </c>
      <c r="J38" s="18">
        <f t="shared" si="9"/>
        <v>813</v>
      </c>
      <c r="K38" s="18">
        <f t="shared" si="9"/>
        <v>98</v>
      </c>
    </row>
    <row r="39" spans="1:16">
      <c r="A39" t="str">
        <f>ticker&amp;" OCP if GDP-Growth ($, LHS)"</f>
        <v>NXPI OCP if GDP-Growth ($, LHS)</v>
      </c>
      <c r="B39" s="18">
        <f>B38</f>
        <v>0</v>
      </c>
      <c r="C39" s="18">
        <f>(1+'Company Analysis'!C40)*B39</f>
        <v>0</v>
      </c>
      <c r="D39" s="18">
        <f>(1+'Company Analysis'!D40)*C39</f>
        <v>0</v>
      </c>
      <c r="E39" s="18">
        <f>(1+'Company Analysis'!E40)*D39</f>
        <v>0</v>
      </c>
      <c r="F39" s="18">
        <f>(1+'Company Analysis'!F40)*E39</f>
        <v>0</v>
      </c>
      <c r="G39" s="18">
        <f>(1+'Company Analysis'!G40)*F39</f>
        <v>0</v>
      </c>
      <c r="H39" s="18">
        <f>(1+'Company Analysis'!H40)*G39</f>
        <v>0</v>
      </c>
      <c r="I39" s="18">
        <f>(1+'Company Analysis'!I40)*H39</f>
        <v>0</v>
      </c>
      <c r="J39" s="18">
        <f>(1+'Company Analysis'!J40)*I39</f>
        <v>0</v>
      </c>
      <c r="K39" s="18">
        <f>(1+'Company Analysis'!K40)*J39</f>
        <v>0</v>
      </c>
    </row>
    <row r="40" spans="1:16" ht="16.5">
      <c r="A40" t="str">
        <f>ticker&amp;" - GDP Growth Difference (YoY, %, RHS)"</f>
        <v>NXPI - GDP Growth Difference (YoY, %, RHS)</v>
      </c>
      <c r="B40" s="136"/>
      <c r="C40" s="99" t="e">
        <f>'Company Analysis'!C41-'Company Analysis'!C40</f>
        <v>#VALUE!</v>
      </c>
      <c r="D40" s="99" t="e">
        <f>'Company Analysis'!D41-'Company Analysis'!D40</f>
        <v>#VALUE!</v>
      </c>
      <c r="E40" s="99" t="e">
        <f>'Company Analysis'!E41-'Company Analysis'!E40</f>
        <v>#VALUE!</v>
      </c>
      <c r="F40" s="99">
        <f>'Company Analysis'!F41-'Company Analysis'!F40</f>
        <v>0.25147837482583602</v>
      </c>
      <c r="G40" s="99">
        <f>'Company Analysis'!G41-'Company Analysis'!G40</f>
        <v>-1.4889920862350514</v>
      </c>
      <c r="H40" s="99">
        <f>'Company Analysis'!H41-'Company Analysis'!H40</f>
        <v>0.94904544044602202</v>
      </c>
      <c r="I40" s="99">
        <f>'Company Analysis'!I41-'Company Analysis'!I40</f>
        <v>1.783009077351343</v>
      </c>
      <c r="J40" s="99">
        <f>'Company Analysis'!J41-'Company Analysis'!J40</f>
        <v>-0.23299745936468963</v>
      </c>
      <c r="K40" s="99">
        <f>'Company Analysis'!K41-'Company Analysis'!K40</f>
        <v>-0.87945879458794585</v>
      </c>
    </row>
    <row r="41" spans="1:16" ht="16.5">
      <c r="A41" t="str">
        <f>ticker&amp;" - GDP Growth Difference (3Y, %, RHS)"</f>
        <v>NXPI - GDP Growth Difference (3Y, %, RHS)</v>
      </c>
      <c r="B41" s="137"/>
      <c r="C41" s="99"/>
      <c r="D41" s="99"/>
      <c r="E41" s="99" t="e">
        <f>'Company Analysis'!E43-'Company Analysis'!E42</f>
        <v>#VALUE!</v>
      </c>
      <c r="F41" s="99">
        <f>'Company Analysis'!F43-'Company Analysis'!F42</f>
        <v>1.2600678675838608</v>
      </c>
      <c r="G41" s="99">
        <f>'Company Analysis'!G43-'Company Analysis'!G42</f>
        <v>-0.29449437849342175</v>
      </c>
      <c r="H41" s="99">
        <f>'Company Analysis'!H43-'Company Analysis'!H42</f>
        <v>-1.3117595444177348</v>
      </c>
      <c r="I41" s="99">
        <f>'Company Analysis'!I43-'Company Analysis'!I42</f>
        <v>9.8210050390173205</v>
      </c>
      <c r="J41" s="99">
        <f>'Company Analysis'!J43-'Company Analysis'!J42</f>
        <v>0.35698816654848131</v>
      </c>
      <c r="K41" s="99">
        <f>'Company Analysis'!K43-'Company Analysis'!K42</f>
        <v>-0.13502141798237155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topLeftCell="B1" zoomScale="110" zoomScaleNormal="110" workbookViewId="0">
      <selection activeCell="L31" sqref="L31"/>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10</v>
      </c>
      <c r="D1" s="77" t="s">
        <v>101</v>
      </c>
      <c r="E1" s="77">
        <v>5</v>
      </c>
    </row>
    <row r="2" spans="1:15">
      <c r="A2" s="77" t="s">
        <v>102</v>
      </c>
      <c r="B2" s="78">
        <f ca="1">MIN(C5:C12)-10</f>
        <v>-10</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e">
        <f>'Valuation Model'!I2</f>
        <v>#DIV/0!</v>
      </c>
      <c r="C5" s="89">
        <f ca="1">'Valuation Model'!K2</f>
        <v>0</v>
      </c>
      <c r="D5" s="84" t="e">
        <f t="shared" ref="D5:D12" ca="1" si="0">IF(ABS(INDEX($K$6:$K$55,MATCH(C5,$K$6:$K$55,1)+IF(C5&gt;=MAX($K$6:$K$55),0,1),1)-C5)&lt;ABS(INDEX($K$6:$K$55,MATCH(C5,$K$6:$K$55,1))-C5),INDEX($K$6:$K$55,MATCH(C5,$K$6:$K$55,1)+IF(C5&gt;=MAX($K$6:$K$55),0,1),1),INDEX($K$6:$K$55,MATCH(C5,$K$6:$K$55,1)))</f>
        <v>#N/A</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-9.3273230874617958</v>
      </c>
      <c r="O5" s="84">
        <f ca="1">_xlfn.NORM.DIST(N5,0+0.03^3,AVERAGE('Valuation Model'!$K$22:$L$22),FALSE)/scaling</f>
        <v>2.2783815521010282E-296</v>
      </c>
    </row>
    <row r="6" spans="1:15" s="79" customFormat="1" ht="12">
      <c r="A6" s="82"/>
      <c r="B6" s="88" t="e">
        <f>'Valuation Model'!I6</f>
        <v>#DIV/0!</v>
      </c>
      <c r="C6" s="89">
        <f ca="1">'Valuation Model'!K6</f>
        <v>0</v>
      </c>
      <c r="D6" s="84" t="e">
        <f t="shared" ca="1" si="0"/>
        <v>#N/A</v>
      </c>
      <c r="E6" s="85">
        <f>IF(H6="N",5%/COUNTIF('Valuation Model'!$L$2:$L$9,"No"),IF(G6&lt;&gt;"Y",50%/(COUNTIF('Valuation Model'!$L$2:$L$9,"Yes")-COUNTIF(G$5:G$12,"Y")),45%/(COUNTIF(G$5:G$12,"Y"))))</f>
        <v>6.25E-2</v>
      </c>
      <c r="F6" s="79" t="s">
        <v>51</v>
      </c>
      <c r="G6" s="79" t="str">
        <f>IF(LEFT('Valuation Model'!L3,1)="M","Y","")</f>
        <v/>
      </c>
      <c r="H6" s="79" t="str">
        <f>IF(LEFT('Valuation Model'!L6,1)="M","Y",LEFT('Valuation Model'!L6,1))</f>
        <v>Y</v>
      </c>
      <c r="J6" s="86">
        <v>0.02</v>
      </c>
      <c r="K6" s="84">
        <f t="shared" ca="1" si="1"/>
        <v>0.2</v>
      </c>
      <c r="L6" s="87" t="str">
        <f t="shared" ca="1" si="2"/>
        <v/>
      </c>
      <c r="M6" s="85" t="str">
        <f t="shared" ca="1" si="3"/>
        <v/>
      </c>
      <c r="N6" s="84">
        <f ca="1">LN('Histogram Data'!K6+0.01)-LN(price)</f>
        <v>-6.2828006497383742</v>
      </c>
      <c r="O6" s="84">
        <f ca="1">_xlfn.NORM.DIST(N6,0+0.03^3,AVERAGE('Valuation Model'!$K$22:$L$22),FALSE)/scaling</f>
        <v>3.8509218155819642E-135</v>
      </c>
    </row>
    <row r="7" spans="1:15" s="79" customFormat="1" ht="12">
      <c r="A7" s="82"/>
      <c r="B7" s="88" t="e">
        <f>'Valuation Model'!I3</f>
        <v>#DIV/0!</v>
      </c>
      <c r="C7" s="89">
        <f ca="1">'Valuation Model'!K3</f>
        <v>0</v>
      </c>
      <c r="D7" s="84" t="e">
        <f t="shared" ca="1" si="0"/>
        <v>#N/A</v>
      </c>
      <c r="E7" s="85">
        <f>IF(H7="N",5%/COUNTIF('Valuation Model'!$L$2:$L$9,"No"),IF(G7&lt;&gt;"Y",50%/(COUNTIF('Valuation Model'!$L$2:$L$9,"Yes")-COUNTIF(G$5:G$12,"Y")),45%/(COUNTIF(G$5:G$12,"Y"))))</f>
        <v>6.25E-2</v>
      </c>
      <c r="F7" s="79" t="s">
        <v>51</v>
      </c>
      <c r="G7" s="79" t="str">
        <f>IF(LEFT('Valuation Model'!L6,1)="M","Y","")</f>
        <v/>
      </c>
      <c r="H7" s="79" t="str">
        <f>IF(LEFT('Valuation Model'!L3,1)="M","Y",LEFT('Valuation Model'!L3,1))</f>
        <v>Y</v>
      </c>
      <c r="J7" s="86">
        <f>J6+2%</f>
        <v>0.04</v>
      </c>
      <c r="K7" s="84">
        <f t="shared" ca="1" si="1"/>
        <v>0.4</v>
      </c>
      <c r="L7" s="87" t="str">
        <f t="shared" ca="1" si="2"/>
        <v/>
      </c>
      <c r="M7" s="85" t="str">
        <f t="shared" ca="1" si="3"/>
        <v/>
      </c>
      <c r="N7" s="84">
        <f ca="1">LN('Histogram Data'!K7+0.01)-LN(price)</f>
        <v>-5.6137510207574897</v>
      </c>
      <c r="O7" s="84">
        <f ca="1">_xlfn.NORM.DIST(N7,0+0.03^3,AVERAGE('Valuation Model'!$K$22:$L$22),FALSE)/scaling</f>
        <v>3.8679996779607127E-108</v>
      </c>
    </row>
    <row r="8" spans="1:15" s="79" customFormat="1" ht="12">
      <c r="A8" s="82"/>
      <c r="B8" s="88" t="e">
        <f>'Valuation Model'!I4</f>
        <v>#DIV/0!</v>
      </c>
      <c r="C8" s="89">
        <f ca="1">'Valuation Model'!K4</f>
        <v>0</v>
      </c>
      <c r="D8" s="84" t="e">
        <f t="shared" ca="1" si="0"/>
        <v>#N/A</v>
      </c>
      <c r="E8" s="85">
        <f>IF(H8="N",5%/COUNTIF('Valuation Model'!$L$2:$L$9,"No"),IF(G8&lt;&gt;"Y",50%/(COUNTIF('Valuation Model'!$L$2:$L$9,"Yes")-COUNTIF(G$5:G$12,"Y")),45%/(COUNTIF(G$5:G$12,"Y"))))</f>
        <v>6.25E-2</v>
      </c>
      <c r="F8" s="79" t="s">
        <v>51</v>
      </c>
      <c r="G8" s="79" t="str">
        <f>IF(LEFT('Valuation Model'!L4,1)="M","Y","")</f>
        <v/>
      </c>
      <c r="H8" s="79" t="str">
        <f>IF(LEFT('Valuation Model'!L4,1)="M","Y",LEFT('Valuation Model'!L4,1))</f>
        <v>Y</v>
      </c>
      <c r="J8" s="86">
        <f t="shared" ref="J8:J55" si="4">J7+2%</f>
        <v>0.06</v>
      </c>
      <c r="K8" s="84">
        <f t="shared" ca="1" si="1"/>
        <v>0.6</v>
      </c>
      <c r="L8" s="87" t="str">
        <f t="shared" ca="1" si="2"/>
        <v/>
      </c>
      <c r="M8" s="85" t="str">
        <f t="shared" ca="1" si="3"/>
        <v/>
      </c>
      <c r="N8" s="84">
        <f ca="1">LN('Histogram Data'!K8+0.01)-LN(price)</f>
        <v>-5.2164492232884863</v>
      </c>
      <c r="O8" s="84">
        <f ca="1">_xlfn.NORM.DIST(N8,0+0.03^3,AVERAGE('Valuation Model'!$K$22:$L$22),FALSE)/scaling</f>
        <v>1.5303254160282872E-93</v>
      </c>
    </row>
    <row r="9" spans="1:15" s="79" customFormat="1" ht="12">
      <c r="A9" s="82"/>
      <c r="B9" s="88" t="e">
        <f>'Valuation Model'!I7</f>
        <v>#DIV/0!</v>
      </c>
      <c r="C9" s="89">
        <f ca="1">'Valuation Model'!K7</f>
        <v>0</v>
      </c>
      <c r="D9" s="84" t="e">
        <f t="shared" ca="1" si="0"/>
        <v>#N/A</v>
      </c>
      <c r="E9" s="85">
        <f>IF(H9="N",5%/COUNTIF('Valuation Model'!$L$2:$L$9,"No"),IF(G9&lt;&gt;"Y",50%/(COUNTIF('Valuation Model'!$L$2:$L$9,"Yes")-COUNTIF(G$5:G$12,"Y")),45%/(COUNTIF(G$5:G$12,"Y"))))</f>
        <v>6.25E-2</v>
      </c>
      <c r="F9" s="79" t="s">
        <v>51</v>
      </c>
      <c r="G9" s="79" t="str">
        <f>IF(LEFT('Valuation Model'!L7,1)="M","Y","")</f>
        <v/>
      </c>
      <c r="H9" s="79" t="str">
        <f>IF(LEFT('Valuation Model'!L7,1)="M","Y",LEFT('Valuation Model'!L7,1))</f>
        <v>Y</v>
      </c>
      <c r="J9" s="86">
        <f t="shared" si="4"/>
        <v>0.08</v>
      </c>
      <c r="K9" s="84">
        <f t="shared" ca="1" si="1"/>
        <v>0.8</v>
      </c>
      <c r="L9" s="87" t="str">
        <f t="shared" ca="1" si="2"/>
        <v/>
      </c>
      <c r="M9" s="85" t="str">
        <f t="shared" ca="1" si="3"/>
        <v/>
      </c>
      <c r="N9" s="84">
        <f ca="1">LN('Histogram Data'!K9+0.01)-LN(price)</f>
        <v>-4.9328739327893585</v>
      </c>
      <c r="O9" s="84">
        <f ca="1">_xlfn.NORM.DIST(N9,0+0.03^3,AVERAGE('Valuation Model'!$K$22:$L$22),FALSE)/scaling</f>
        <v>8.8844940633927979E-84</v>
      </c>
    </row>
    <row r="10" spans="1:15" s="79" customFormat="1" ht="12">
      <c r="A10" s="82"/>
      <c r="B10" s="88" t="e">
        <f>'Valuation Model'!I8</f>
        <v>#DIV/0!</v>
      </c>
      <c r="C10" s="89">
        <f ca="1">'Valuation Model'!K8</f>
        <v>0</v>
      </c>
      <c r="D10" s="84" t="e">
        <f t="shared" ca="1" si="0"/>
        <v>#N/A</v>
      </c>
      <c r="E10" s="85">
        <f>IF(H10="N",5%/COUNTIF('Valuation Model'!$L$2:$L$9,"No"),IF(G10&lt;&gt;"Y",50%/(COUNTIF('Valuation Model'!$L$2:$L$9,"Yes")-COUNTIF(G$5:G$12,"Y")),45%/(COUNTIF(G$5:G$12,"Y"))))</f>
        <v>6.25E-2</v>
      </c>
      <c r="F10" s="79" t="s">
        <v>51</v>
      </c>
      <c r="G10" s="79" t="str">
        <f>IF(LEFT('Valuation Model'!L5,1)="M","Y","")</f>
        <v/>
      </c>
      <c r="H10" s="79" t="str">
        <f>IF(LEFT('Valuation Model'!L8,1)="M","Y",LEFT('Valuation Model'!L8,1))</f>
        <v>Y</v>
      </c>
      <c r="J10" s="86">
        <f t="shared" si="4"/>
        <v>0.1</v>
      </c>
      <c r="K10" s="84">
        <f t="shared" ca="1" si="1"/>
        <v>1</v>
      </c>
      <c r="L10" s="87" t="str">
        <f t="shared" ca="1" si="2"/>
        <v/>
      </c>
      <c r="M10" s="85" t="str">
        <f t="shared" ca="1" si="3"/>
        <v/>
      </c>
      <c r="N10" s="84">
        <f ca="1">LN('Histogram Data'!K10+0.01)-LN(price)</f>
        <v>-4.7122025706205379</v>
      </c>
      <c r="O10" s="84">
        <f ca="1">_xlfn.NORM.DIST(N10,0+0.03^3,AVERAGE('Valuation Model'!$K$22:$L$22),FALSE)/scaling</f>
        <v>1.4761623201292426E-76</v>
      </c>
    </row>
    <row r="11" spans="1:15" s="79" customFormat="1" ht="12">
      <c r="A11" s="82"/>
      <c r="B11" s="88" t="e">
        <f>'Valuation Model'!I5</f>
        <v>#DIV/0!</v>
      </c>
      <c r="C11" s="89">
        <f ca="1">'Valuation Model'!K5</f>
        <v>0</v>
      </c>
      <c r="D11" s="84" t="e">
        <f t="shared" ca="1" si="0"/>
        <v>#N/A</v>
      </c>
      <c r="E11" s="85">
        <f>IF(H11="N",5%/COUNTIF('Valuation Model'!$L$2:$L$9,"No"),IF(G11&lt;&gt;"Y",50%/(COUNTIF('Valuation Model'!$L$2:$L$9,"Yes")-COUNTIF(G$5:G$12,"Y")),45%/(COUNTIF(G$5:G$12,"Y"))))</f>
        <v>6.25E-2</v>
      </c>
      <c r="F11" s="79" t="s">
        <v>51</v>
      </c>
      <c r="G11" s="79" t="str">
        <f>IF(LEFT('Valuation Model'!L8,1)="M","Y","")</f>
        <v/>
      </c>
      <c r="H11" s="79" t="str">
        <f>IF(LEFT('Valuation Model'!L5,1)="M","Y",LEFT('Valuation Model'!L5,1))</f>
        <v>Y</v>
      </c>
      <c r="J11" s="86">
        <f t="shared" si="4"/>
        <v>0.12000000000000001</v>
      </c>
      <c r="K11" s="84">
        <f t="shared" ca="1" si="1"/>
        <v>1.2000000000000002</v>
      </c>
      <c r="L11" s="87" t="str">
        <f t="shared" ca="1" si="2"/>
        <v/>
      </c>
      <c r="M11" s="85" t="str">
        <f t="shared" ca="1" si="3"/>
        <v/>
      </c>
      <c r="N11" s="84">
        <f ca="1">LN('Histogram Data'!K11+0.01)-LN(price)</f>
        <v>-4.5315325418650563</v>
      </c>
      <c r="O11" s="84">
        <f ca="1">_xlfn.NORM.DIST(N11,0+0.03^3,AVERAGE('Valuation Model'!$K$22:$L$22),FALSE)/scaling</f>
        <v>6.8356506598034234E-71</v>
      </c>
    </row>
    <row r="12" spans="1:15" s="79" customFormat="1" ht="12">
      <c r="A12" s="82"/>
      <c r="B12" s="88" t="e">
        <f>'Valuation Model'!I9</f>
        <v>#DIV/0!</v>
      </c>
      <c r="C12" s="89">
        <f ca="1">'Valuation Model'!K9</f>
        <v>0</v>
      </c>
      <c r="D12" s="84" t="e">
        <f t="shared" ca="1" si="0"/>
        <v>#N/A</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1.4000000000000001</v>
      </c>
      <c r="L12" s="87" t="str">
        <f t="shared" ca="1" si="2"/>
        <v/>
      </c>
      <c r="M12" s="85" t="str">
        <f t="shared" ca="1" si="3"/>
        <v/>
      </c>
      <c r="N12" s="84">
        <f ca="1">LN('Histogram Data'!K12+0.01)-LN(price)</f>
        <v>-4.3785631970836292</v>
      </c>
      <c r="O12" s="84">
        <f ca="1">_xlfn.NORM.DIST(N12,0+0.03^3,AVERAGE('Valuation Model'!$K$22:$L$22),FALSE)/scaling</f>
        <v>2.8748727879003405E-66</v>
      </c>
    </row>
    <row r="13" spans="1:15" s="79" customFormat="1" ht="12">
      <c r="A13" s="82"/>
      <c r="J13" s="86">
        <f t="shared" si="4"/>
        <v>0.16</v>
      </c>
      <c r="K13" s="84">
        <f t="shared" ca="1" si="1"/>
        <v>1.6</v>
      </c>
      <c r="L13" s="87" t="str">
        <f t="shared" ca="1" si="2"/>
        <v/>
      </c>
      <c r="M13" s="85" t="str">
        <f t="shared" ca="1" si="3"/>
        <v/>
      </c>
      <c r="N13" s="84">
        <f ca="1">LN('Histogram Data'!K13+0.01)-LN(price)</f>
        <v>-4.2459187224773345</v>
      </c>
      <c r="O13" s="84">
        <f ca="1">_xlfn.NORM.DIST(N13,0+0.03^3,AVERAGE('Valuation Model'!$K$22:$L$22),FALSE)/scaling</f>
        <v>2.1855952992779441E-62</v>
      </c>
    </row>
    <row r="14" spans="1:15" s="79" customFormat="1" ht="12">
      <c r="A14" s="82"/>
      <c r="J14" s="86">
        <f t="shared" si="4"/>
        <v>0.18</v>
      </c>
      <c r="K14" s="84">
        <f t="shared" ca="1" si="1"/>
        <v>1.7999999999999998</v>
      </c>
      <c r="L14" s="87" t="str">
        <f t="shared" ca="1" si="2"/>
        <v/>
      </c>
      <c r="M14" s="85" t="str">
        <f t="shared" ca="1" si="3"/>
        <v/>
      </c>
      <c r="N14" s="84">
        <f ca="1">LN('Histogram Data'!K14+0.01)-LN(price)</f>
        <v>-4.1288260561959715</v>
      </c>
      <c r="O14" s="84">
        <f ca="1">_xlfn.NORM.DIST(N14,0+0.03^3,AVERAGE('Valuation Model'!$K$22:$L$22),FALSE)/scaling</f>
        <v>4.6376522210442648E-59</v>
      </c>
    </row>
    <row r="15" spans="1:15" s="79" customFormat="1" ht="12">
      <c r="A15" s="82"/>
      <c r="J15" s="86">
        <f t="shared" si="4"/>
        <v>0.19999999999999998</v>
      </c>
      <c r="K15" s="84">
        <f t="shared" ca="1" si="1"/>
        <v>1.9999999999999998</v>
      </c>
      <c r="L15" s="87" t="str">
        <f t="shared" ca="1" si="2"/>
        <v/>
      </c>
      <c r="M15" s="85" t="str">
        <f t="shared" ca="1" si="3"/>
        <v/>
      </c>
      <c r="N15" s="84">
        <f ca="1">LN('Histogram Data'!K15+0.01)-LN(price)</f>
        <v>-4.0240181794027219</v>
      </c>
      <c r="O15" s="84">
        <f ca="1">_xlfn.NORM.DIST(N15,0+0.03^3,AVERAGE('Valuation Model'!$K$22:$L$22),FALSE)/scaling</f>
        <v>3.6737078845186842E-56</v>
      </c>
    </row>
    <row r="16" spans="1:15" s="79" customFormat="1" ht="12">
      <c r="A16" s="82"/>
      <c r="C16" s="83"/>
      <c r="D16" s="84"/>
      <c r="E16" s="85"/>
      <c r="J16" s="86">
        <f t="shared" si="4"/>
        <v>0.21999999999999997</v>
      </c>
      <c r="K16" s="84">
        <f t="shared" ca="1" si="1"/>
        <v>2.1999999999999997</v>
      </c>
      <c r="L16" s="87" t="str">
        <f t="shared" ca="1" si="2"/>
        <v/>
      </c>
      <c r="M16" s="85" t="str">
        <f t="shared" ca="1" si="3"/>
        <v/>
      </c>
      <c r="N16" s="84">
        <f ca="1">LN('Histogram Data'!K16+0.01)-LN(price)</f>
        <v>-3.9291603859440447</v>
      </c>
      <c r="O16" s="84">
        <f ca="1">_xlfn.NORM.DIST(N16,0+0.03^3,AVERAGE('Valuation Model'!$K$22:$L$22),FALSE)/scaling</f>
        <v>1.331853150856838E-53</v>
      </c>
    </row>
    <row r="17" spans="4:15" s="79" customFormat="1" ht="12">
      <c r="J17" s="86">
        <f t="shared" si="4"/>
        <v>0.23999999999999996</v>
      </c>
      <c r="K17" s="84">
        <f t="shared" ca="1" si="1"/>
        <v>2.3999999999999995</v>
      </c>
      <c r="L17" s="87" t="str">
        <f t="shared" ca="1" si="2"/>
        <v/>
      </c>
      <c r="M17" s="85" t="str">
        <f t="shared" ca="1" si="3"/>
        <v/>
      </c>
      <c r="N17" s="84">
        <f ca="1">LN('Histogram Data'!K17+0.01)-LN(price)</f>
        <v>-3.8425261539711424</v>
      </c>
      <c r="O17" s="84">
        <f ca="1">_xlfn.NORM.DIST(N17,0+0.03^3,AVERAGE('Valuation Model'!$K$22:$L$22),FALSE)/scaling</f>
        <v>2.5620512087624434E-51</v>
      </c>
    </row>
    <row r="18" spans="4:15" s="79" customFormat="1" ht="12">
      <c r="D18" s="86"/>
      <c r="J18" s="86">
        <f t="shared" si="4"/>
        <v>0.25999999999999995</v>
      </c>
      <c r="K18" s="84">
        <f t="shared" ca="1" si="1"/>
        <v>2.5999999999999996</v>
      </c>
      <c r="L18" s="87" t="str">
        <f t="shared" ca="1" si="2"/>
        <v/>
      </c>
      <c r="M18" s="85" t="str">
        <f t="shared" ca="1" si="3"/>
        <v/>
      </c>
      <c r="N18" s="84">
        <f ca="1">LN('Histogram Data'!K18+0.01)-LN(price)</f>
        <v>-3.7628026801391039</v>
      </c>
      <c r="O18" s="84">
        <f ca="1">_xlfn.NORM.DIST(N18,0+0.03^3,AVERAGE('Valuation Model'!$K$22:$L$22),FALSE)/scaling</f>
        <v>2.9209411285776937E-49</v>
      </c>
    </row>
    <row r="19" spans="4:15" s="79" customFormat="1" ht="12">
      <c r="D19" s="90"/>
      <c r="J19" s="86">
        <f t="shared" si="4"/>
        <v>0.27999999999999997</v>
      </c>
      <c r="K19" s="84">
        <f t="shared" ca="1" si="1"/>
        <v>2.8</v>
      </c>
      <c r="L19" s="87" t="str">
        <f t="shared" ca="1" si="2"/>
        <v/>
      </c>
      <c r="M19" s="85" t="str">
        <f t="shared" ca="1" si="3"/>
        <v/>
      </c>
      <c r="N19" s="84">
        <f ca="1">LN('Histogram Data'!K19+0.01)-LN(price)</f>
        <v>-3.6889684181280513</v>
      </c>
      <c r="O19" s="84">
        <f ca="1">_xlfn.NORM.DIST(N19,0+0.03^3,AVERAGE('Valuation Model'!$K$22:$L$22),FALSE)/scaling</f>
        <v>2.1480680413271789E-47</v>
      </c>
    </row>
    <row r="20" spans="4:15" s="79" customFormat="1" ht="12">
      <c r="J20" s="86">
        <f t="shared" si="4"/>
        <v>0.3</v>
      </c>
      <c r="K20" s="84">
        <f t="shared" ca="1" si="1"/>
        <v>3</v>
      </c>
      <c r="L20" s="87" t="str">
        <f t="shared" ca="1" si="2"/>
        <v/>
      </c>
      <c r="M20" s="85" t="str">
        <f t="shared" ca="1" si="3"/>
        <v/>
      </c>
      <c r="N20" s="84">
        <f ca="1">LN('Histogram Data'!K20+0.01)-LN(price)</f>
        <v>-3.6202128227129213</v>
      </c>
      <c r="O20" s="84">
        <f ca="1">_xlfn.NORM.DIST(N20,0+0.03^3,AVERAGE('Valuation Model'!$K$22:$L$22),FALSE)/scaling</f>
        <v>1.0887441921252423E-45</v>
      </c>
    </row>
    <row r="21" spans="4:15" s="79" customFormat="1" ht="12">
      <c r="J21" s="86">
        <f t="shared" si="4"/>
        <v>0.32</v>
      </c>
      <c r="K21" s="84">
        <f t="shared" ca="1" si="1"/>
        <v>3.2</v>
      </c>
      <c r="L21" s="87" t="str">
        <f t="shared" ca="1" si="2"/>
        <v/>
      </c>
      <c r="M21" s="85" t="str">
        <f t="shared" ca="1" si="3"/>
        <v/>
      </c>
      <c r="N21" s="84">
        <f ca="1">LN('Histogram Data'!K21+0.01)-LN(price)</f>
        <v>-3.5558819643317814</v>
      </c>
      <c r="O21" s="84">
        <f ca="1">_xlfn.NORM.DIST(N21,0+0.03^3,AVERAGE('Valuation Model'!$K$22:$L$22),FALSE)/scaling</f>
        <v>4.009057746278028E-44</v>
      </c>
    </row>
    <row r="22" spans="4:15" s="79" customFormat="1" ht="12">
      <c r="J22" s="86">
        <f t="shared" si="4"/>
        <v>0.34</v>
      </c>
      <c r="K22" s="84">
        <f t="shared" ca="1" si="1"/>
        <v>3.4000000000000004</v>
      </c>
      <c r="L22" s="87" t="str">
        <f t="shared" ca="1" si="2"/>
        <v/>
      </c>
      <c r="M22" s="85" t="str">
        <f t="shared" ca="1" si="3"/>
        <v/>
      </c>
      <c r="N22" s="84">
        <f ca="1">LN('Histogram Data'!K22+0.01)-LN(price)</f>
        <v>-3.4954406101782807</v>
      </c>
      <c r="O22" s="84">
        <f ca="1">_xlfn.NORM.DIST(N22,0+0.03^3,AVERAGE('Valuation Model'!$K$22:$L$22),FALSE)/scaling</f>
        <v>1.1191442839569753E-42</v>
      </c>
    </row>
    <row r="23" spans="4:15" s="79" customFormat="1" ht="12">
      <c r="J23" s="86">
        <f t="shared" si="4"/>
        <v>0.36000000000000004</v>
      </c>
      <c r="K23" s="84">
        <f t="shared" ca="1" si="1"/>
        <v>3.6000000000000005</v>
      </c>
      <c r="L23" s="87" t="str">
        <f t="shared" ca="1" si="2"/>
        <v/>
      </c>
      <c r="M23" s="85" t="str">
        <f t="shared" ca="1" si="3"/>
        <v/>
      </c>
      <c r="N23" s="84">
        <f ca="1">LN('Histogram Data'!K23+0.01)-LN(price)</f>
        <v>-3.4384451291289162</v>
      </c>
      <c r="O23" s="84">
        <f ca="1">_xlfn.NORM.DIST(N23,0+0.03^3,AVERAGE('Valuation Model'!$K$22:$L$22),FALSE)/scaling</f>
        <v>2.4524079734371617E-41</v>
      </c>
    </row>
    <row r="24" spans="4:15" s="79" customFormat="1" ht="12">
      <c r="J24" s="86">
        <f t="shared" si="4"/>
        <v>0.38000000000000006</v>
      </c>
      <c r="K24" s="84">
        <f t="shared" ca="1" si="1"/>
        <v>3.8000000000000007</v>
      </c>
      <c r="L24" s="87" t="str">
        <f t="shared" ca="1" si="2"/>
        <v/>
      </c>
      <c r="M24" s="85" t="str">
        <f t="shared" ca="1" si="3"/>
        <v/>
      </c>
      <c r="N24" s="84">
        <f ca="1">LN('Histogram Data'!K24+0.01)-LN(price)</f>
        <v>-3.3845237123350964</v>
      </c>
      <c r="O24" s="84">
        <f ca="1">_xlfn.NORM.DIST(N24,0+0.03^3,AVERAGE('Valuation Model'!$K$22:$L$22),FALSE)/scaling</f>
        <v>4.3420867530153818E-40</v>
      </c>
    </row>
    <row r="25" spans="4:15" s="79" customFormat="1" ht="12">
      <c r="J25" s="86">
        <f t="shared" si="4"/>
        <v>0.40000000000000008</v>
      </c>
      <c r="K25" s="84">
        <f t="shared" ca="1" si="1"/>
        <v>4.0000000000000009</v>
      </c>
      <c r="L25" s="87" t="str">
        <f t="shared" ca="1" si="2"/>
        <v/>
      </c>
      <c r="M25" s="85" t="str">
        <f t="shared" ca="1" si="3"/>
        <v/>
      </c>
      <c r="N25" s="84">
        <f ca="1">LN('Histogram Data'!K25+0.01)-LN(price)</f>
        <v>-3.3333616601552278</v>
      </c>
      <c r="O25" s="84">
        <f ca="1">_xlfn.NORM.DIST(N25,0+0.03^3,AVERAGE('Valuation Model'!$K$22:$L$22),FALSE)/scaling</f>
        <v>6.363487057966982E-39</v>
      </c>
    </row>
    <row r="26" spans="4:15" s="79" customFormat="1" ht="12">
      <c r="J26" s="86">
        <f t="shared" si="4"/>
        <v>0.4200000000000001</v>
      </c>
      <c r="K26" s="84">
        <f t="shared" ca="1" si="1"/>
        <v>4.2000000000000011</v>
      </c>
      <c r="L26" s="87" t="str">
        <f t="shared" ca="1" si="2"/>
        <v/>
      </c>
      <c r="M26" s="85" t="str">
        <f t="shared" ca="1" si="3"/>
        <v/>
      </c>
      <c r="N26" s="84">
        <f ca="1">LN('Histogram Data'!K26+0.01)-LN(price)</f>
        <v>-3.2846902537794156</v>
      </c>
      <c r="O26" s="84">
        <f ca="1">_xlfn.NORM.DIST(N26,0+0.03^3,AVERAGE('Valuation Model'!$K$22:$L$22),FALSE)/scaling</f>
        <v>7.8785325435555609E-38</v>
      </c>
    </row>
    <row r="27" spans="4:15" s="79" customFormat="1" ht="12">
      <c r="J27" s="86">
        <f t="shared" si="4"/>
        <v>0.44000000000000011</v>
      </c>
      <c r="K27" s="84">
        <f t="shared" ca="1" si="1"/>
        <v>4.4000000000000012</v>
      </c>
      <c r="L27" s="87" t="str">
        <f t="shared" ca="1" si="2"/>
        <v/>
      </c>
      <c r="M27" s="85" t="str">
        <f t="shared" ca="1" si="3"/>
        <v/>
      </c>
      <c r="N27" s="84">
        <f ca="1">LN('Histogram Data'!K27+0.01)-LN(price)</f>
        <v>-3.2382782120149507</v>
      </c>
      <c r="O27" s="84">
        <f ca="1">_xlfn.NORM.DIST(N27,0+0.03^3,AVERAGE('Valuation Model'!$K$22:$L$22),FALSE)/scaling</f>
        <v>8.3849070745853497E-37</v>
      </c>
    </row>
    <row r="28" spans="4:15" s="79" customFormat="1" ht="12">
      <c r="J28" s="86">
        <f t="shared" si="4"/>
        <v>0.46000000000000013</v>
      </c>
      <c r="K28" s="84">
        <f t="shared" ca="1" si="1"/>
        <v>4.6000000000000014</v>
      </c>
      <c r="L28" s="87" t="str">
        <f t="shared" ca="1" si="2"/>
        <v/>
      </c>
      <c r="M28" s="85" t="str">
        <f t="shared" ca="1" si="3"/>
        <v/>
      </c>
      <c r="N28" s="84">
        <f ca="1">LN('Histogram Data'!K28+0.01)-LN(price)</f>
        <v>-3.1939250444651481</v>
      </c>
      <c r="O28" s="84">
        <f ca="1">_xlfn.NORM.DIST(N28,0+0.03^3,AVERAGE('Valuation Model'!$K$22:$L$22),FALSE)/scaling</f>
        <v>7.7863378871911519E-36</v>
      </c>
    </row>
    <row r="29" spans="4:15" s="79" customFormat="1" ht="12">
      <c r="J29" s="86">
        <f t="shared" si="4"/>
        <v>0.48000000000000015</v>
      </c>
      <c r="K29" s="84">
        <f t="shared" ca="1" si="1"/>
        <v>4.8000000000000016</v>
      </c>
      <c r="L29" s="87" t="str">
        <f t="shared" ca="1" si="2"/>
        <v/>
      </c>
      <c r="M29" s="85" t="str">
        <f t="shared" ca="1" si="3"/>
        <v/>
      </c>
      <c r="N29" s="84">
        <f ca="1">LN('Histogram Data'!K29+0.01)-LN(price)</f>
        <v>-3.1514558173560356</v>
      </c>
      <c r="O29" s="84">
        <f ca="1">_xlfn.NORM.DIST(N29,0+0.03^3,AVERAGE('Valuation Model'!$K$22:$L$22),FALSE)/scaling</f>
        <v>6.3907182891822187E-35</v>
      </c>
    </row>
    <row r="30" spans="4:15" s="79" customFormat="1" ht="12">
      <c r="J30" s="86">
        <f t="shared" si="4"/>
        <v>0.50000000000000011</v>
      </c>
      <c r="K30" s="84">
        <f t="shared" ca="1" si="1"/>
        <v>5.0000000000000009</v>
      </c>
      <c r="L30" s="87" t="str">
        <f ca="1">L33</f>
        <v/>
      </c>
      <c r="M30" s="85" t="str">
        <f t="shared" ca="1" si="3"/>
        <v/>
      </c>
      <c r="N30" s="84">
        <f ca="1">LN('Histogram Data'!K30+0.01)-LN(price)</f>
        <v>-3.1107169863769322</v>
      </c>
      <c r="O30" s="84">
        <f ca="1">_xlfn.NORM.DIST(N30,0+0.03^3,AVERAGE('Valuation Model'!$K$22:$L$22),FALSE)/scaling</f>
        <v>4.6883163009196581E-34</v>
      </c>
    </row>
    <row r="31" spans="4:15" s="79" customFormat="1" ht="12">
      <c r="J31" s="86">
        <f t="shared" si="4"/>
        <v>0.52000000000000013</v>
      </c>
      <c r="K31" s="84">
        <f t="shared" ca="1" si="1"/>
        <v>5.2000000000000011</v>
      </c>
      <c r="L31" s="87" t="str">
        <f t="shared" ca="1" si="2"/>
        <v/>
      </c>
      <c r="M31" s="85" t="str">
        <f t="shared" ca="1" si="3"/>
        <v/>
      </c>
      <c r="N31" s="84">
        <f ca="1">LN('Histogram Data'!K31+0.01)-LN(price)</f>
        <v>-3.0715730457084298</v>
      </c>
      <c r="O31" s="84">
        <f ca="1">_xlfn.NORM.DIST(N31,0+0.03^3,AVERAGE('Valuation Model'!$K$22:$L$22),FALSE)/scaling</f>
        <v>3.1045159601091494E-33</v>
      </c>
    </row>
    <row r="32" spans="4:15" s="79" customFormat="1" ht="12">
      <c r="J32" s="86">
        <f t="shared" si="4"/>
        <v>0.54000000000000015</v>
      </c>
      <c r="K32" s="84">
        <f t="shared" ca="1" si="1"/>
        <v>5.4000000000000012</v>
      </c>
      <c r="L32" s="87" t="str">
        <f t="shared" ca="1" si="2"/>
        <v/>
      </c>
      <c r="M32" s="85" t="str">
        <f t="shared" ca="1" si="3"/>
        <v/>
      </c>
      <c r="N32" s="84">
        <f ca="1">LN('Histogram Data'!K32+0.01)-LN(price)</f>
        <v>-3.0339038086153156</v>
      </c>
      <c r="O32" s="84">
        <f ca="1">_xlfn.NORM.DIST(N32,0+0.03^3,AVERAGE('Valuation Model'!$K$22:$L$22),FALSE)/scaling</f>
        <v>1.8716536415210896E-32</v>
      </c>
    </row>
    <row r="33" spans="10:15" s="79" customFormat="1" ht="12">
      <c r="J33" s="86">
        <f t="shared" si="4"/>
        <v>0.56000000000000016</v>
      </c>
      <c r="K33" s="84">
        <f t="shared" ca="1" si="1"/>
        <v>5.6000000000000014</v>
      </c>
      <c r="L33" s="87" t="str">
        <f t="shared" ca="1" si="2"/>
        <v/>
      </c>
      <c r="M33" s="85" t="str">
        <f t="shared" ca="1" si="3"/>
        <v/>
      </c>
      <c r="N33" s="84">
        <f ca="1">LN('Histogram Data'!K33+0.01)-LN(price)</f>
        <v>-2.9976021819391008</v>
      </c>
      <c r="O33" s="84">
        <f ca="1">_xlfn.NORM.DIST(N33,0+0.03^3,AVERAGE('Valuation Model'!$K$22:$L$22),FALSE)/scaling</f>
        <v>1.0351911515752908E-31</v>
      </c>
    </row>
    <row r="34" spans="10:15" s="79" customFormat="1" ht="12">
      <c r="J34" s="86">
        <f t="shared" si="4"/>
        <v>0.58000000000000018</v>
      </c>
      <c r="K34" s="84">
        <f t="shared" ca="1" si="1"/>
        <v>5.8000000000000016</v>
      </c>
      <c r="L34" s="87" t="str">
        <f t="shared" ca="1" si="2"/>
        <v/>
      </c>
      <c r="M34" s="85" t="str">
        <f t="shared" ca="1" si="3"/>
        <v/>
      </c>
      <c r="N34" s="84">
        <f ca="1">LN('Histogram Data'!K34+0.01)-LN(price)</f>
        <v>-2.9625723306098859</v>
      </c>
      <c r="O34" s="84">
        <f ca="1">_xlfn.NORM.DIST(N34,0+0.03^3,AVERAGE('Valuation Model'!$K$22:$L$22),FALSE)/scaling</f>
        <v>5.2882995077265083E-31</v>
      </c>
    </row>
    <row r="35" spans="10:15" s="79" customFormat="1" ht="12">
      <c r="J35" s="86">
        <f t="shared" si="4"/>
        <v>0.6000000000000002</v>
      </c>
      <c r="K35" s="84">
        <f t="shared" ca="1" si="1"/>
        <v>6.0000000000000018</v>
      </c>
      <c r="L35" s="87" t="str">
        <f t="shared" ca="1" si="2"/>
        <v/>
      </c>
      <c r="M35" s="85" t="str">
        <f t="shared" ca="1" si="3"/>
        <v/>
      </c>
      <c r="N35" s="84">
        <f ca="1">LN('Histogram Data'!K35+0.01)-LN(price)</f>
        <v>-2.9287281529265892</v>
      </c>
      <c r="O35" s="84">
        <f ca="1">_xlfn.NORM.DIST(N35,0+0.03^3,AVERAGE('Valuation Model'!$K$22:$L$22),FALSE)/scaling</f>
        <v>2.5103237983038074E-30</v>
      </c>
    </row>
    <row r="36" spans="10:15" s="79" customFormat="1" ht="12">
      <c r="J36" s="86">
        <f t="shared" si="4"/>
        <v>0.62000000000000022</v>
      </c>
      <c r="K36" s="84">
        <f t="shared" ca="1" si="1"/>
        <v>6.200000000000002</v>
      </c>
      <c r="L36" s="87" t="str">
        <f t="shared" ca="1" si="2"/>
        <v/>
      </c>
      <c r="M36" s="85" t="str">
        <f t="shared" ca="1" si="3"/>
        <v/>
      </c>
      <c r="N36" s="84">
        <f ca="1">LN('Histogram Data'!K36+0.01)-LN(price)</f>
        <v>-2.8959920055283179</v>
      </c>
      <c r="O36" s="84">
        <f ca="1">_xlfn.NORM.DIST(N36,0+0.03^3,AVERAGE('Valuation Model'!$K$22:$L$22),FALSE)/scaling</f>
        <v>1.1132792007914084E-29</v>
      </c>
    </row>
    <row r="37" spans="10:15" s="79" customFormat="1" ht="12">
      <c r="J37" s="86">
        <f t="shared" si="4"/>
        <v>0.64000000000000024</v>
      </c>
      <c r="K37" s="84">
        <f t="shared" ca="1" si="1"/>
        <v>6.4000000000000021</v>
      </c>
      <c r="L37" s="87" t="str">
        <f t="shared" ca="1" si="2"/>
        <v/>
      </c>
      <c r="M37" s="85" t="str">
        <f t="shared" ca="1" si="3"/>
        <v/>
      </c>
      <c r="N37" s="84">
        <f ca="1">LN('Histogram Data'!K37+0.01)-LN(price)</f>
        <v>-2.8642936305411268</v>
      </c>
      <c r="O37" s="84">
        <f ca="1">_xlfn.NORM.DIST(N37,0+0.03^3,AVERAGE('Valuation Model'!$K$22:$L$22),FALSE)/scaling</f>
        <v>4.6349263239368562E-29</v>
      </c>
    </row>
    <row r="38" spans="10:15" s="79" customFormat="1" ht="12">
      <c r="J38" s="86">
        <f t="shared" si="4"/>
        <v>0.66000000000000025</v>
      </c>
      <c r="K38" s="84">
        <f t="shared" ca="1" si="1"/>
        <v>6.6000000000000023</v>
      </c>
      <c r="L38" s="87" t="str">
        <f t="shared" ca="1" si="2"/>
        <v/>
      </c>
      <c r="M38" s="85" t="str">
        <f t="shared" ca="1" si="3"/>
        <v/>
      </c>
      <c r="N38" s="84">
        <f ca="1">LN('Histogram Data'!K38+0.01)-LN(price)</f>
        <v>-2.8335692476101109</v>
      </c>
      <c r="O38" s="84">
        <f ca="1">_xlfn.NORM.DIST(N38,0+0.03^3,AVERAGE('Valuation Model'!$K$22:$L$22),FALSE)/scaling</f>
        <v>1.8194569219763687E-28</v>
      </c>
    </row>
    <row r="39" spans="10:15" s="79" customFormat="1" ht="12">
      <c r="J39" s="86">
        <f t="shared" si="4"/>
        <v>0.68000000000000027</v>
      </c>
      <c r="K39" s="84">
        <f t="shared" ca="1" si="1"/>
        <v>6.8000000000000025</v>
      </c>
      <c r="L39" s="87" t="str">
        <f t="shared" ca="1" si="2"/>
        <v/>
      </c>
      <c r="M39" s="85" t="str">
        <f t="shared" ca="1" si="3"/>
        <v/>
      </c>
      <c r="N39" s="84">
        <f ca="1">LN('Histogram Data'!K39+0.01)-LN(price)</f>
        <v>-2.8037607813122847</v>
      </c>
      <c r="O39" s="84">
        <f ca="1">_xlfn.NORM.DIST(N39,0+0.03^3,AVERAGE('Valuation Model'!$K$22:$L$22),FALSE)/scaling</f>
        <v>6.7610608907881072E-28</v>
      </c>
    </row>
    <row r="40" spans="10:15" s="79" customFormat="1" ht="12">
      <c r="J40" s="86">
        <f t="shared" si="4"/>
        <v>0.70000000000000029</v>
      </c>
      <c r="K40" s="84">
        <f t="shared" ca="1" si="1"/>
        <v>7.0000000000000027</v>
      </c>
      <c r="L40" s="87" t="str">
        <f t="shared" ca="1" si="2"/>
        <v/>
      </c>
      <c r="M40" s="85" t="str">
        <f t="shared" ca="1" si="3"/>
        <v/>
      </c>
      <c r="N40" s="84">
        <f ca="1">LN('Histogram Data'!K40+0.01)-LN(price)</f>
        <v>-2.7748152004272066</v>
      </c>
      <c r="O40" s="84">
        <f ca="1">_xlfn.NORM.DIST(N40,0+0.03^3,AVERAGE('Valuation Model'!$K$22:$L$22),FALSE)/scaling</f>
        <v>2.3868009317039076E-27</v>
      </c>
    </row>
    <row r="41" spans="10:15" s="79" customFormat="1" ht="12">
      <c r="J41" s="86">
        <f t="shared" si="4"/>
        <v>0.72000000000000031</v>
      </c>
      <c r="K41" s="84">
        <f t="shared" ca="1" si="1"/>
        <v>7.2000000000000028</v>
      </c>
      <c r="L41" s="87" t="str">
        <f t="shared" ca="1" si="2"/>
        <v/>
      </c>
      <c r="M41" s="85" t="str">
        <f t="shared" ca="1" si="3"/>
        <v/>
      </c>
      <c r="N41" s="84">
        <f ca="1">LN('Histogram Data'!K41+0.01)-LN(price)</f>
        <v>-2.7466839501768474</v>
      </c>
      <c r="O41" s="84">
        <f ca="1">_xlfn.NORM.DIST(N41,0+0.03^3,AVERAGE('Valuation Model'!$K$22:$L$22),FALSE)/scaling</f>
        <v>8.0308054954775158E-27</v>
      </c>
    </row>
    <row r="42" spans="10:15" s="79" customFormat="1" ht="12">
      <c r="J42" s="86">
        <f t="shared" si="4"/>
        <v>0.74000000000000032</v>
      </c>
      <c r="K42" s="84">
        <f t="shared" ca="1" si="1"/>
        <v>7.400000000000003</v>
      </c>
      <c r="L42" s="87" t="str">
        <f t="shared" ca="1" si="2"/>
        <v/>
      </c>
      <c r="M42" s="85" t="str">
        <f t="shared" ca="1" si="3"/>
        <v/>
      </c>
      <c r="N42" s="84">
        <f ca="1">LN('Histogram Data'!K42+0.01)-LN(price)</f>
        <v>-2.7193224621657097</v>
      </c>
      <c r="O42" s="84">
        <f ca="1">_xlfn.NORM.DIST(N42,0+0.03^3,AVERAGE('Valuation Model'!$K$22:$L$22),FALSE)/scaling</f>
        <v>2.583046223801544E-26</v>
      </c>
    </row>
    <row r="43" spans="10:15" s="79" customFormat="1" ht="12">
      <c r="J43" s="86">
        <f t="shared" si="4"/>
        <v>0.76000000000000034</v>
      </c>
      <c r="K43" s="84">
        <f t="shared" ca="1" si="1"/>
        <v>7.6000000000000032</v>
      </c>
      <c r="L43" s="87" t="str">
        <f t="shared" ca="1" si="2"/>
        <v/>
      </c>
      <c r="M43" s="85" t="str">
        <f t="shared" ca="1" si="3"/>
        <v/>
      </c>
      <c r="N43" s="84">
        <f ca="1">LN('Histogram Data'!K43+0.01)-LN(price)</f>
        <v>-2.6926897296001111</v>
      </c>
      <c r="O43" s="84">
        <f ca="1">_xlfn.NORM.DIST(N43,0+0.03^3,AVERAGE('Valuation Model'!$K$22:$L$22),FALSE)/scaling</f>
        <v>7.963670988027043E-26</v>
      </c>
    </row>
    <row r="44" spans="10:15" s="79" customFormat="1" ht="12">
      <c r="J44" s="86">
        <f t="shared" si="4"/>
        <v>0.78000000000000036</v>
      </c>
      <c r="K44" s="84">
        <f t="shared" ca="1" si="1"/>
        <v>7.8000000000000034</v>
      </c>
      <c r="L44" s="87" t="str">
        <f t="shared" ca="1" si="2"/>
        <v/>
      </c>
      <c r="M44" s="85" t="str">
        <f t="shared" ca="1" si="3"/>
        <v/>
      </c>
      <c r="N44" s="84">
        <f ca="1">LN('Histogram Data'!K44+0.01)-LN(price)</f>
        <v>-2.6667479376221106</v>
      </c>
      <c r="O44" s="84">
        <f ca="1">_xlfn.NORM.DIST(N44,0+0.03^3,AVERAGE('Valuation Model'!$K$22:$L$22),FALSE)/scaling</f>
        <v>2.3592924584939821E-25</v>
      </c>
    </row>
    <row r="45" spans="10:15" s="79" customFormat="1" ht="12">
      <c r="J45" s="86">
        <f t="shared" si="4"/>
        <v>0.80000000000000038</v>
      </c>
      <c r="K45" s="84">
        <f t="shared" ca="1" si="1"/>
        <v>8.0000000000000036</v>
      </c>
      <c r="L45" s="87" t="str">
        <f t="shared" ca="1" si="2"/>
        <v/>
      </c>
      <c r="M45" s="85" t="str">
        <f t="shared" ca="1" si="3"/>
        <v/>
      </c>
      <c r="N45" s="84">
        <f ca="1">LN('Histogram Data'!K45+0.01)-LN(price)</f>
        <v>-2.6414621403934375</v>
      </c>
      <c r="O45" s="84">
        <f ca="1">_xlfn.NORM.DIST(N45,0+0.03^3,AVERAGE('Valuation Model'!$K$22:$L$22),FALSE)/scaling</f>
        <v>6.7317618355802221E-25</v>
      </c>
    </row>
    <row r="46" spans="10:15" s="79" customFormat="1" ht="12">
      <c r="J46" s="86">
        <f t="shared" si="4"/>
        <v>0.8200000000000004</v>
      </c>
      <c r="K46" s="84">
        <f t="shared" ca="1" si="1"/>
        <v>8.2000000000000046</v>
      </c>
      <c r="L46" s="87" t="str">
        <f t="shared" ca="1" si="2"/>
        <v/>
      </c>
      <c r="M46" s="85" t="str">
        <f t="shared" ca="1" si="3"/>
        <v/>
      </c>
      <c r="N46" s="84">
        <f ca="1">LN('Histogram Data'!K46+0.01)-LN(price)</f>
        <v>-2.6167999780093685</v>
      </c>
      <c r="O46" s="84">
        <f ca="1">_xlfn.NORM.DIST(N46,0+0.03^3,AVERAGE('Valuation Model'!$K$22:$L$22),FALSE)/scaling</f>
        <v>1.8538149467681713E-24</v>
      </c>
    </row>
    <row r="47" spans="10:15" s="79" customFormat="1" ht="12">
      <c r="J47" s="86">
        <f t="shared" si="4"/>
        <v>0.84000000000000041</v>
      </c>
      <c r="K47" s="84">
        <f t="shared" ca="1" si="1"/>
        <v>8.4000000000000039</v>
      </c>
      <c r="L47" s="87" t="str">
        <f t="shared" ca="1" si="2"/>
        <v/>
      </c>
      <c r="M47" s="85" t="str">
        <f t="shared" ca="1" si="3"/>
        <v/>
      </c>
      <c r="N47" s="84">
        <f ca="1">LN('Histogram Data'!K47+0.01)-LN(price)</f>
        <v>-2.5927314274888489</v>
      </c>
      <c r="O47" s="84">
        <f ca="1">_xlfn.NORM.DIST(N47,0+0.03^3,AVERAGE('Valuation Model'!$K$22:$L$22),FALSE)/scaling</f>
        <v>4.9366905424117218E-24</v>
      </c>
    </row>
    <row r="48" spans="10:15" s="79" customFormat="1" ht="12">
      <c r="J48" s="86">
        <f t="shared" si="4"/>
        <v>0.86000000000000043</v>
      </c>
      <c r="K48" s="84">
        <f t="shared" ca="1" si="1"/>
        <v>8.600000000000005</v>
      </c>
      <c r="L48" s="87" t="str">
        <f t="shared" ca="1" si="2"/>
        <v/>
      </c>
      <c r="M48" s="85" t="str">
        <f t="shared" ca="1" si="3"/>
        <v/>
      </c>
      <c r="N48" s="84">
        <f ca="1">LN('Histogram Data'!K48+0.01)-LN(price)</f>
        <v>-2.5692285830340658</v>
      </c>
      <c r="O48" s="84">
        <f ca="1">_xlfn.NORM.DIST(N48,0+0.03^3,AVERAGE('Valuation Model'!$K$22:$L$22),FALSE)/scaling</f>
        <v>1.2735458717356783E-23</v>
      </c>
    </row>
    <row r="49" spans="10:15" s="79" customFormat="1" ht="12">
      <c r="J49" s="86">
        <f t="shared" si="4"/>
        <v>0.88000000000000045</v>
      </c>
      <c r="K49" s="84">
        <f t="shared" ca="1" si="1"/>
        <v>8.8000000000000043</v>
      </c>
      <c r="L49" s="87" t="str">
        <f t="shared" ca="1" si="2"/>
        <v/>
      </c>
      <c r="M49" s="85" t="str">
        <f t="shared" ca="1" si="3"/>
        <v/>
      </c>
      <c r="N49" s="84">
        <f ca="1">LN('Histogram Data'!K49+0.01)-LN(price)</f>
        <v>-2.5462654615256173</v>
      </c>
      <c r="O49" s="84">
        <f ca="1">_xlfn.NORM.DIST(N49,0+0.03^3,AVERAGE('Valuation Model'!$K$22:$L$22),FALSE)/scaling</f>
        <v>3.1880268406269223E-23</v>
      </c>
    </row>
    <row r="50" spans="10:15" s="79" customFormat="1" ht="12">
      <c r="J50" s="86">
        <f t="shared" si="4"/>
        <v>0.90000000000000047</v>
      </c>
      <c r="K50" s="84">
        <f t="shared" ca="1" si="1"/>
        <v>9.0000000000000053</v>
      </c>
      <c r="L50" s="87" t="str">
        <f t="shared" ca="1" si="2"/>
        <v/>
      </c>
      <c r="M50" s="85" t="str">
        <f t="shared" ca="1" si="3"/>
        <v/>
      </c>
      <c r="N50" s="84">
        <f ca="1">LN('Histogram Data'!K50+0.01)-LN(price)</f>
        <v>-2.5238178298534586</v>
      </c>
      <c r="O50" s="84">
        <f ca="1">_xlfn.NORM.DIST(N50,0+0.03^3,AVERAGE('Valuation Model'!$K$22:$L$22),FALSE)/scaling</f>
        <v>7.7557763200111947E-23</v>
      </c>
    </row>
    <row r="51" spans="10:15" s="79" customFormat="1" ht="12">
      <c r="J51" s="86">
        <f t="shared" si="4"/>
        <v>0.92000000000000048</v>
      </c>
      <c r="K51" s="84">
        <f t="shared" ca="1" si="1"/>
        <v>9.2000000000000046</v>
      </c>
      <c r="L51" s="87" t="str">
        <f t="shared" ca="1" si="2"/>
        <v/>
      </c>
      <c r="M51" s="85" t="str">
        <f t="shared" ca="1" si="3"/>
        <v/>
      </c>
      <c r="N51" s="84">
        <f ca="1">LN('Histogram Data'!K51+0.01)-LN(price)</f>
        <v>-2.5018630512064899</v>
      </c>
      <c r="O51" s="84">
        <f ca="1">_xlfn.NORM.DIST(N51,0+0.03^3,AVERAGE('Valuation Model'!$K$22:$L$22),FALSE)/scaling</f>
        <v>1.8363028528579804E-22</v>
      </c>
    </row>
    <row r="52" spans="10:15" s="79" customFormat="1" ht="12">
      <c r="J52" s="86">
        <f t="shared" si="4"/>
        <v>0.9400000000000005</v>
      </c>
      <c r="K52" s="84">
        <f t="shared" ca="1" si="1"/>
        <v>9.4000000000000057</v>
      </c>
      <c r="L52" s="87" t="str">
        <f t="shared" ca="1" si="2"/>
        <v/>
      </c>
      <c r="M52" s="85" t="str">
        <f t="shared" ca="1" si="3"/>
        <v/>
      </c>
      <c r="N52" s="84">
        <f ca="1">LN('Histogram Data'!K52+0.01)-LN(price)</f>
        <v>-2.480379947876417</v>
      </c>
      <c r="O52" s="84">
        <f ca="1">_xlfn.NORM.DIST(N52,0+0.03^3,AVERAGE('Valuation Model'!$K$22:$L$22),FALSE)/scaling</f>
        <v>4.2369732791136585E-22</v>
      </c>
    </row>
    <row r="53" spans="10:15" s="79" customFormat="1" ht="12">
      <c r="J53" s="86">
        <f t="shared" si="4"/>
        <v>0.96000000000000052</v>
      </c>
      <c r="K53" s="84">
        <f t="shared" ca="1" si="1"/>
        <v>9.600000000000005</v>
      </c>
      <c r="L53" s="87" t="str">
        <f t="shared" ca="1" si="2"/>
        <v/>
      </c>
      <c r="M53" s="85" t="str">
        <f t="shared" ca="1" si="3"/>
        <v/>
      </c>
      <c r="N53" s="84">
        <f ca="1">LN('Histogram Data'!K53+0.01)-LN(price)</f>
        <v>-2.4593486784915042</v>
      </c>
      <c r="O53" s="84">
        <f ca="1">_xlfn.NORM.DIST(N53,0+0.03^3,AVERAGE('Valuation Model'!$K$22:$L$22),FALSE)/scaling</f>
        <v>9.5388685817154307E-22</v>
      </c>
    </row>
    <row r="54" spans="10:15" s="79" customFormat="1" ht="12">
      <c r="J54" s="86">
        <f t="shared" si="4"/>
        <v>0.98000000000000054</v>
      </c>
      <c r="K54" s="84">
        <f t="shared" ca="1" si="1"/>
        <v>9.800000000000006</v>
      </c>
      <c r="L54" s="87" t="str">
        <f t="shared" ca="1" si="2"/>
        <v/>
      </c>
      <c r="M54" s="85" t="str">
        <f t="shared" ca="1" si="3"/>
        <v/>
      </c>
      <c r="N54" s="84">
        <f ca="1">LN('Histogram Data'!K54+0.01)-LN(price)</f>
        <v>-2.4387506278964337</v>
      </c>
      <c r="O54" s="84">
        <f ca="1">_xlfn.NORM.DIST(N54,0+0.03^3,AVERAGE('Valuation Model'!$K$22:$L$22),FALSE)/scaling</f>
        <v>2.0978246150384868E-21</v>
      </c>
    </row>
    <row r="55" spans="10:15">
      <c r="J55" s="86">
        <f t="shared" si="4"/>
        <v>1.0000000000000004</v>
      </c>
      <c r="K55" s="84">
        <f t="shared" ca="1" si="1"/>
        <v>10.000000000000004</v>
      </c>
      <c r="L55" s="87" t="str">
        <f t="shared" ca="1" si="2"/>
        <v/>
      </c>
      <c r="M55" s="85" t="str">
        <f t="shared" ca="1" si="3"/>
        <v/>
      </c>
      <c r="N55" s="84">
        <f ca="1">LN('Histogram Data'!K55+0.01)-LN(price)</f>
        <v>-2.4185683081465763</v>
      </c>
      <c r="O55" s="84">
        <f ca="1">_xlfn.NORM.DIST(N55,0+0.03^3,AVERAGE('Valuation Model'!$K$22:$L$22),FALSE)/scaling</f>
        <v>4.5117109758351655E-21</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2"/>
  <sheetViews>
    <sheetView topLeftCell="A44" workbookViewId="0">
      <selection activeCell="A71" sqref="A71"/>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row>
    <row r="72" spans="1:2">
      <c r="A72" s="13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7</vt:i4>
      </vt:variant>
      <vt:variant>
        <vt:lpstr>Named Ranges</vt:lpstr>
      </vt:variant>
      <vt:variant>
        <vt:i4>44</vt:i4>
      </vt:variant>
    </vt:vector>
  </HeadingPairs>
  <TitlesOfParts>
    <vt:vector size="57" baseType="lpstr">
      <vt:lpstr>Valuation Model</vt:lpstr>
      <vt:lpstr>Company Analysis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2017-08-23T15:31:30Z</dcterms:modified>
</cp:coreProperties>
</file>