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1.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2.xml" ContentType="application/vnd.openxmlformats-officedocument.themeOverrid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3.xml" ContentType="application/vnd.openxmlformats-officedocument.themeOverride+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067"/>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BMY - Bristol Meyers Squibb/"/>
    </mc:Choice>
  </mc:AlternateContent>
  <bookViews>
    <workbookView xWindow="480" yWindow="0" windowWidth="18690" windowHeight="15" tabRatio="825"/>
  </bookViews>
  <sheets>
    <sheet name="Valuation Model" sheetId="1" r:id="rId1"/>
    <sheet name="Company Analysis" sheetId="19" r:id="rId2"/>
    <sheet name="Graphing Data" sheetId="21" r:id="rId3"/>
    <sheet name="Revenue History" sheetId="29" r:id="rId4"/>
    <sheet name="Revenue Chart" sheetId="22" r:id="rId5"/>
    <sheet name="Profit History" sheetId="30" r:id="rId6"/>
    <sheet name="Profit Chart" sheetId="23" r:id="rId7"/>
    <sheet name="ECF to OCP Chart" sheetId="25" r:id="rId8"/>
    <sheet name="ECF Breakdown Chart" sheetId="26" r:id="rId9"/>
    <sheet name="FCFO Chart" sheetId="27" r:id="rId10"/>
    <sheet name="Investment Efficacy Chart" sheetId="28" r:id="rId11"/>
    <sheet name="Valuation Histogram" sheetId="16" r:id="rId12"/>
    <sheet name="Histogram Data" sheetId="17" r:id="rId13"/>
    <sheet name="GDP Data" sheetId="20" r:id="rId14"/>
    <sheet name="Disclaimer" sheetId="18" r:id="rId15"/>
    <sheet name="PSW_Sheet" sheetId="11" state="veryHidden" r:id="rId16"/>
    <sheet name="_SSC" sheetId="12" state="veryHidden" r:id="rId17"/>
    <sheet name="_Options" sheetId="13" state="veryHidden" r:id="rId18"/>
  </sheets>
  <externalReferences>
    <externalReference r:id="rId19"/>
    <externalReference r:id="rId20"/>
    <externalReference r:id="rId21"/>
    <externalReference r:id="rId22"/>
    <externalReference r:id="rId23"/>
    <externalReference r:id="rId24"/>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hidden="1">#REF!</definedName>
    <definedName name="_xlnm._FilterDatabase" localSheetId="12"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'Valuation Model'!$I$20</definedName>
    <definedName name="BoundLower">'[1]Valuation Overview'!$N$28</definedName>
    <definedName name="BoundUpper">'[1]Valuation Overview'!$N$27</definedName>
    <definedName name="bsEffectPerShare">[3]Model!$C$17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[4]Control!$L$6</definedName>
    <definedName name="exp_likely">[4]Control!$J$6</definedName>
    <definedName name="exp_worst">[4]Control!$K$6</definedName>
    <definedName name="ExplicitYears">'[1]Valuation Overview'!$D$6</definedName>
    <definedName name="FairValue">'[1]Valuation Overview'!$O$10</definedName>
    <definedName name="GrowthRateAbnormal">'[1]Valuation Overview'!$J$13</definedName>
    <definedName name="GrowthYears">'[1]Valuation Overview'!$J$12</definedName>
    <definedName name="Inflation">'[1]Valuation Overview'!$D$15</definedName>
    <definedName name="iVol">'[1]Valuation Overview'!$D$24</definedName>
    <definedName name="iVol2">'[1]Valuation Overview'!$D$25</definedName>
    <definedName name="LikelyCase">[3]Model!$K$22</definedName>
    <definedName name="med_best">[4]Control!$L$7</definedName>
    <definedName name="med_likely">[4]Control!$J$7</definedName>
    <definedName name="med_worst">[4]Control!$K$7</definedName>
    <definedName name="NetDrift">'[1]Valuation Overview'!$D$19</definedName>
    <definedName name="ocp_best">[4]Control!$L$5</definedName>
    <definedName name="ocp_likely">[4]Control!$J$5</definedName>
    <definedName name="ocp_worst">[4]Control!$K$5</definedName>
    <definedName name="OptionChain">'[1]Security Pricing Data'!$F$3:$I$17</definedName>
    <definedName name="OutstandingShares">'[1]Valuation Overview'!$D$17</definedName>
    <definedName name="PerpetualMultiple">'[1]Valuation Overview'!$J$22</definedName>
    <definedName name="price">'Valuation Model'!$G$2</definedName>
    <definedName name="ProfitScenario">[1]Assumptions!$BP$6</definedName>
    <definedName name="ProjectionY1">'[1]Valuation Overview'!$D$7</definedName>
    <definedName name="PSRatioData">[5]Data!$Q$2:$Q$2516</definedName>
    <definedName name="PSRHigh">'Valuation Model'!$P$21</definedName>
    <definedName name="PSRLow">'Valuation Model'!$P$22</definedName>
    <definedName name="rev_best">[4]Control!$L$4</definedName>
    <definedName name="rev_likely">[4]Control!$J$4</definedName>
    <definedName name="rev_worst">[4]Control!$K$4</definedName>
    <definedName name="RevScenario">[1]Assumptions!$BP$4</definedName>
    <definedName name="RiskFree">'[1]Valuation Overview'!$D$13</definedName>
    <definedName name="scaling">'Histogram Data'!$E$1</definedName>
    <definedName name="Scenario1">'Valuation Model'!$G$67</definedName>
    <definedName name="Scenario2">'Valuation Model'!$G$78</definedName>
    <definedName name="Scenario3">'Valuation Model'!$G$89</definedName>
    <definedName name="Scenario4">'Valuation Model'!$G$100</definedName>
    <definedName name="Scenario5">'Valuation Model'!$G$111</definedName>
    <definedName name="Scenario6">'Valuation Model'!$G$122</definedName>
    <definedName name="Scenario7">'Valuation Model'!$G$133</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[5]Data!$K$2:$K$2516</definedName>
    <definedName name="TerminalDayCount">[1]Assumptions!$Z$184</definedName>
    <definedName name="TerminalMethod">'[1]Valuation Overview'!$D$11</definedName>
    <definedName name="ticker">'Valuation Model'!$B$2</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71027"/>
</workbook>
</file>

<file path=xl/calcChain.xml><?xml version="1.0" encoding="utf-8"?>
<calcChain xmlns="http://schemas.openxmlformats.org/spreadsheetml/2006/main">
  <c r="B20" i="19" l="1"/>
  <c r="D25" i="19"/>
  <c r="C25" i="19"/>
  <c r="B25" i="19"/>
  <c r="E25" i="19"/>
  <c r="D20" i="19"/>
  <c r="C20" i="19"/>
  <c r="F25" i="19"/>
  <c r="G25" i="19"/>
  <c r="H25" i="19"/>
  <c r="I25" i="19"/>
  <c r="J25" i="19"/>
  <c r="K25" i="19"/>
  <c r="C26" i="21" l="1"/>
  <c r="D26" i="21"/>
  <c r="E26" i="21"/>
  <c r="F26" i="21"/>
  <c r="G26" i="21"/>
  <c r="H26" i="21"/>
  <c r="I26" i="21"/>
  <c r="J26" i="21"/>
  <c r="K26" i="21"/>
  <c r="B26" i="21"/>
  <c r="G3" i="1" l="1"/>
  <c r="M34" i="21" l="1"/>
  <c r="N34" i="21"/>
  <c r="O34" i="21"/>
  <c r="P34" i="21"/>
  <c r="M35" i="21"/>
  <c r="N35" i="21"/>
  <c r="O35" i="21"/>
  <c r="P35" i="21"/>
  <c r="L35" i="21"/>
  <c r="L34" i="21"/>
  <c r="A41" i="21" l="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l="1"/>
  <c r="M15" i="21"/>
  <c r="N15" i="21"/>
  <c r="O15" i="21"/>
  <c r="P15" i="21"/>
  <c r="M14" i="21"/>
  <c r="N14" i="21"/>
  <c r="O14" i="21"/>
  <c r="P14" i="21"/>
  <c r="L14" i="21"/>
  <c r="L7" i="21"/>
  <c r="M7" i="21"/>
  <c r="N7" i="21"/>
  <c r="O7" i="21"/>
  <c r="P7" i="21"/>
  <c r="M6" i="21"/>
  <c r="N6" i="21"/>
  <c r="O6" i="21"/>
  <c r="P6" i="21"/>
  <c r="L6" i="21"/>
  <c r="C2" i="21" l="1"/>
  <c r="D2" i="21"/>
  <c r="E2" i="21"/>
  <c r="F2" i="21"/>
  <c r="G2" i="21"/>
  <c r="H2" i="21"/>
  <c r="I2" i="21"/>
  <c r="J2" i="21"/>
  <c r="K2" i="21"/>
  <c r="B2" i="21"/>
  <c r="H5" i="21" l="1"/>
  <c r="D5" i="21"/>
  <c r="I5" i="21"/>
  <c r="E5" i="21"/>
  <c r="G5" i="21"/>
  <c r="C5" i="21"/>
  <c r="L4" i="21"/>
  <c r="L12" i="21" s="1"/>
  <c r="L32" i="21" s="1"/>
  <c r="K5" i="21"/>
  <c r="J5" i="21"/>
  <c r="F5" i="21"/>
  <c r="L3" i="21"/>
  <c r="M3" i="21" s="1"/>
  <c r="C2" i="19"/>
  <c r="C1" i="21" s="1"/>
  <c r="D2" i="19"/>
  <c r="D1" i="21" s="1"/>
  <c r="E2" i="19"/>
  <c r="E1" i="21" s="1"/>
  <c r="F2" i="19"/>
  <c r="F1" i="21" s="1"/>
  <c r="G2" i="19"/>
  <c r="G1" i="21" s="1"/>
  <c r="H2" i="19"/>
  <c r="H1" i="21" s="1"/>
  <c r="I2" i="19"/>
  <c r="I1" i="21" s="1"/>
  <c r="J2" i="19"/>
  <c r="J1" i="21" s="1"/>
  <c r="K2" i="19"/>
  <c r="K1" i="21" s="1"/>
  <c r="B2" i="19"/>
  <c r="B1" i="21" s="1"/>
  <c r="M4" i="21" l="1"/>
  <c r="N4" i="21" s="1"/>
  <c r="L11" i="21"/>
  <c r="L31" i="21" s="1"/>
  <c r="K7" i="21"/>
  <c r="K6" i="21"/>
  <c r="N3" i="21"/>
  <c r="M11" i="21"/>
  <c r="M31" i="21" s="1"/>
  <c r="K29" i="21"/>
  <c r="K37" i="21"/>
  <c r="K9" i="21"/>
  <c r="K17" i="21" s="1"/>
  <c r="K21" i="21" s="1"/>
  <c r="L1" i="21"/>
  <c r="J37" i="21"/>
  <c r="J29" i="21"/>
  <c r="J9" i="21"/>
  <c r="J17" i="21" s="1"/>
  <c r="J21" i="21" s="1"/>
  <c r="F29" i="21"/>
  <c r="F37" i="21"/>
  <c r="F9" i="21"/>
  <c r="F17" i="21" s="1"/>
  <c r="F21" i="21" s="1"/>
  <c r="I37" i="21"/>
  <c r="I29" i="21"/>
  <c r="I9" i="21"/>
  <c r="I17" i="21" s="1"/>
  <c r="I21" i="21" s="1"/>
  <c r="E37" i="21"/>
  <c r="E29" i="21"/>
  <c r="E9" i="21"/>
  <c r="E17" i="21" s="1"/>
  <c r="E21" i="21" s="1"/>
  <c r="B37" i="21"/>
  <c r="B29" i="21"/>
  <c r="B9" i="21"/>
  <c r="B17" i="21" s="1"/>
  <c r="B21" i="21" s="1"/>
  <c r="H29" i="21"/>
  <c r="H37" i="21"/>
  <c r="H9" i="21"/>
  <c r="H17" i="21" s="1"/>
  <c r="H21" i="21" s="1"/>
  <c r="D37" i="21"/>
  <c r="D29" i="21"/>
  <c r="D9" i="21"/>
  <c r="D17" i="21" s="1"/>
  <c r="D21" i="21" s="1"/>
  <c r="G29" i="21"/>
  <c r="G37" i="21"/>
  <c r="G9" i="21"/>
  <c r="G17" i="21" s="1"/>
  <c r="G21" i="21" s="1"/>
  <c r="C29" i="21"/>
  <c r="C37" i="21"/>
  <c r="C9" i="21"/>
  <c r="C17" i="21" s="1"/>
  <c r="C21" i="21" s="1"/>
  <c r="K38" i="19"/>
  <c r="K39" i="19" s="1"/>
  <c r="G38" i="19"/>
  <c r="G39" i="19" s="1"/>
  <c r="C38" i="19"/>
  <c r="C39" i="19" s="1"/>
  <c r="K27" i="19"/>
  <c r="K27" i="21" s="1"/>
  <c r="J27" i="19"/>
  <c r="J27" i="21" s="1"/>
  <c r="I27" i="19"/>
  <c r="I27" i="21" s="1"/>
  <c r="H27" i="19"/>
  <c r="H27" i="21" s="1"/>
  <c r="G27" i="19"/>
  <c r="G27" i="21" s="1"/>
  <c r="F27" i="19"/>
  <c r="F27" i="21" s="1"/>
  <c r="E27" i="19"/>
  <c r="E27" i="21" s="1"/>
  <c r="D27" i="19"/>
  <c r="D27" i="21" s="1"/>
  <c r="C27" i="19"/>
  <c r="C27" i="21" s="1"/>
  <c r="B27" i="19"/>
  <c r="B27" i="21" s="1"/>
  <c r="K19" i="19"/>
  <c r="J19" i="19"/>
  <c r="I19" i="19"/>
  <c r="H19" i="19"/>
  <c r="G19" i="19"/>
  <c r="F19" i="19"/>
  <c r="E19" i="19"/>
  <c r="D19" i="19"/>
  <c r="C19" i="19"/>
  <c r="B19" i="19"/>
  <c r="H17" i="19"/>
  <c r="D17" i="19"/>
  <c r="K11" i="19"/>
  <c r="K10" i="21" s="1"/>
  <c r="K38" i="21" s="1"/>
  <c r="J11" i="19"/>
  <c r="I11" i="19"/>
  <c r="H11" i="19"/>
  <c r="H10" i="21" s="1"/>
  <c r="H38" i="21" s="1"/>
  <c r="G11" i="19"/>
  <c r="G10" i="21" s="1"/>
  <c r="G38" i="21" s="1"/>
  <c r="F11" i="19"/>
  <c r="E11" i="19"/>
  <c r="D11" i="19"/>
  <c r="D10" i="21" s="1"/>
  <c r="D38" i="21" s="1"/>
  <c r="C11" i="19"/>
  <c r="C10" i="21" s="1"/>
  <c r="C38" i="21" s="1"/>
  <c r="B11" i="19"/>
  <c r="K8" i="19"/>
  <c r="I8" i="19"/>
  <c r="G8" i="19"/>
  <c r="E8" i="19"/>
  <c r="C8" i="19"/>
  <c r="K6" i="19"/>
  <c r="J6" i="19"/>
  <c r="I6" i="19"/>
  <c r="H6" i="19"/>
  <c r="G6" i="19"/>
  <c r="K5" i="19"/>
  <c r="J5" i="19"/>
  <c r="I5" i="19"/>
  <c r="H5" i="19"/>
  <c r="G5" i="19"/>
  <c r="F5" i="19"/>
  <c r="E5" i="19"/>
  <c r="K4" i="19"/>
  <c r="J4" i="19"/>
  <c r="I4" i="19"/>
  <c r="H4" i="19"/>
  <c r="G4" i="19"/>
  <c r="F4" i="19"/>
  <c r="E4" i="19"/>
  <c r="D4" i="19"/>
  <c r="C4" i="19"/>
  <c r="K17" i="19"/>
  <c r="J38" i="19"/>
  <c r="J39" i="19" s="1"/>
  <c r="I31" i="19"/>
  <c r="H31" i="19"/>
  <c r="G17" i="19"/>
  <c r="F38" i="19"/>
  <c r="F39" i="19" s="1"/>
  <c r="E31" i="19"/>
  <c r="D31" i="19"/>
  <c r="C17" i="19"/>
  <c r="B38" i="19"/>
  <c r="B39" i="19" s="1"/>
  <c r="B28" i="19" l="1"/>
  <c r="B19" i="21" s="1"/>
  <c r="F28" i="19"/>
  <c r="J28" i="19"/>
  <c r="J19" i="21" s="1"/>
  <c r="C28" i="19"/>
  <c r="C19" i="21" s="1"/>
  <c r="K28" i="19"/>
  <c r="K19" i="21" s="1"/>
  <c r="G28" i="19"/>
  <c r="G19" i="21" s="1"/>
  <c r="D22" i="21"/>
  <c r="D28" i="19"/>
  <c r="H22" i="21"/>
  <c r="H28" i="19"/>
  <c r="H19" i="21" s="1"/>
  <c r="E22" i="21"/>
  <c r="E28" i="19"/>
  <c r="E32" i="19" s="1"/>
  <c r="E30" i="21" s="1"/>
  <c r="E33" i="21" s="1"/>
  <c r="I22" i="21"/>
  <c r="I28" i="19"/>
  <c r="M12" i="21"/>
  <c r="M32" i="21" s="1"/>
  <c r="O4" i="21"/>
  <c r="N12" i="21"/>
  <c r="N32" i="21" s="1"/>
  <c r="O3" i="21"/>
  <c r="N11" i="21"/>
  <c r="N31" i="21" s="1"/>
  <c r="L29" i="21"/>
  <c r="L9" i="21"/>
  <c r="M1" i="21"/>
  <c r="C40" i="19"/>
  <c r="B22" i="21"/>
  <c r="F19" i="21"/>
  <c r="F22" i="21"/>
  <c r="J22" i="21"/>
  <c r="C13" i="21"/>
  <c r="C18" i="21"/>
  <c r="G13" i="21"/>
  <c r="G18" i="21"/>
  <c r="K13" i="21"/>
  <c r="K15" i="21" s="1"/>
  <c r="K18" i="21"/>
  <c r="C22" i="21"/>
  <c r="G22" i="21"/>
  <c r="K22" i="21"/>
  <c r="D13" i="21"/>
  <c r="D18" i="21"/>
  <c r="H13" i="21"/>
  <c r="H18" i="21"/>
  <c r="G12" i="19"/>
  <c r="I15" i="19"/>
  <c r="I45" i="19" s="1"/>
  <c r="E10" i="21"/>
  <c r="E38" i="21" s="1"/>
  <c r="I13" i="19"/>
  <c r="I41" i="19" s="1"/>
  <c r="I10" i="21"/>
  <c r="I38" i="21" s="1"/>
  <c r="K12" i="19"/>
  <c r="B12" i="19"/>
  <c r="B10" i="21"/>
  <c r="B38" i="21" s="1"/>
  <c r="B39" i="21" s="1"/>
  <c r="F12" i="19"/>
  <c r="F10" i="21"/>
  <c r="F38" i="21" s="1"/>
  <c r="J12" i="19"/>
  <c r="J10" i="21"/>
  <c r="J38" i="21" s="1"/>
  <c r="F14" i="19"/>
  <c r="F43" i="19" s="1"/>
  <c r="J14" i="19"/>
  <c r="J43" i="19" s="1"/>
  <c r="C12" i="19"/>
  <c r="K40" i="19"/>
  <c r="G40" i="19"/>
  <c r="F13" i="19"/>
  <c r="F41" i="19" s="1"/>
  <c r="J15" i="19"/>
  <c r="J45" i="19" s="1"/>
  <c r="D8" i="19"/>
  <c r="H8" i="19"/>
  <c r="D12" i="19"/>
  <c r="H12" i="19"/>
  <c r="C13" i="19"/>
  <c r="C41" i="19" s="1"/>
  <c r="G13" i="19"/>
  <c r="G41" i="19" s="1"/>
  <c r="K13" i="19"/>
  <c r="K41" i="19" s="1"/>
  <c r="H14" i="19"/>
  <c r="H43" i="19" s="1"/>
  <c r="G15" i="19"/>
  <c r="G45" i="19" s="1"/>
  <c r="K15" i="19"/>
  <c r="K45" i="19" s="1"/>
  <c r="E17" i="19"/>
  <c r="I17" i="19"/>
  <c r="C31" i="19"/>
  <c r="G31" i="19"/>
  <c r="K31" i="19"/>
  <c r="D38" i="19"/>
  <c r="D39" i="19" s="1"/>
  <c r="D40" i="19" s="1"/>
  <c r="H38" i="19"/>
  <c r="H39" i="19" s="1"/>
  <c r="E14" i="19"/>
  <c r="E43" i="19" s="1"/>
  <c r="I14" i="19"/>
  <c r="I43" i="19" s="1"/>
  <c r="H15" i="19"/>
  <c r="H45" i="19" s="1"/>
  <c r="B17" i="19"/>
  <c r="F17" i="19"/>
  <c r="J17" i="19"/>
  <c r="E38" i="19"/>
  <c r="E39" i="19" s="1"/>
  <c r="I38" i="19"/>
  <c r="I39" i="19" s="1"/>
  <c r="J40" i="19" s="1"/>
  <c r="J13" i="19"/>
  <c r="J41" i="19" s="1"/>
  <c r="G14" i="19"/>
  <c r="G43" i="19" s="1"/>
  <c r="K14" i="19"/>
  <c r="K43" i="19" s="1"/>
  <c r="B31" i="19"/>
  <c r="F31" i="19"/>
  <c r="J31" i="19"/>
  <c r="E12" i="19"/>
  <c r="I12" i="19"/>
  <c r="D13" i="19"/>
  <c r="D41" i="19" s="1"/>
  <c r="H13" i="19"/>
  <c r="H41" i="19" s="1"/>
  <c r="B8" i="19"/>
  <c r="F8" i="19"/>
  <c r="J8" i="19"/>
  <c r="E13" i="19"/>
  <c r="E41" i="19" s="1"/>
  <c r="H6" i="17"/>
  <c r="H9" i="17"/>
  <c r="H7" i="17"/>
  <c r="G7" i="17"/>
  <c r="G6" i="17"/>
  <c r="G9" i="17"/>
  <c r="G8" i="17"/>
  <c r="G11" i="17"/>
  <c r="G10" i="17"/>
  <c r="G12" i="17"/>
  <c r="G5" i="17"/>
  <c r="H5" i="17"/>
  <c r="C2" i="1"/>
  <c r="H8" i="17"/>
  <c r="H10" i="17"/>
  <c r="H11" i="17"/>
  <c r="H12" i="17"/>
  <c r="J7" i="17"/>
  <c r="B32" i="19" l="1"/>
  <c r="B29" i="19"/>
  <c r="G29" i="19"/>
  <c r="F32" i="19"/>
  <c r="F30" i="21" s="1"/>
  <c r="F33" i="21" s="1"/>
  <c r="G32" i="19"/>
  <c r="G33" i="19" s="1"/>
  <c r="C32" i="19"/>
  <c r="C33" i="19" s="1"/>
  <c r="F29" i="19"/>
  <c r="K14" i="21"/>
  <c r="J32" i="19"/>
  <c r="J30" i="21" s="1"/>
  <c r="J33" i="21" s="1"/>
  <c r="K29" i="19"/>
  <c r="K32" i="19"/>
  <c r="K30" i="21" s="1"/>
  <c r="K33" i="21" s="1"/>
  <c r="K34" i="21" s="1"/>
  <c r="H32" i="19"/>
  <c r="H30" i="21" s="1"/>
  <c r="H33" i="21" s="1"/>
  <c r="C29" i="19"/>
  <c r="J29" i="19"/>
  <c r="G40" i="21"/>
  <c r="J40" i="21"/>
  <c r="B33" i="19"/>
  <c r="B30" i="21"/>
  <c r="B33" i="21" s="1"/>
  <c r="D40" i="21"/>
  <c r="K40" i="21"/>
  <c r="P3" i="21"/>
  <c r="P11" i="21" s="1"/>
  <c r="P31" i="21" s="1"/>
  <c r="O11" i="21"/>
  <c r="O31" i="21" s="1"/>
  <c r="P4" i="21"/>
  <c r="P12" i="21" s="1"/>
  <c r="P32" i="21" s="1"/>
  <c r="O12" i="21"/>
  <c r="O32" i="21" s="1"/>
  <c r="C40" i="21"/>
  <c r="C39" i="21"/>
  <c r="D39" i="21" s="1"/>
  <c r="N1" i="21"/>
  <c r="M29" i="21"/>
  <c r="M9" i="21"/>
  <c r="I29" i="19"/>
  <c r="I19" i="21"/>
  <c r="F13" i="21"/>
  <c r="F18" i="21"/>
  <c r="E29" i="19"/>
  <c r="E19" i="21"/>
  <c r="I32" i="19"/>
  <c r="I30" i="21" s="1"/>
  <c r="I33" i="21" s="1"/>
  <c r="H29" i="19"/>
  <c r="D29" i="19"/>
  <c r="D19" i="21"/>
  <c r="J13" i="21"/>
  <c r="J18" i="21"/>
  <c r="B13" i="21"/>
  <c r="B18" i="21"/>
  <c r="E13" i="21"/>
  <c r="E18" i="21"/>
  <c r="I13" i="21"/>
  <c r="I18" i="21"/>
  <c r="D32" i="19"/>
  <c r="J44" i="19"/>
  <c r="I42" i="19"/>
  <c r="I41" i="21" s="1"/>
  <c r="G44" i="19"/>
  <c r="K44" i="19"/>
  <c r="E42" i="19"/>
  <c r="E41" i="21" s="1"/>
  <c r="J42" i="19"/>
  <c r="J41" i="21" s="1"/>
  <c r="H40" i="19"/>
  <c r="H40" i="21" s="1"/>
  <c r="K42" i="19"/>
  <c r="K41" i="21" s="1"/>
  <c r="I40" i="19"/>
  <c r="I40" i="21" s="1"/>
  <c r="H44" i="19"/>
  <c r="F42" i="19"/>
  <c r="F41" i="21" s="1"/>
  <c r="G42" i="19"/>
  <c r="G41" i="21" s="1"/>
  <c r="E40" i="19"/>
  <c r="E40" i="21" s="1"/>
  <c r="I44" i="19"/>
  <c r="F40" i="19"/>
  <c r="F40" i="21" s="1"/>
  <c r="F34" i="19"/>
  <c r="E33" i="19"/>
  <c r="H42" i="19"/>
  <c r="H41" i="21" s="1"/>
  <c r="E11" i="17"/>
  <c r="E7" i="17"/>
  <c r="E8" i="17"/>
  <c r="E12" i="17"/>
  <c r="E10" i="17"/>
  <c r="E9" i="17"/>
  <c r="E6" i="17"/>
  <c r="E5" i="17"/>
  <c r="J8" i="17"/>
  <c r="C34" i="19" l="1"/>
  <c r="D34" i="19"/>
  <c r="C30" i="21"/>
  <c r="C33" i="21" s="1"/>
  <c r="E34" i="19"/>
  <c r="F33" i="19"/>
  <c r="H34" i="19"/>
  <c r="G30" i="21"/>
  <c r="G33" i="21" s="1"/>
  <c r="G34" i="19"/>
  <c r="G35" i="19"/>
  <c r="J33" i="19"/>
  <c r="H33" i="19"/>
  <c r="K35" i="19"/>
  <c r="J35" i="19"/>
  <c r="H35" i="19"/>
  <c r="H36" i="19"/>
  <c r="K33" i="19"/>
  <c r="E35" i="19"/>
  <c r="K34" i="19"/>
  <c r="J34" i="19"/>
  <c r="K35" i="21"/>
  <c r="F35" i="19"/>
  <c r="D30" i="21"/>
  <c r="D33" i="21" s="1"/>
  <c r="I35" i="19"/>
  <c r="I36" i="19"/>
  <c r="G36" i="19"/>
  <c r="I34" i="19"/>
  <c r="J36" i="19"/>
  <c r="K36" i="19"/>
  <c r="I33" i="19"/>
  <c r="O1" i="21"/>
  <c r="N29" i="21"/>
  <c r="N9" i="21"/>
  <c r="E39" i="21"/>
  <c r="F39" i="21" s="1"/>
  <c r="G39" i="21" s="1"/>
  <c r="H39" i="21" s="1"/>
  <c r="I39" i="21" s="1"/>
  <c r="J39" i="21" s="1"/>
  <c r="K39" i="21" s="1"/>
  <c r="D33" i="19"/>
  <c r="J9" i="17"/>
  <c r="P1" i="21" l="1"/>
  <c r="O29" i="21"/>
  <c r="O9" i="21"/>
  <c r="J10" i="17"/>
  <c r="P29" i="21" l="1"/>
  <c r="P9" i="21"/>
  <c r="J11" i="17"/>
  <c r="J12" i="17" l="1"/>
  <c r="J13" i="17" l="1"/>
  <c r="J14" i="17" l="1"/>
  <c r="J15" i="17" l="1"/>
  <c r="J16" i="17" l="1"/>
  <c r="J17" i="17" l="1"/>
  <c r="J18" i="17" l="1"/>
  <c r="J19" i="17" l="1"/>
  <c r="J20" i="17" l="1"/>
  <c r="J21" i="17" l="1"/>
  <c r="J22" i="17" l="1"/>
  <c r="J23" i="17" l="1"/>
  <c r="J24" i="17" l="1"/>
  <c r="J25" i="17" l="1"/>
  <c r="J26" i="17" l="1"/>
  <c r="J27" i="17" l="1"/>
  <c r="J28" i="17" l="1"/>
  <c r="J29" i="17" l="1"/>
  <c r="J30" i="17" l="1"/>
  <c r="J31" i="17" l="1"/>
  <c r="J32" i="17" l="1"/>
  <c r="J33" i="17" l="1"/>
  <c r="J34" i="17" l="1"/>
  <c r="J35" i="17" l="1"/>
  <c r="J36" i="17" l="1"/>
  <c r="J37" i="17" l="1"/>
  <c r="J38" i="17" l="1"/>
  <c r="J39" i="17" l="1"/>
  <c r="J40" i="17" l="1"/>
  <c r="J41" i="17" l="1"/>
  <c r="J42" i="17" l="1"/>
  <c r="J43" i="17" l="1"/>
  <c r="B51" i="1"/>
  <c r="J44" i="17" l="1"/>
  <c r="B45" i="1"/>
  <c r="B46" i="1"/>
  <c r="J45" i="17" l="1"/>
  <c r="C25" i="1"/>
  <c r="C42" i="1" s="1"/>
  <c r="D25" i="1"/>
  <c r="D42" i="1" s="1"/>
  <c r="E25" i="1"/>
  <c r="E42" i="1" s="1"/>
  <c r="F25" i="1"/>
  <c r="B47" i="1" s="1"/>
  <c r="B48" i="1" s="1"/>
  <c r="B25" i="1"/>
  <c r="B42" i="1" s="1"/>
  <c r="B136" i="1"/>
  <c r="B125" i="1"/>
  <c r="B114" i="1"/>
  <c r="B103" i="1"/>
  <c r="B92" i="1"/>
  <c r="B81" i="1"/>
  <c r="B70" i="1"/>
  <c r="B58" i="1"/>
  <c r="B37" i="1"/>
  <c r="B38" i="1"/>
  <c r="B36" i="1"/>
  <c r="J46" i="17" l="1"/>
  <c r="I11" i="1"/>
  <c r="B26" i="1"/>
  <c r="B27" i="1" s="1"/>
  <c r="B28" i="1" s="1"/>
  <c r="J47" i="17" l="1"/>
  <c r="I9" i="1"/>
  <c r="B12" i="17" s="1"/>
  <c r="I8" i="1"/>
  <c r="B9" i="17" s="1"/>
  <c r="I7" i="1"/>
  <c r="B11" i="17" s="1"/>
  <c r="I6" i="1"/>
  <c r="B7" i="17" s="1"/>
  <c r="I2" i="1"/>
  <c r="B5" i="17" s="1"/>
  <c r="I4" i="1"/>
  <c r="B6" i="17" s="1"/>
  <c r="I5" i="1"/>
  <c r="B10" i="17" s="1"/>
  <c r="I3" i="1"/>
  <c r="B8" i="17" s="1"/>
  <c r="J48" i="17" l="1"/>
  <c r="B137" i="1"/>
  <c r="B138" i="1" s="1"/>
  <c r="B126" i="1"/>
  <c r="B127" i="1" s="1"/>
  <c r="C114" i="1"/>
  <c r="D114" i="1" s="1"/>
  <c r="E114" i="1" s="1"/>
  <c r="F114" i="1" s="1"/>
  <c r="C103" i="1"/>
  <c r="D103" i="1" s="1"/>
  <c r="E103" i="1" s="1"/>
  <c r="F103" i="1" s="1"/>
  <c r="B93" i="1"/>
  <c r="B94" i="1" s="1"/>
  <c r="B59" i="1"/>
  <c r="B61" i="1" s="1"/>
  <c r="D18" i="1"/>
  <c r="F85" i="1" s="1"/>
  <c r="D17" i="1"/>
  <c r="E21" i="1"/>
  <c r="F118" i="1" l="1"/>
  <c r="F140" i="1"/>
  <c r="J49" i="17"/>
  <c r="F129" i="1"/>
  <c r="F107" i="1"/>
  <c r="F63" i="1"/>
  <c r="B52" i="1"/>
  <c r="B53" i="1"/>
  <c r="F74" i="1"/>
  <c r="F96" i="1"/>
  <c r="C136" i="1"/>
  <c r="C137" i="1" s="1"/>
  <c r="C138" i="1" s="1"/>
  <c r="C125" i="1"/>
  <c r="B115" i="1"/>
  <c r="B116" i="1" s="1"/>
  <c r="B104" i="1"/>
  <c r="B105" i="1" s="1"/>
  <c r="C92" i="1"/>
  <c r="C93" i="1" s="1"/>
  <c r="C94" i="1" s="1"/>
  <c r="B82" i="1"/>
  <c r="B83" i="1" s="1"/>
  <c r="B60" i="1"/>
  <c r="C81" i="1"/>
  <c r="C82" i="1" s="1"/>
  <c r="C83" i="1" s="1"/>
  <c r="C58" i="1"/>
  <c r="D58" i="1" s="1"/>
  <c r="C26" i="1"/>
  <c r="D26" i="1" s="1"/>
  <c r="E26" i="1" s="1"/>
  <c r="F26" i="1" s="1"/>
  <c r="L16" i="1" s="1"/>
  <c r="J50" i="17" l="1"/>
  <c r="B54" i="1"/>
  <c r="C126" i="1"/>
  <c r="C127" i="1" s="1"/>
  <c r="D136" i="1"/>
  <c r="D137" i="1" s="1"/>
  <c r="D138" i="1" s="1"/>
  <c r="D125" i="1"/>
  <c r="C115" i="1"/>
  <c r="C116" i="1" s="1"/>
  <c r="C104" i="1"/>
  <c r="C105" i="1" s="1"/>
  <c r="D92" i="1"/>
  <c r="D93" i="1" s="1"/>
  <c r="D94" i="1" s="1"/>
  <c r="D81" i="1"/>
  <c r="D82" i="1" s="1"/>
  <c r="D83" i="1" s="1"/>
  <c r="B71" i="1"/>
  <c r="B72" i="1" s="1"/>
  <c r="C70" i="1"/>
  <c r="C59" i="1"/>
  <c r="C61" i="1" s="1"/>
  <c r="F42" i="1"/>
  <c r="C27" i="1"/>
  <c r="C28" i="1" s="1"/>
  <c r="F27" i="1"/>
  <c r="F28" i="1" s="1"/>
  <c r="D27" i="1"/>
  <c r="D28" i="1" s="1"/>
  <c r="E27" i="1"/>
  <c r="E28" i="1" s="1"/>
  <c r="J51" i="17" l="1"/>
  <c r="B128" i="1"/>
  <c r="B62" i="1"/>
  <c r="C128" i="1"/>
  <c r="B139" i="1"/>
  <c r="B73" i="1"/>
  <c r="B117" i="1"/>
  <c r="B95" i="1"/>
  <c r="C95" i="1"/>
  <c r="C117" i="1"/>
  <c r="B84" i="1"/>
  <c r="B106" i="1"/>
  <c r="C139" i="1"/>
  <c r="D126" i="1"/>
  <c r="D127" i="1" s="1"/>
  <c r="E136" i="1"/>
  <c r="E137" i="1" s="1"/>
  <c r="E138" i="1" s="1"/>
  <c r="D139" i="1"/>
  <c r="E125" i="1"/>
  <c r="D115" i="1"/>
  <c r="D104" i="1"/>
  <c r="D105" i="1" s="1"/>
  <c r="C106" i="1"/>
  <c r="E92" i="1"/>
  <c r="E93" i="1" s="1"/>
  <c r="E94" i="1" s="1"/>
  <c r="D95" i="1"/>
  <c r="C62" i="1"/>
  <c r="C60" i="1"/>
  <c r="E81" i="1"/>
  <c r="E82" i="1" s="1"/>
  <c r="E83" i="1" s="1"/>
  <c r="C84" i="1"/>
  <c r="C71" i="1"/>
  <c r="D70" i="1"/>
  <c r="E58" i="1"/>
  <c r="D59" i="1"/>
  <c r="D61" i="1" s="1"/>
  <c r="J52" i="17" l="1"/>
  <c r="D116" i="1"/>
  <c r="D117" i="1" s="1"/>
  <c r="C72" i="1"/>
  <c r="C73" i="1" s="1"/>
  <c r="D128" i="1"/>
  <c r="E126" i="1"/>
  <c r="E127" i="1" s="1"/>
  <c r="E139" i="1"/>
  <c r="F136" i="1"/>
  <c r="F125" i="1"/>
  <c r="E115" i="1"/>
  <c r="F115" i="1"/>
  <c r="E104" i="1"/>
  <c r="E105" i="1" s="1"/>
  <c r="D106" i="1"/>
  <c r="E95" i="1"/>
  <c r="F92" i="1"/>
  <c r="D62" i="1"/>
  <c r="D60" i="1"/>
  <c r="D84" i="1"/>
  <c r="F81" i="1"/>
  <c r="F82" i="1" s="1"/>
  <c r="F83" i="1" s="1"/>
  <c r="D71" i="1"/>
  <c r="E70" i="1"/>
  <c r="F58" i="1"/>
  <c r="E59" i="1"/>
  <c r="E61" i="1" s="1"/>
  <c r="J53" i="17" l="1"/>
  <c r="D72" i="1"/>
  <c r="D73" i="1" s="1"/>
  <c r="F116" i="1"/>
  <c r="F119" i="1" s="1"/>
  <c r="F120" i="1" s="1"/>
  <c r="G120" i="1" s="1"/>
  <c r="E116" i="1"/>
  <c r="E117" i="1" s="1"/>
  <c r="E128" i="1"/>
  <c r="F137" i="1"/>
  <c r="F138" i="1" s="1"/>
  <c r="F126" i="1"/>
  <c r="F127" i="1" s="1"/>
  <c r="F93" i="1"/>
  <c r="F94" i="1" s="1"/>
  <c r="F104" i="1"/>
  <c r="F105" i="1" s="1"/>
  <c r="E106" i="1"/>
  <c r="E62" i="1"/>
  <c r="E60" i="1"/>
  <c r="E84" i="1"/>
  <c r="E71" i="1"/>
  <c r="F70" i="1"/>
  <c r="F59" i="1"/>
  <c r="F61" i="1" s="1"/>
  <c r="J54" i="17" l="1"/>
  <c r="F117" i="1"/>
  <c r="G117" i="1" s="1"/>
  <c r="E72" i="1"/>
  <c r="E73" i="1" s="1"/>
  <c r="F139" i="1"/>
  <c r="G140" i="1" s="1"/>
  <c r="F141" i="1"/>
  <c r="F142" i="1" s="1"/>
  <c r="G142" i="1" s="1"/>
  <c r="F97" i="1"/>
  <c r="F98" i="1" s="1"/>
  <c r="G98" i="1" s="1"/>
  <c r="F95" i="1"/>
  <c r="G96" i="1" s="1"/>
  <c r="F62" i="1"/>
  <c r="F60" i="1"/>
  <c r="F84" i="1"/>
  <c r="F71" i="1"/>
  <c r="F72" i="1" s="1"/>
  <c r="J55" i="17" l="1"/>
  <c r="G118" i="1"/>
  <c r="G121" i="1" s="1"/>
  <c r="G122" i="1" s="1"/>
  <c r="G139" i="1"/>
  <c r="G143" i="1" s="1"/>
  <c r="G144" i="1" s="1"/>
  <c r="F130" i="1"/>
  <c r="F131" i="1" s="1"/>
  <c r="G131" i="1" s="1"/>
  <c r="F128" i="1"/>
  <c r="G95" i="1"/>
  <c r="G99" i="1" s="1"/>
  <c r="G100" i="1" s="1"/>
  <c r="F108" i="1"/>
  <c r="F109" i="1" s="1"/>
  <c r="G109" i="1" s="1"/>
  <c r="F106" i="1"/>
  <c r="F64" i="1"/>
  <c r="F65" i="1" s="1"/>
  <c r="G65" i="1" s="1"/>
  <c r="G63" i="1"/>
  <c r="F75" i="1"/>
  <c r="F76" i="1" s="1"/>
  <c r="G76" i="1" s="1"/>
  <c r="F73" i="1"/>
  <c r="F86" i="1"/>
  <c r="F87" i="1" s="1"/>
  <c r="G87" i="1" s="1"/>
  <c r="K9" i="1" l="1"/>
  <c r="C12" i="17" s="1"/>
  <c r="K7" i="1"/>
  <c r="C11" i="17" s="1"/>
  <c r="K5" i="1"/>
  <c r="C10" i="17" s="1"/>
  <c r="G128" i="1"/>
  <c r="G129" i="1"/>
  <c r="G107" i="1"/>
  <c r="G106" i="1"/>
  <c r="G62" i="1"/>
  <c r="G66" i="1" s="1"/>
  <c r="G67" i="1" s="1"/>
  <c r="K2" i="1" s="1"/>
  <c r="C5" i="17" s="1"/>
  <c r="G85" i="1"/>
  <c r="G84" i="1"/>
  <c r="G74" i="1"/>
  <c r="G73" i="1"/>
  <c r="G132" i="1" l="1"/>
  <c r="G133" i="1" s="1"/>
  <c r="G110" i="1"/>
  <c r="G111" i="1" s="1"/>
  <c r="G88" i="1"/>
  <c r="G89" i="1" s="1"/>
  <c r="G77" i="1"/>
  <c r="G78" i="1" s="1"/>
  <c r="K8" i="1" l="1"/>
  <c r="C9" i="17" s="1"/>
  <c r="K6" i="1"/>
  <c r="C7" i="17" s="1"/>
  <c r="K4" i="1"/>
  <c r="C6" i="17" s="1"/>
  <c r="K3" i="1"/>
  <c r="C8" i="17" s="1"/>
  <c r="F29" i="1"/>
  <c r="B49" i="1" s="1"/>
  <c r="B50" i="1" s="1"/>
  <c r="D29" i="1"/>
  <c r="D43" i="1" s="1"/>
  <c r="C29" i="1"/>
  <c r="C43" i="1" s="1"/>
  <c r="B29" i="1"/>
  <c r="B43" i="1" s="1"/>
  <c r="E29" i="1"/>
  <c r="E43" i="1" s="1"/>
  <c r="B2" i="17" l="1"/>
  <c r="B1" i="17"/>
  <c r="K5" i="17" s="1"/>
  <c r="L17" i="1"/>
  <c r="F43" i="1"/>
  <c r="C21" i="1" s="1"/>
  <c r="K55" i="17" l="1"/>
  <c r="N55" i="17" s="1"/>
  <c r="O55" i="17" s="1"/>
  <c r="K53" i="17"/>
  <c r="N53" i="17" s="1"/>
  <c r="O53" i="17" s="1"/>
  <c r="K49" i="17"/>
  <c r="N49" i="17" s="1"/>
  <c r="O49" i="17" s="1"/>
  <c r="K45" i="17"/>
  <c r="N45" i="17" s="1"/>
  <c r="O45" i="17" s="1"/>
  <c r="K47" i="17"/>
  <c r="N47" i="17" s="1"/>
  <c r="O47" i="17" s="1"/>
  <c r="K51" i="17"/>
  <c r="N51" i="17" s="1"/>
  <c r="O51" i="17" s="1"/>
  <c r="K43" i="17"/>
  <c r="N43" i="17" s="1"/>
  <c r="O43" i="17" s="1"/>
  <c r="K41" i="17"/>
  <c r="N41" i="17" s="1"/>
  <c r="O41" i="17" s="1"/>
  <c r="K37" i="17"/>
  <c r="N37" i="17" s="1"/>
  <c r="O37" i="17" s="1"/>
  <c r="K39" i="17"/>
  <c r="N39" i="17" s="1"/>
  <c r="O39" i="17" s="1"/>
  <c r="K35" i="17"/>
  <c r="N35" i="17" s="1"/>
  <c r="O35" i="17" s="1"/>
  <c r="K33" i="17"/>
  <c r="N33" i="17" s="1"/>
  <c r="O33" i="17" s="1"/>
  <c r="K29" i="17"/>
  <c r="N29" i="17" s="1"/>
  <c r="O29" i="17" s="1"/>
  <c r="K25" i="17"/>
  <c r="N25" i="17" s="1"/>
  <c r="O25" i="17" s="1"/>
  <c r="K52" i="17"/>
  <c r="N52" i="17" s="1"/>
  <c r="O52" i="17" s="1"/>
  <c r="K48" i="17"/>
  <c r="N48" i="17" s="1"/>
  <c r="O48" i="17" s="1"/>
  <c r="K44" i="17"/>
  <c r="N44" i="17" s="1"/>
  <c r="O44" i="17" s="1"/>
  <c r="K40" i="17"/>
  <c r="N40" i="17" s="1"/>
  <c r="O40" i="17" s="1"/>
  <c r="K36" i="17"/>
  <c r="N36" i="17" s="1"/>
  <c r="O36" i="17" s="1"/>
  <c r="K32" i="17"/>
  <c r="N32" i="17" s="1"/>
  <c r="O32" i="17" s="1"/>
  <c r="K28" i="17"/>
  <c r="N28" i="17" s="1"/>
  <c r="O28" i="17" s="1"/>
  <c r="K24" i="17"/>
  <c r="N24" i="17" s="1"/>
  <c r="O24" i="17" s="1"/>
  <c r="K27" i="17"/>
  <c r="N27" i="17" s="1"/>
  <c r="O27" i="17" s="1"/>
  <c r="K23" i="17"/>
  <c r="N23" i="17" s="1"/>
  <c r="O23" i="17" s="1"/>
  <c r="K31" i="17"/>
  <c r="N31" i="17" s="1"/>
  <c r="O31" i="17" s="1"/>
  <c r="K54" i="17"/>
  <c r="N54" i="17" s="1"/>
  <c r="O54" i="17" s="1"/>
  <c r="K50" i="17"/>
  <c r="N50" i="17" s="1"/>
  <c r="O50" i="17" s="1"/>
  <c r="K46" i="17"/>
  <c r="N46" i="17" s="1"/>
  <c r="O46" i="17" s="1"/>
  <c r="K42" i="17"/>
  <c r="N42" i="17" s="1"/>
  <c r="O42" i="17" s="1"/>
  <c r="K38" i="17"/>
  <c r="N38" i="17" s="1"/>
  <c r="O38" i="17" s="1"/>
  <c r="K34" i="17"/>
  <c r="N34" i="17" s="1"/>
  <c r="O34" i="17" s="1"/>
  <c r="K30" i="17"/>
  <c r="N30" i="17" s="1"/>
  <c r="O30" i="17" s="1"/>
  <c r="K26" i="17"/>
  <c r="N26" i="17" s="1"/>
  <c r="O26" i="17" s="1"/>
  <c r="K20" i="17"/>
  <c r="N20" i="17" s="1"/>
  <c r="O20" i="17" s="1"/>
  <c r="K17" i="17"/>
  <c r="N17" i="17" s="1"/>
  <c r="O17" i="17" s="1"/>
  <c r="K22" i="17"/>
  <c r="N22" i="17" s="1"/>
  <c r="O22" i="17" s="1"/>
  <c r="K16" i="17"/>
  <c r="N16" i="17" s="1"/>
  <c r="O16" i="17" s="1"/>
  <c r="K21" i="17"/>
  <c r="N21" i="17" s="1"/>
  <c r="O21" i="17" s="1"/>
  <c r="K13" i="17"/>
  <c r="N13" i="17" s="1"/>
  <c r="O13" i="17" s="1"/>
  <c r="K12" i="17"/>
  <c r="N12" i="17" s="1"/>
  <c r="O12" i="17" s="1"/>
  <c r="K19" i="17"/>
  <c r="N19" i="17" s="1"/>
  <c r="O19" i="17" s="1"/>
  <c r="K15" i="17"/>
  <c r="N15" i="17" s="1"/>
  <c r="O15" i="17" s="1"/>
  <c r="K11" i="17"/>
  <c r="N11" i="17" s="1"/>
  <c r="O11" i="17" s="1"/>
  <c r="K18" i="17"/>
  <c r="N18" i="17" s="1"/>
  <c r="O18" i="17" s="1"/>
  <c r="K14" i="17"/>
  <c r="N14" i="17" s="1"/>
  <c r="O14" i="17" s="1"/>
  <c r="K8" i="17"/>
  <c r="N8" i="17" s="1"/>
  <c r="O8" i="17" s="1"/>
  <c r="K7" i="17"/>
  <c r="N7" i="17" s="1"/>
  <c r="O7" i="17" s="1"/>
  <c r="K10" i="17"/>
  <c r="N10" i="17" s="1"/>
  <c r="O10" i="17" s="1"/>
  <c r="K6" i="17"/>
  <c r="N6" i="17" s="1"/>
  <c r="O6" i="17" s="1"/>
  <c r="K9" i="17"/>
  <c r="N9" i="17" s="1"/>
  <c r="O9" i="17" s="1"/>
  <c r="N5" i="17"/>
  <c r="O5" i="17" s="1"/>
  <c r="D21" i="1"/>
  <c r="B21" i="1"/>
  <c r="D5" i="17" l="1"/>
  <c r="D12" i="17"/>
  <c r="D6" i="17"/>
  <c r="D10" i="17"/>
  <c r="D9" i="17"/>
  <c r="D11" i="17"/>
  <c r="D8" i="17"/>
  <c r="D7" i="17"/>
  <c r="F21" i="1"/>
  <c r="L18" i="1" s="1"/>
  <c r="L35" i="17" l="1"/>
  <c r="L25" i="17"/>
  <c r="M35" i="17"/>
  <c r="M51" i="17"/>
  <c r="L45" i="17"/>
  <c r="L14" i="17"/>
  <c r="M6" i="17"/>
  <c r="L27" i="17"/>
  <c r="M8" i="17"/>
  <c r="M50" i="17"/>
  <c r="M46" i="17"/>
  <c r="L36" i="17"/>
  <c r="L40" i="17"/>
  <c r="L16" i="17"/>
  <c r="L10" i="17"/>
  <c r="M53" i="17"/>
  <c r="L44" i="17"/>
  <c r="M15" i="17"/>
  <c r="M32" i="17"/>
  <c r="M30" i="17"/>
  <c r="L51" i="17"/>
  <c r="L8" i="17"/>
  <c r="L26" i="17"/>
  <c r="L42" i="17"/>
  <c r="M13" i="17"/>
  <c r="L47" i="17"/>
  <c r="L43" i="17"/>
  <c r="M7" i="17"/>
  <c r="L48" i="17"/>
  <c r="L37" i="17"/>
  <c r="L15" i="17"/>
  <c r="L24" i="17"/>
  <c r="M48" i="17"/>
  <c r="L11" i="17"/>
  <c r="M5" i="17"/>
  <c r="M28" i="17"/>
  <c r="M31" i="17"/>
  <c r="L17" i="17"/>
  <c r="M11" i="17"/>
  <c r="L23" i="17"/>
  <c r="L55" i="17"/>
  <c r="M19" i="17"/>
  <c r="M10" i="17"/>
  <c r="L49" i="17"/>
  <c r="M17" i="17"/>
  <c r="M44" i="17"/>
  <c r="M39" i="17"/>
  <c r="L54" i="17"/>
  <c r="L21" i="17"/>
  <c r="M38" i="17"/>
  <c r="M47" i="17"/>
  <c r="L19" i="17"/>
  <c r="M21" i="17"/>
  <c r="L38" i="17"/>
  <c r="M45" i="17"/>
  <c r="L53" i="17"/>
  <c r="L13" i="17"/>
  <c r="M54" i="17"/>
  <c r="L5" i="17"/>
  <c r="L9" i="17"/>
  <c r="M43" i="17"/>
  <c r="M14" i="17"/>
  <c r="M37" i="17"/>
  <c r="L50" i="17"/>
  <c r="L33" i="17"/>
  <c r="L30" i="17" s="1"/>
  <c r="L12" i="17"/>
  <c r="L39" i="17"/>
  <c r="L7" i="17"/>
  <c r="M22" i="17"/>
  <c r="L28" i="17"/>
  <c r="M29" i="17"/>
  <c r="M24" i="17"/>
  <c r="L46" i="17"/>
  <c r="M12" i="17"/>
  <c r="M23" i="17"/>
  <c r="M26" i="17"/>
  <c r="M40" i="17"/>
  <c r="M49" i="17"/>
  <c r="L32" i="17"/>
  <c r="M52" i="17"/>
  <c r="M16" i="17"/>
  <c r="M27" i="17"/>
  <c r="L18" i="17"/>
  <c r="M20" i="17"/>
  <c r="L41" i="17"/>
  <c r="M9" i="17"/>
  <c r="L22" i="17"/>
  <c r="M34" i="17"/>
  <c r="M36" i="17"/>
  <c r="L20" i="17"/>
  <c r="L31" i="17"/>
  <c r="M18" i="17"/>
  <c r="M33" i="17"/>
  <c r="M41" i="17"/>
  <c r="L52" i="17"/>
  <c r="L34" i="17"/>
  <c r="M25" i="17"/>
  <c r="M55" i="17"/>
  <c r="L6" i="17"/>
  <c r="L29" i="17"/>
  <c r="M42" i="17"/>
  <c r="D22" i="1"/>
  <c r="C22" i="1"/>
  <c r="E22" i="1"/>
  <c r="B22" i="1"/>
  <c r="I12" i="1"/>
</calcChain>
</file>

<file path=xl/comments1.xml><?xml version="1.0" encoding="utf-8"?>
<comments xmlns="http://schemas.openxmlformats.org/spreadsheetml/2006/main">
  <authors>
    <author>Erik Kobayashi-Solomon</author>
  </authors>
  <commentList>
    <comment ref="I1" authorId="0" shapeId="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text>
        <r>
          <rPr>
            <b/>
            <sz val="9"/>
            <color indexed="81"/>
            <rFont val="Tahoma"/>
            <family val="2"/>
          </rPr>
          <t>Erik Kobayashi-Solomon:</t>
        </r>
        <r>
          <rPr>
            <sz val="9"/>
            <color indexed="81"/>
            <rFont val="Tahoma"/>
            <family val="2"/>
          </rPr>
          <t xml:space="preserve">
We usually recommend 10% for a large cap firm and 12% for a small cap one.</t>
        </r>
      </text>
    </comment>
    <comment ref="A8" authorId="0" shapeId="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authors>
    <author>Erik Kobayashi-Solomon</author>
  </authors>
  <commentList>
    <comment ref="A10" authorId="0" shapeId="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text>
        <r>
          <rPr>
            <b/>
            <sz val="9"/>
            <color indexed="81"/>
            <rFont val="Tahoma"/>
            <family val="2"/>
          </rPr>
          <t>Erik Kobayashi-Solomon:</t>
        </r>
        <r>
          <rPr>
            <sz val="9"/>
            <color indexed="81"/>
            <rFont val="Tahoma"/>
            <family val="2"/>
          </rPr>
          <t xml:space="preserve">
Enter as a positive value.</t>
        </r>
      </text>
    </comment>
    <comment ref="A21" authorId="0" shapeId="0">
      <text>
        <r>
          <rPr>
            <b/>
            <sz val="9"/>
            <color indexed="81"/>
            <rFont val="Tahoma"/>
            <family val="2"/>
          </rPr>
          <t>Erik Kobayashi-Solomon:</t>
        </r>
        <r>
          <rPr>
            <sz val="9"/>
            <color indexed="81"/>
            <rFont val="Tahoma"/>
            <family val="2"/>
          </rPr>
          <t xml:space="preserve">
Enter as a negative value.</t>
        </r>
      </text>
    </comment>
    <comment ref="A25" authorId="0" shapeId="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<sst xmlns="http://schemas.openxmlformats.org/spreadsheetml/2006/main" count="378" uniqueCount="193">
  <si>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</si>
  <si>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</si>
  <si>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</si>
  <si>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</si>
  <si>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</si>
  <si>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</si>
  <si>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</si>
  <si>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</si>
  <si>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</si>
  <si>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</si>
  <si>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</si>
  <si>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</si>
  <si>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</si>
  <si>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</si>
  <si>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</si>
  <si>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</si>
  <si>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</si>
  <si>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</si>
  <si>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</si>
  <si>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</si>
  <si>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</si>
  <si>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</si>
  <si>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</si>
  <si>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</si>
  <si>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</si>
  <si>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</si>
  <si>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</si>
  <si>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</si>
  <si>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</si>
  <si>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</si>
  <si>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</si>
  <si>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</si>
  <si>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</si>
  <si>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</si>
  <si>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</si>
  <si>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</si>
  <si>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</si>
  <si>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</si>
  <si>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</si>
  <si>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</si>
  <si>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</si>
  <si>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</si>
  <si>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</si>
  <si>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</si>
  <si>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</si>
  <si>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</si>
  <si>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</si>
  <si>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</si>
  <si>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</si>
  <si>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</si>
  <si>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</si>
  <si>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</si>
  <si>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</si>
  <si>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</si>
  <si>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</si>
  <si>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</si>
  <si>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</si>
  <si>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</si>
  <si>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</si>
  <si>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</si>
  <si>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</si>
  <si>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</si>
  <si>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</si>
  <si>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</si>
  <si>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</si>
  <si>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</si>
  <si>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</si>
  <si>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</si>
  <si>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</si>
  <si>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</si>
  <si>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</si>
  <si>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</si>
  <si>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</si>
  <si>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</si>
  <si>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</si>
  <si>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</si>
  <si>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</si>
  <si>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</si>
  <si>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</si>
  <si>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</si>
  <si>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</si>
  <si>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</si>
  <si>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</si>
  <si>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</si>
  <si>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</si>
  <si>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</si>
  <si>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</si>
  <si>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</si>
  <si>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</si>
  <si>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</si>
  <si>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</si>
  <si>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</si>
  <si>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</si>
  <si>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</si>
  <si>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</si>
  <si>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</si>
  <si>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</si>
  <si>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</si>
  <si>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</si>
  <si>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</si>
  <si>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</si>
  <si>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</si>
  <si>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</si>
  <si>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</si>
  <si>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</si>
  <si>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</si>
  <si>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</si>
  <si>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</si>
  <si>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</si>
  <si>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</si>
  <si>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</si>
  <si>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</si>
  <si>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</si>
  <si>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</si>
  <si>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</si>
  <si>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</si>
  <si>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</si>
  <si>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</si>
  <si>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</si>
  <si>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</si>
  <si>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</si>
  <si>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</si>
  <si>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</si>
  <si>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</si>
  <si>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</si>
  <si>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</si>
  <si>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</si>
  <si>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</si>
  <si>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</si>
  <si>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</si>
  <si>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</si>
  <si>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</si>
  <si>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</si>
  <si>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</si>
  <si>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</si>
  <si>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</si>
  <si>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</si>
  <si>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</si>
  <si>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</si>
  <si>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</si>
  <si>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</si>
  <si>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</si>
  <si>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</si>
  <si>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</si>
  <si>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</si>
  <si>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</si>
  <si>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</si>
  <si>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</si>
  <si>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</si>
  <si>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</si>
  <si>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</si>
  <si>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</si>
  <si>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</si>
  <si>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</si>
  <si>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</si>
  <si>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</si>
  <si>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</si>
  <si>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</si>
  <si>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</si>
  <si>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</si>
  <si>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</si>
  <si>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</si>
  <si>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</si>
  <si>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</si>
  <si>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</si>
  <si>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</si>
  <si>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</si>
  <si>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</si>
  <si>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</si>
  <si>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</si>
  <si>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</si>
  <si>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</si>
  <si>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</si>
  <si>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</si>
  <si>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</si>
  <si>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</si>
  <si>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</si>
  <si>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</si>
  <si>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</si>
  <si>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</si>
  <si>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</si>
  <si>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</si>
  <si>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</si>
  <si>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</si>
  <si>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</si>
  <si>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</si>
  <si>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</si>
  <si>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</si>
  <si>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</si>
  <si>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</si>
  <si>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</si>
  <si>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Bristol-Meyers Squibb</t>
  </si>
  <si>
    <t>BMY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</si>
</sst>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s>
  <fonts count="53">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63">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cellXfs>
  <cellStyles count="127">
    <cellStyle name="$(0)" xfId="8"/>
    <cellStyle name="(0)" xfId="9"/>
    <cellStyle name="(0.0%)" xfId="10"/>
    <cellStyle name="75" xfId="11"/>
    <cellStyle name="AcNote" xfId="12"/>
    <cellStyle name="ÅëÈ­ [0]_±âÅ¸" xfId="13"/>
    <cellStyle name="ÅëÈ­_±âÅ¸" xfId="14"/>
    <cellStyle name="args.style" xfId="15"/>
    <cellStyle name="ÄÞ¸¶ [0]_±âÅ¸" xfId="16"/>
    <cellStyle name="ÄÞ¸¶_±âÅ¸" xfId="17"/>
    <cellStyle name="Body" xfId="18"/>
    <cellStyle name="Ç¥ÁØ_¿¬°£´©°è¿¹»ó" xfId="19"/>
    <cellStyle name="Calc Currency (0)" xfId="20"/>
    <cellStyle name="Calc Currency (2)" xfId="21"/>
    <cellStyle name="Calc Percent (0)" xfId="22"/>
    <cellStyle name="Calc Percent (1)" xfId="23"/>
    <cellStyle name="Calc Percent (2)" xfId="24"/>
    <cellStyle name="Calc Units (0)" xfId="25"/>
    <cellStyle name="Calc Units (1)" xfId="26"/>
    <cellStyle name="Calc Units (2)" xfId="27"/>
    <cellStyle name="Comma" xfId="1" builtinId="3"/>
    <cellStyle name="Comma  - Style1" xfId="28"/>
    <cellStyle name="Comma  - Style2" xfId="29"/>
    <cellStyle name="Comma  - Style3" xfId="30"/>
    <cellStyle name="Comma  - Style4" xfId="31"/>
    <cellStyle name="Comma  - Style5" xfId="32"/>
    <cellStyle name="Comma  - Style6" xfId="33"/>
    <cellStyle name="Comma  - Style7" xfId="34"/>
    <cellStyle name="Comma  - Style8" xfId="35"/>
    <cellStyle name="Comma [00]" xfId="36"/>
    <cellStyle name="Comma 2" xfId="6"/>
    <cellStyle name="Comma0" xfId="37"/>
    <cellStyle name="Copied" xfId="38"/>
    <cellStyle name="Currency" xfId="2" builtinId="4"/>
    <cellStyle name="Currency [00]" xfId="39"/>
    <cellStyle name="Currency 2" xfId="40"/>
    <cellStyle name="Currency M*" xfId="41"/>
    <cellStyle name="Currency0" xfId="42"/>
    <cellStyle name="Currwncy [0]_laroux_1¿ùÈ¸ºñ³»¿ª (2)_±¸¹Ì´ëÃ¥" xfId="43"/>
    <cellStyle name="Date" xfId="44"/>
    <cellStyle name="Date Short" xfId="45"/>
    <cellStyle name="Date_BRANCHWISE FOR BDTEAM FY 07-08(BEFORE AUDIT)" xfId="46"/>
    <cellStyle name="DELTA" xfId="47"/>
    <cellStyle name="Dollar" xfId="48"/>
    <cellStyle name="Dollar0Decimals" xfId="49"/>
    <cellStyle name="Dollar2Decimals" xfId="50"/>
    <cellStyle name="Enter Currency (0)" xfId="51"/>
    <cellStyle name="Enter Currency (2)" xfId="52"/>
    <cellStyle name="Enter Units (0)" xfId="53"/>
    <cellStyle name="Enter Units (1)" xfId="54"/>
    <cellStyle name="Enter Units (2)" xfId="55"/>
    <cellStyle name="Entered" xfId="56"/>
    <cellStyle name="Euro" xfId="57"/>
    <cellStyle name="Fixed" xfId="58"/>
    <cellStyle name="Formula" xfId="59"/>
    <cellStyle name="Grey" xfId="60"/>
    <cellStyle name="Header" xfId="61"/>
    <cellStyle name="Header1" xfId="62"/>
    <cellStyle name="Header2" xfId="63"/>
    <cellStyle name="HEADINGS" xfId="64"/>
    <cellStyle name="HEADINGSTOP" xfId="65"/>
    <cellStyle name="Hypertextový odkaz" xfId="66"/>
    <cellStyle name="Input [yellow]" xfId="67"/>
    <cellStyle name="Inputs" xfId="68"/>
    <cellStyle name="Link Currency (0)" xfId="69"/>
    <cellStyle name="Link Currency (2)" xfId="70"/>
    <cellStyle name="Link Units (0)" xfId="71"/>
    <cellStyle name="Link Units (1)" xfId="72"/>
    <cellStyle name="Link Units (2)" xfId="73"/>
    <cellStyle name="Multiple" xfId="74"/>
    <cellStyle name="Name" xfId="75"/>
    <cellStyle name="New Times Roman" xfId="76"/>
    <cellStyle name="NewAcct" xfId="77"/>
    <cellStyle name="no dec" xfId="78"/>
    <cellStyle name="Normal" xfId="0" builtinId="0"/>
    <cellStyle name="Normal - Style1" xfId="79"/>
    <cellStyle name="Normal 2" xfId="5"/>
    <cellStyle name="Normal 3" xfId="80"/>
    <cellStyle name="Normal 4" xfId="81"/>
    <cellStyle name="Normal 5" xfId="82"/>
    <cellStyle name="Normal 6" xfId="83"/>
    <cellStyle name="Normal 6 2" xfId="84"/>
    <cellStyle name="Normal 6 3" xfId="4"/>
    <cellStyle name="per.style" xfId="85"/>
    <cellStyle name="Percent" xfId="3" builtinId="5"/>
    <cellStyle name="Percent [0]" xfId="86"/>
    <cellStyle name="Percent [00]" xfId="87"/>
    <cellStyle name="Percent [2]" xfId="88"/>
    <cellStyle name="Percent 2" xfId="7"/>
    <cellStyle name="Plain2Decimals" xfId="89"/>
    <cellStyle name="PlainDollar" xfId="90"/>
    <cellStyle name="PlainDollarBoldwBorders" xfId="91"/>
    <cellStyle name="PlainDollardBLUndLine" xfId="92"/>
    <cellStyle name="PlainDollarSS" xfId="93"/>
    <cellStyle name="PlainDollarUndLine" xfId="94"/>
    <cellStyle name="Popis" xfId="95"/>
    <cellStyle name="PrePop Currency (0)" xfId="96"/>
    <cellStyle name="PrePop Currency (2)" xfId="97"/>
    <cellStyle name="PrePop Units (0)" xfId="98"/>
    <cellStyle name="PrePop Units (1)" xfId="99"/>
    <cellStyle name="PrePop Units (2)" xfId="100"/>
    <cellStyle name="R(0)" xfId="101"/>
    <cellStyle name="regstoresfromspecstores" xfId="102"/>
    <cellStyle name="RevList" xfId="103"/>
    <cellStyle name="Row head" xfId="104"/>
    <cellStyle name="SCH1" xfId="105"/>
    <cellStyle name="ScratchPad" xfId="106"/>
    <cellStyle name="SHADEDSTORES" xfId="107"/>
    <cellStyle name="Sledovaný hypertextový odkaz" xfId="108"/>
    <cellStyle name="specstores" xfId="109"/>
    <cellStyle name="SSComma0" xfId="110"/>
    <cellStyle name="SSComma2" xfId="111"/>
    <cellStyle name="SSDecs3" xfId="112"/>
    <cellStyle name="SSDflt" xfId="113"/>
    <cellStyle name="SSDfltPct" xfId="114"/>
    <cellStyle name="SSDfltPct0" xfId="115"/>
    <cellStyle name="SSFixed2" xfId="116"/>
    <cellStyle name="Standard_Balance Sheet" xfId="117"/>
    <cellStyle name="Subtotal" xfId="118"/>
    <cellStyle name="Text Indent A" xfId="119"/>
    <cellStyle name="Text Indent B" xfId="120"/>
    <cellStyle name="Text Indent C" xfId="121"/>
    <cellStyle name="桁区切り [0.00]_PERSONAL" xfId="122"/>
    <cellStyle name="桁区切り_PERSONAL" xfId="123"/>
    <cellStyle name="標準_PERSONAL" xfId="124"/>
    <cellStyle name="通貨 [0.00]_PERSONAL" xfId="125"/>
    <cellStyle name="通貨_PERSONAL" xfId="126"/>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worksheet" Target="worksheets/sheet9.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worksheet" Target="worksheets/sheet8.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7.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24" Type="http://schemas.openxmlformats.org/officeDocument/2006/relationships/externalLink" Target="externalLinks/externalLink6.xml"/><Relationship Id="rId5" Type="http://schemas.openxmlformats.org/officeDocument/2006/relationships/chartsheet" Target="chartsheets/sheet2.xml"/><Relationship Id="rId15" Type="http://schemas.openxmlformats.org/officeDocument/2006/relationships/worksheet" Target="worksheets/sheet6.xml"/><Relationship Id="rId23" Type="http://schemas.openxmlformats.org/officeDocument/2006/relationships/externalLink" Target="externalLinks/externalLink5.xml"/><Relationship Id="rId28" Type="http://schemas.openxmlformats.org/officeDocument/2006/relationships/calcChain" Target="calcChain.xml"/><Relationship Id="rId10" Type="http://schemas.openxmlformats.org/officeDocument/2006/relationships/chartsheet" Target="chartsheets/sheet7.xml"/><Relationship Id="rId19" Type="http://schemas.openxmlformats.org/officeDocument/2006/relationships/externalLink" Target="externalLinks/externalLink1.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extLst>
                <c:ext xmlns:c15="http://schemas.microsoft.com/office/drawing/2012/chart" uri="{02D57815-91ED-43cb-92C2-25804820EDAC}">
                  <c15:fullRef>
                    <c15:sqref>'Graphing Data'!$B$1:$P$1</c15:sqref>
                  </c15:fullRef>
                </c:ext>
              </c:extLst>
              <c:f>'Graphing Data'!$B$1:$K$1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extLst>
                <c:ext xmlns:c15="http://schemas.microsoft.com/office/drawing/2012/chart" uri="{02D57815-91ED-43cb-92C2-25804820EDAC}">
                  <c15:fullRef>
                    <c15:sqref>'Graphing Data'!$B$2:$P$2</c15:sqref>
                  </c15:fullRef>
                </c:ext>
              </c:extLst>
              <c:f>'Graphing Data'!$B$2:$K$2</c:f>
              <c:numCache>
                <c:formatCode>_(* #,##0_);_(* \(#,##0\);_(* "-"??_);_(@_)</c:formatCode>
                <c:ptCount val="10"/>
                <c:pt idx="0">
                  <c:v>19348</c:v>
                </c:pt>
                <c:pt idx="1">
                  <c:v>17715</c:v>
                </c:pt>
                <c:pt idx="2">
                  <c:v>18808</c:v>
                </c:pt>
                <c:pt idx="3">
                  <c:v>19484</c:v>
                </c:pt>
                <c:pt idx="4">
                  <c:v>21244</c:v>
                </c:pt>
                <c:pt idx="5">
                  <c:v>17621</c:v>
                </c:pt>
                <c:pt idx="6">
                  <c:v>16385</c:v>
                </c:pt>
                <c:pt idx="7">
                  <c:v>15879</c:v>
                </c:pt>
                <c:pt idx="8">
                  <c:v>16560</c:v>
                </c:pt>
                <c:pt idx="9">
                  <c:v>19427</c:v>
                </c:pt>
              </c:numCache>
            </c:numRef>
          </c:val>
          <c:extLst>
            <c:ext xmlns:c16="http://schemas.microsoft.com/office/drawing/2014/chart" uri="{C3380CC4-5D6E-409C-BE32-E72D297353CC}">
              <c16:uniqueId val="{00000000-329B-4CEA-A7A9-524904ADECDF}"/>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1"/>
          <c:tx>
            <c:strRef>
              <c:f>'Graphing Data'!$A$5</c:f>
              <c:strCache>
                <c:ptCount val="1"/>
                <c:pt idx="0">
                  <c:v>Percent Revenue Change (RHS)</c:v>
                </c:pt>
              </c:strCache>
            </c:strRef>
          </c:tx>
          <c:spPr>
            <a:ln w="19050" cap="rnd">
              <a:solidFill>
                <a:schemeClr val="tx1"/>
              </a:solidFill>
              <a:round/>
            </a:ln>
            <a:effectLst/>
          </c:spPr>
          <c:marker>
            <c:symbol val="none"/>
          </c:marker>
          <c:cat>
            <c:numRef>
              <c:extLst>
                <c:ext xmlns:c15="http://schemas.microsoft.com/office/drawing/2012/chart" uri="{02D57815-91ED-43cb-92C2-25804820EDAC}">
                  <c15:fullRef>
                    <c15:sqref>'Graphing Data'!$B$1:$P$1</c15:sqref>
                  </c15:fullRef>
                </c:ext>
              </c:extLst>
              <c:f>'Graphing Data'!$B$1:$K$1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extLst>
                <c:ext xmlns:c15="http://schemas.microsoft.com/office/drawing/2012/chart" uri="{02D57815-91ED-43cb-92C2-25804820EDAC}">
                  <c15:fullRef>
                    <c15:sqref>'Graphing Data'!$B$5:$P$5</c15:sqref>
                  </c15:fullRef>
                </c:ext>
              </c:extLst>
              <c:f>'Graphing Data'!$B$5:$K$5</c:f>
              <c:numCache>
                <c:formatCode>0%</c:formatCode>
                <c:ptCount val="10"/>
                <c:pt idx="1">
                  <c:v>-8.4401488525945867E-2</c:v>
                </c:pt>
                <c:pt idx="2">
                  <c:v>6.1699125035280744E-2</c:v>
                </c:pt>
                <c:pt idx="3">
                  <c:v>3.5942152275627359E-2</c:v>
                </c:pt>
                <c:pt idx="4">
                  <c:v>9.0330527612400013E-2</c:v>
                </c:pt>
                <c:pt idx="5">
                  <c:v>-0.17054227075880246</c:v>
                </c:pt>
                <c:pt idx="6">
                  <c:v>-7.0143578684524144E-2</c:v>
                </c:pt>
                <c:pt idx="7">
                  <c:v>-3.0881904180653064E-2</c:v>
                </c:pt>
                <c:pt idx="8">
                  <c:v>4.2886831664462388E-2</c:v>
                </c:pt>
                <c:pt idx="9">
                  <c:v>0.1731280193236715</c:v>
                </c:pt>
              </c:numCache>
            </c:numRef>
          </c:val>
          <c:smooth val="0"/>
          <c:extLst>
            <c:ext xmlns:c16="http://schemas.microsoft.com/office/drawing/2014/chart" uri="{C3380CC4-5D6E-409C-BE32-E72D297353CC}">
              <c16:uniqueId val="{00000003-329B-4CEA-A7A9-524904ADECDF}"/>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Data'!$B$2:$P$2</c:f>
              <c:numCache>
                <c:formatCode>_(* #,##0_);_(* \(#,##0\);_(* "-"??_);_(@_)</c:formatCode>
                <c:ptCount val="15"/>
                <c:pt idx="0">
                  <c:v>19348</c:v>
                </c:pt>
                <c:pt idx="1">
                  <c:v>17715</c:v>
                </c:pt>
                <c:pt idx="2">
                  <c:v>18808</c:v>
                </c:pt>
                <c:pt idx="3">
                  <c:v>19484</c:v>
                </c:pt>
                <c:pt idx="4">
                  <c:v>21244</c:v>
                </c:pt>
                <c:pt idx="5">
                  <c:v>17621</c:v>
                </c:pt>
                <c:pt idx="6">
                  <c:v>16385</c:v>
                </c:pt>
                <c:pt idx="7">
                  <c:v>15879</c:v>
                </c:pt>
                <c:pt idx="8">
                  <c:v>16560</c:v>
                </c:pt>
                <c:pt idx="9">
                  <c:v>19427</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Data'!$B$3:$P$3</c:f>
              <c:numCache>
                <c:formatCode>General</c:formatCode>
                <c:ptCount val="15"/>
                <c:pt idx="10" formatCode="_(* #,##0_);_(* \(#,##0\);_(* &quot;-&quot;??_);_(@_)">
                  <c:v>20398.350000000002</c:v>
                </c:pt>
                <c:pt idx="11" formatCode="_(* #,##0_);_(* \(#,##0\);_(* &quot;-&quot;??_);_(@_)">
                  <c:v>21010.300500000001</c:v>
                </c:pt>
                <c:pt idx="12" formatCode="_(* #,##0_);_(* \(#,##0\);_(* &quot;-&quot;??_);_(@_)">
                  <c:v>22270.918530000003</c:v>
                </c:pt>
                <c:pt idx="13" formatCode="_(* #,##0_);_(* \(#,##0\);_(* &quot;-&quot;??_);_(@_)">
                  <c:v>23607.173641800004</c:v>
                </c:pt>
                <c:pt idx="14" formatCode="_(* #,##0_);_(* \(#,##0\);_(* &quot;-&quot;??_);_(@_)">
                  <c:v>25023.604060308004</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Data'!$B$4:$P$4</c:f>
              <c:numCache>
                <c:formatCode>General</c:formatCode>
                <c:ptCount val="15"/>
                <c:pt idx="10" formatCode="_(* #,##0_);_(* \(#,##0\);_(* &quot;-&quot;??_);_(@_)">
                  <c:v>19524.134999999998</c:v>
                </c:pt>
                <c:pt idx="11" formatCode="_(* #,##0_);_(* \(#,##0\);_(* &quot;-&quot;??_);_(@_)">
                  <c:v>19524.134999999998</c:v>
                </c:pt>
                <c:pt idx="12" formatCode="_(* #,##0_);_(* \(#,##0\);_(* &quot;-&quot;??_);_(@_)">
                  <c:v>18938.410949999998</c:v>
                </c:pt>
                <c:pt idx="13" formatCode="_(* #,##0_);_(* \(#,##0\);_(* &quot;-&quot;??_);_(@_)">
                  <c:v>18370.258621499997</c:v>
                </c:pt>
                <c:pt idx="14" formatCode="_(* #,##0_);_(* \(#,##0\);_(* &quot;-&quot;??_);_(@_)">
                  <c:v>17819.150862854996</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Data'!$B$5:$P$5</c:f>
              <c:numCache>
                <c:formatCode>0%</c:formatCode>
                <c:ptCount val="15"/>
                <c:pt idx="1">
                  <c:v>-8.4401488525945867E-2</c:v>
                </c:pt>
                <c:pt idx="2">
                  <c:v>6.1699125035280744E-2</c:v>
                </c:pt>
                <c:pt idx="3">
                  <c:v>3.5942152275627359E-2</c:v>
                </c:pt>
                <c:pt idx="4">
                  <c:v>9.0330527612400013E-2</c:v>
                </c:pt>
                <c:pt idx="5">
                  <c:v>-0.17054227075880246</c:v>
                </c:pt>
                <c:pt idx="6">
                  <c:v>-7.0143578684524144E-2</c:v>
                </c:pt>
                <c:pt idx="7">
                  <c:v>-3.0881904180653064E-2</c:v>
                </c:pt>
                <c:pt idx="8">
                  <c:v>4.2886831664462388E-2</c:v>
                </c:pt>
                <c:pt idx="9">
                  <c:v>0.1731280193236715</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Data'!$B$6:$P$6</c:f>
              <c:numCache>
                <c:formatCode>General</c:formatCode>
                <c:ptCount val="15"/>
                <c:pt idx="9" formatCode="0%">
                  <c:v>0.1731280193236715</c:v>
                </c:pt>
                <c:pt idx="10" formatCode="0%">
                  <c:v>0.05</c:v>
                </c:pt>
                <c:pt idx="11" formatCode="0%">
                  <c:v>0.03</c:v>
                </c:pt>
                <c:pt idx="12" formatCode="0%">
                  <c:v>0.06</c:v>
                </c:pt>
                <c:pt idx="13" formatCode="0%">
                  <c:v>0.06</c:v>
                </c:pt>
                <c:pt idx="14" formatCode="0%">
                  <c:v>0.06</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Data'!$B$7:$P$7</c:f>
              <c:numCache>
                <c:formatCode>General</c:formatCode>
                <c:ptCount val="15"/>
                <c:pt idx="9" formatCode="0%">
                  <c:v>0.1731280193236715</c:v>
                </c:pt>
                <c:pt idx="10" formatCode="0%">
                  <c:v>5.0000000000000001E-3</c:v>
                </c:pt>
                <c:pt idx="11" formatCode="0%">
                  <c:v>0</c:v>
                </c:pt>
                <c:pt idx="12" formatCode="0%">
                  <c:v>-0.03</c:v>
                </c:pt>
                <c:pt idx="13" formatCode="0%">
                  <c:v>-0.03</c:v>
                </c:pt>
                <c:pt idx="14" formatCode="0%">
                  <c:v>-0.03</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extLst>
                <c:ext xmlns:c15="http://schemas.microsoft.com/office/drawing/2012/chart" uri="{02D57815-91ED-43cb-92C2-25804820EDAC}">
                  <c15:fullRef>
                    <c15:sqref>'Graphing Data'!$B$9:$P$9</c15:sqref>
                  </c15:fullRef>
                </c:ext>
              </c:extLst>
              <c:f>'Graphing Data'!$B$9:$K$9</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extLst>
                <c:ext xmlns:c15="http://schemas.microsoft.com/office/drawing/2012/chart" uri="{02D57815-91ED-43cb-92C2-25804820EDAC}">
                  <c15:fullRef>
                    <c15:sqref>'Graphing Data'!$B$10:$P$10</c15:sqref>
                  </c15:fullRef>
                </c:ext>
              </c:extLst>
              <c:f>'Graphing Data'!$B$10:$K$10</c:f>
              <c:numCache>
                <c:formatCode>_(* #,##0_);_(* \(#,##0\);_(* "-"??_);_(@_)</c:formatCode>
                <c:ptCount val="10"/>
                <c:pt idx="0">
                  <c:v>2224.5947999999999</c:v>
                </c:pt>
                <c:pt idx="1">
                  <c:v>2890.2541999999999</c:v>
                </c:pt>
                <c:pt idx="2">
                  <c:v>3338.7604000000001</c:v>
                </c:pt>
                <c:pt idx="3">
                  <c:v>3874.9211</c:v>
                </c:pt>
                <c:pt idx="4">
                  <c:v>4193.3960999999999</c:v>
                </c:pt>
                <c:pt idx="5">
                  <c:v>6248.1437999999998</c:v>
                </c:pt>
                <c:pt idx="6">
                  <c:v>2770.5419999999999</c:v>
                </c:pt>
                <c:pt idx="7">
                  <c:v>2677.4670999999998</c:v>
                </c:pt>
                <c:pt idx="8">
                  <c:v>1453.2571</c:v>
                </c:pt>
                <c:pt idx="9">
                  <c:v>2460.0749999999998</c:v>
                </c:pt>
              </c:numCache>
            </c:numRef>
          </c:val>
          <c:extLst>
            <c:ext xmlns:c16="http://schemas.microsoft.com/office/drawing/2014/chart" uri="{C3380CC4-5D6E-409C-BE32-E72D297353CC}">
              <c16:uniqueId val="{00000000-29CB-4F38-A42E-0A6391DCE6F5}"/>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1"/>
          <c:tx>
            <c:strRef>
              <c:f>'Graphing Data'!$A$13</c:f>
              <c:strCache>
                <c:ptCount val="1"/>
                <c:pt idx="0">
                  <c:v>OCP Margin (RHS)</c:v>
                </c:pt>
              </c:strCache>
            </c:strRef>
          </c:tx>
          <c:spPr>
            <a:ln w="19050" cap="rnd">
              <a:solidFill>
                <a:schemeClr val="tx1"/>
              </a:solidFill>
              <a:round/>
            </a:ln>
            <a:effectLst/>
          </c:spPr>
          <c:marker>
            <c:symbol val="none"/>
          </c:marker>
          <c:cat>
            <c:numRef>
              <c:extLst>
                <c:ext xmlns:c15="http://schemas.microsoft.com/office/drawing/2012/chart" uri="{02D57815-91ED-43cb-92C2-25804820EDAC}">
                  <c15:fullRef>
                    <c15:sqref>'Graphing Data'!$B$9:$P$9</c15:sqref>
                  </c15:fullRef>
                </c:ext>
              </c:extLst>
              <c:f>'Graphing Data'!$B$9:$K$9</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extLst>
                <c:ext xmlns:c15="http://schemas.microsoft.com/office/drawing/2012/chart" uri="{02D57815-91ED-43cb-92C2-25804820EDAC}">
                  <c15:fullRef>
                    <c15:sqref>'Graphing Data'!$B$13:$P$13</c15:sqref>
                  </c15:fullRef>
                </c:ext>
              </c:extLst>
              <c:f>'Graphing Data'!$B$13:$K$13</c:f>
              <c:numCache>
                <c:formatCode>0%</c:formatCode>
                <c:ptCount val="10"/>
                <c:pt idx="0">
                  <c:v>0.11497802356832747</c:v>
                </c:pt>
                <c:pt idx="1">
                  <c:v>0.16315293254304261</c:v>
                </c:pt>
                <c:pt idx="2">
                  <c:v>0.17751809868141216</c:v>
                </c:pt>
                <c:pt idx="3">
                  <c:v>0.19887708376103469</c:v>
                </c:pt>
                <c:pt idx="4">
                  <c:v>0.19739202127659575</c:v>
                </c:pt>
                <c:pt idx="5">
                  <c:v>0.35458508597695931</c:v>
                </c:pt>
                <c:pt idx="6">
                  <c:v>0.16909014342386328</c:v>
                </c:pt>
                <c:pt idx="7">
                  <c:v>0.16861685874425342</c:v>
                </c:pt>
                <c:pt idx="8">
                  <c:v>8.7757071256038655E-2</c:v>
                </c:pt>
                <c:pt idx="9">
                  <c:v>0.12663174962680804</c:v>
                </c:pt>
              </c:numCache>
            </c:numRef>
          </c:val>
          <c:smooth val="0"/>
          <c:extLst>
            <c:ext xmlns:c16="http://schemas.microsoft.com/office/drawing/2014/chart" uri="{C3380CC4-5D6E-409C-BE32-E72D297353CC}">
              <c16:uniqueId val="{00000003-29CB-4F38-A42E-0A6391DCE6F5}"/>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Data'!$B$10:$P$10</c:f>
              <c:numCache>
                <c:formatCode>_(* #,##0_);_(* \(#,##0\);_(* "-"??_);_(@_)</c:formatCode>
                <c:ptCount val="15"/>
                <c:pt idx="0">
                  <c:v>2224.5947999999999</c:v>
                </c:pt>
                <c:pt idx="1">
                  <c:v>2890.2541999999999</c:v>
                </c:pt>
                <c:pt idx="2">
                  <c:v>3338.7604000000001</c:v>
                </c:pt>
                <c:pt idx="3">
                  <c:v>3874.9211</c:v>
                </c:pt>
                <c:pt idx="4">
                  <c:v>4193.3960999999999</c:v>
                </c:pt>
                <c:pt idx="5">
                  <c:v>6248.1437999999998</c:v>
                </c:pt>
                <c:pt idx="6">
                  <c:v>2770.5419999999999</c:v>
                </c:pt>
                <c:pt idx="7">
                  <c:v>2677.4670999999998</c:v>
                </c:pt>
                <c:pt idx="8">
                  <c:v>1453.2571</c:v>
                </c:pt>
                <c:pt idx="9">
                  <c:v>2460.0749999999998</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Data'!$B$11:$P$11</c:f>
              <c:numCache>
                <c:formatCode>General</c:formatCode>
                <c:ptCount val="15"/>
                <c:pt idx="10" formatCode="_(* #,##0_);_(* \(#,##0\);_(* &quot;-&quot;??_);_(@_)">
                  <c:v>4487.6370000000006</c:v>
                </c:pt>
                <c:pt idx="11" formatCode="_(* #,##0_);_(* \(#,##0\);_(* &quot;-&quot;??_);_(@_)">
                  <c:v>4622.2661100000005</c:v>
                </c:pt>
                <c:pt idx="12" formatCode="_(* #,##0_);_(* \(#,##0\);_(* &quot;-&quot;??_);_(@_)">
                  <c:v>4899.6020766000011</c:v>
                </c:pt>
                <c:pt idx="13" formatCode="_(* #,##0_);_(* \(#,##0\);_(* &quot;-&quot;??_);_(@_)">
                  <c:v>5193.5782011960009</c:v>
                </c:pt>
                <c:pt idx="14" formatCode="_(* #,##0_);_(* \(#,##0\);_(* &quot;-&quot;??_);_(@_)">
                  <c:v>5505.1928932677611</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Data'!$B$12:$P$12</c:f>
              <c:numCache>
                <c:formatCode>General</c:formatCode>
                <c:ptCount val="15"/>
                <c:pt idx="10" formatCode="_(* #,##0_);_(* \(#,##0\);_(* &quot;-&quot;??_);_(@_)">
                  <c:v>3319.10295</c:v>
                </c:pt>
                <c:pt idx="11" formatCode="_(* #,##0_);_(* \(#,##0\);_(* &quot;-&quot;??_);_(@_)">
                  <c:v>3319.10295</c:v>
                </c:pt>
                <c:pt idx="12" formatCode="_(* #,##0_);_(* \(#,##0\);_(* &quot;-&quot;??_);_(@_)">
                  <c:v>3219.5298614999997</c:v>
                </c:pt>
                <c:pt idx="13" formatCode="_(* #,##0_);_(* \(#,##0\);_(* &quot;-&quot;??_);_(@_)">
                  <c:v>3122.9439656549998</c:v>
                </c:pt>
                <c:pt idx="14" formatCode="_(* #,##0_);_(* \(#,##0\);_(* &quot;-&quot;??_);_(@_)">
                  <c:v>3029.2556466853498</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Data'!$B$13:$P$13</c:f>
              <c:numCache>
                <c:formatCode>0%</c:formatCode>
                <c:ptCount val="15"/>
                <c:pt idx="0">
                  <c:v>0.11497802356832747</c:v>
                </c:pt>
                <c:pt idx="1">
                  <c:v>0.16315293254304261</c:v>
                </c:pt>
                <c:pt idx="2">
                  <c:v>0.17751809868141216</c:v>
                </c:pt>
                <c:pt idx="3">
                  <c:v>0.19887708376103469</c:v>
                </c:pt>
                <c:pt idx="4">
                  <c:v>0.19739202127659575</c:v>
                </c:pt>
                <c:pt idx="5">
                  <c:v>0.35458508597695931</c:v>
                </c:pt>
                <c:pt idx="6">
                  <c:v>0.16909014342386328</c:v>
                </c:pt>
                <c:pt idx="7">
                  <c:v>0.16861685874425342</c:v>
                </c:pt>
                <c:pt idx="8">
                  <c:v>8.7757071256038655E-2</c:v>
                </c:pt>
                <c:pt idx="9">
                  <c:v>0.12663174962680804</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Data'!$B$14:$P$14</c:f>
              <c:numCache>
                <c:formatCode>General</c:formatCode>
                <c:ptCount val="15"/>
                <c:pt idx="9" formatCode="0%">
                  <c:v>0.12663174962680804</c:v>
                </c:pt>
                <c:pt idx="10" formatCode="0%">
                  <c:v>0.22</c:v>
                </c:pt>
                <c:pt idx="11" formatCode="0%">
                  <c:v>0.22</c:v>
                </c:pt>
                <c:pt idx="12" formatCode="0%">
                  <c:v>0.22</c:v>
                </c:pt>
                <c:pt idx="13" formatCode="0%">
                  <c:v>0.22</c:v>
                </c:pt>
                <c:pt idx="14" formatCode="0%">
                  <c:v>0.22</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Data'!$B$15:$P$15</c:f>
              <c:numCache>
                <c:formatCode>General</c:formatCode>
                <c:ptCount val="15"/>
                <c:pt idx="9" formatCode="0%">
                  <c:v>0.12663174962680804</c:v>
                </c:pt>
                <c:pt idx="10" formatCode="0%">
                  <c:v>0.17</c:v>
                </c:pt>
                <c:pt idx="11" formatCode="0%">
                  <c:v>0.17</c:v>
                </c:pt>
                <c:pt idx="12" formatCode="0%">
                  <c:v>0.17</c:v>
                </c:pt>
                <c:pt idx="13" formatCode="0%">
                  <c:v>0.17</c:v>
                </c:pt>
                <c:pt idx="14" formatCode="0%">
                  <c:v>0.17</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Data'!$B$18:$K$18</c:f>
              <c:numCache>
                <c:formatCode>_(* #,##0_);_(* \(#,##0\);_(* "-"??_);_(@_)</c:formatCode>
                <c:ptCount val="10"/>
                <c:pt idx="0">
                  <c:v>2224.5947999999999</c:v>
                </c:pt>
                <c:pt idx="1">
                  <c:v>2890.2541999999999</c:v>
                </c:pt>
                <c:pt idx="2">
                  <c:v>3338.7604000000001</c:v>
                </c:pt>
                <c:pt idx="3">
                  <c:v>3874.9211</c:v>
                </c:pt>
                <c:pt idx="4">
                  <c:v>4193.3960999999999</c:v>
                </c:pt>
                <c:pt idx="5">
                  <c:v>6248.1437999999998</c:v>
                </c:pt>
                <c:pt idx="6">
                  <c:v>2770.5419999999999</c:v>
                </c:pt>
                <c:pt idx="7">
                  <c:v>2677.4670999999998</c:v>
                </c:pt>
                <c:pt idx="8">
                  <c:v>1453.2571</c:v>
                </c:pt>
                <c:pt idx="9">
                  <c:v>2460.0749999999998</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Data'!$B$19:$K$19</c:f>
              <c:numCache>
                <c:formatCode>_(* #,##0_);_(* \(#,##0\);_(* "-"??_);_(@_)</c:formatCode>
                <c:ptCount val="10"/>
                <c:pt idx="0">
                  <c:v>110.27378964193184</c:v>
                </c:pt>
                <c:pt idx="1">
                  <c:v>-4457.0887482212856</c:v>
                </c:pt>
                <c:pt idx="2">
                  <c:v>2275.0567765871165</c:v>
                </c:pt>
                <c:pt idx="3">
                  <c:v>694.63735880922059</c:v>
                </c:pt>
                <c:pt idx="4">
                  <c:v>205.79377301712157</c:v>
                </c:pt>
                <c:pt idx="5">
                  <c:v>7571.6820819999994</c:v>
                </c:pt>
                <c:pt idx="6">
                  <c:v>240.13095238049596</c:v>
                </c:pt>
                <c:pt idx="7">
                  <c:v>-2892.3549321432438</c:v>
                </c:pt>
                <c:pt idx="8">
                  <c:v>1243.4963488096218</c:v>
                </c:pt>
                <c:pt idx="9">
                  <c:v>206.71273857122571</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Data'!$B$22:$K$22</c:f>
              <c:numCache>
                <c:formatCode>_(* #,##0_);_(* \(#,##0\);_(* "-"??_);_(@_)</c:formatCode>
                <c:ptCount val="10"/>
                <c:pt idx="0">
                  <c:v>-85.40520000000015</c:v>
                </c:pt>
                <c:pt idx="1">
                  <c:v>124.25419999999986</c:v>
                </c:pt>
                <c:pt idx="2">
                  <c:v>3.7604000000001179</c:v>
                </c:pt>
                <c:pt idx="3">
                  <c:v>-192.07889999999998</c:v>
                </c:pt>
                <c:pt idx="4">
                  <c:v>-279.60390000000007</c:v>
                </c:pt>
                <c:pt idx="5">
                  <c:v>-144.85620000000017</c:v>
                </c:pt>
                <c:pt idx="6">
                  <c:v>-237.45800000000008</c:v>
                </c:pt>
                <c:pt idx="7">
                  <c:v>55.467099999999846</c:v>
                </c:pt>
                <c:pt idx="8">
                  <c:v>441.25710000000004</c:v>
                </c:pt>
                <c:pt idx="9">
                  <c:v>825.07499999999982</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Data'!$B$24:$K$24</c:f>
              <c:numCache>
                <c:formatCode>_(* #,##0_);_(* \(#,##0\);_(* "-"??_);_(@_)</c:formatCode>
                <c:ptCount val="10"/>
                <c:pt idx="0">
                  <c:v>432</c:v>
                </c:pt>
                <c:pt idx="1">
                  <c:v>191</c:v>
                </c:pt>
                <c:pt idx="2">
                  <c:v>2232</c:v>
                </c:pt>
                <c:pt idx="3">
                  <c:v>829</c:v>
                </c:pt>
                <c:pt idx="4">
                  <c:v>360</c:v>
                </c:pt>
                <c:pt idx="5">
                  <c:v>7530</c:v>
                </c:pt>
                <c:pt idx="6">
                  <c:v>0</c:v>
                </c:pt>
                <c:pt idx="7">
                  <c:v>219</c:v>
                </c:pt>
                <c:pt idx="8">
                  <c:v>1111</c:v>
                </c:pt>
                <c:pt idx="9">
                  <c:v>359</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Data'!$B$27:$K$27</c:f>
              <c:numCache>
                <c:formatCode>_(* #,##0_);_(* \(#,##0\);_(* "-"??_);_(@_)</c:formatCode>
                <c:ptCount val="10"/>
                <c:pt idx="0">
                  <c:v>80.678989641931992</c:v>
                </c:pt>
                <c:pt idx="1">
                  <c:v>66.657051778715001</c:v>
                </c:pt>
                <c:pt idx="2">
                  <c:v>65.296376587116185</c:v>
                </c:pt>
                <c:pt idx="3">
                  <c:v>124.71625880922056</c:v>
                </c:pt>
                <c:pt idx="4">
                  <c:v>274.39767301712163</c:v>
                </c:pt>
                <c:pt idx="5">
                  <c:v>254.53828199999998</c:v>
                </c:pt>
                <c:pt idx="6">
                  <c:v>486.58895238049604</c:v>
                </c:pt>
                <c:pt idx="7">
                  <c:v>418.17796785675637</c:v>
                </c:pt>
                <c:pt idx="8">
                  <c:v>399.23924880962193</c:v>
                </c:pt>
                <c:pt idx="9">
                  <c:v>356.6377385712259</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Data'!$B$23:$K$23</c:f>
              <c:numCache>
                <c:formatCode>_(* #,##0_);_(* \(#,##0\);_(* "-"??_);_(@_)</c:formatCode>
                <c:ptCount val="10"/>
                <c:pt idx="0">
                  <c:v>-317</c:v>
                </c:pt>
                <c:pt idx="1">
                  <c:v>-4839</c:v>
                </c:pt>
                <c:pt idx="2">
                  <c:v>-26</c:v>
                </c:pt>
                <c:pt idx="3">
                  <c:v>-67</c:v>
                </c:pt>
                <c:pt idx="4">
                  <c:v>-149</c:v>
                </c:pt>
                <c:pt idx="5">
                  <c:v>-68</c:v>
                </c:pt>
                <c:pt idx="6">
                  <c:v>-9</c:v>
                </c:pt>
                <c:pt idx="7">
                  <c:v>-3585</c:v>
                </c:pt>
                <c:pt idx="8">
                  <c:v>-708</c:v>
                </c:pt>
                <c:pt idx="9">
                  <c:v>-1334</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Data'!$B$26:$K$26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2114.3210103580682</c:v>
                </c:pt>
                <c:pt idx="1">
                  <c:v>7347.342948221285</c:v>
                </c:pt>
                <c:pt idx="2">
                  <c:v>1063.7036234128836</c:v>
                </c:pt>
                <c:pt idx="3">
                  <c:v>3180.2837411907794</c:v>
                </c:pt>
                <c:pt idx="4">
                  <c:v>3987.6023269828784</c:v>
                </c:pt>
                <c:pt idx="5">
                  <c:v>-1323.5382819999995</c:v>
                </c:pt>
                <c:pt idx="6">
                  <c:v>2530.4110476195037</c:v>
                </c:pt>
                <c:pt idx="7">
                  <c:v>5569.8220321432436</c:v>
                </c:pt>
                <c:pt idx="8">
                  <c:v>209.76075119037819</c:v>
                </c:pt>
                <c:pt idx="9">
                  <c:v>2253.3622614287742</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2788.0464779999998</c:v>
                </c:pt>
                <c:pt idx="11" formatCode="_(* #,##0_);_(* \(#,##0\);_(* &quot;-&quot;??_);_(@_)">
                  <c:v>2788.0464779999998</c:v>
                </c:pt>
                <c:pt idx="12" formatCode="_(* #,##0_);_(* \(#,##0\);_(* &quot;-&quot;??_);_(@_)">
                  <c:v>2704.4050836599995</c:v>
                </c:pt>
                <c:pt idx="13" formatCode="_(* #,##0_);_(* \(#,##0\);_(* &quot;-&quot;??_);_(@_)">
                  <c:v>2623.2729311501998</c:v>
                </c:pt>
                <c:pt idx="14" formatCode="_(* #,##0_);_(* \(#,##0\);_(* &quot;-&quot;??_);_(@_)">
                  <c:v>2544.5747432156936</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3769.6150800000005</c:v>
                </c:pt>
                <c:pt idx="11" formatCode="_(* #,##0_);_(* \(#,##0\);_(* &quot;-&quot;??_);_(@_)">
                  <c:v>3882.7035324000003</c:v>
                </c:pt>
                <c:pt idx="12" formatCode="_(* #,##0_);_(* \(#,##0\);_(* &quot;-&quot;??_);_(@_)">
                  <c:v>4115.6657443440008</c:v>
                </c:pt>
                <c:pt idx="13" formatCode="_(* #,##0_);_(* \(#,##0\);_(* &quot;-&quot;??_);_(@_)">
                  <c:v>4362.6056890046402</c:v>
                </c:pt>
                <c:pt idx="14" formatCode="_(* #,##0_);_(* \(#,##0\);_(* &quot;-&quot;??_);_(@_)">
                  <c:v>4624.3620303449188</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Data'!$B$33:$P$33</c:f>
              <c:numCache>
                <c:formatCode>0%</c:formatCode>
                <c:ptCount val="15"/>
                <c:pt idx="0">
                  <c:v>0.1092785306159845</c:v>
                </c:pt>
                <c:pt idx="1">
                  <c:v>0.41475263608361757</c:v>
                </c:pt>
                <c:pt idx="2">
                  <c:v>5.6555913622548047E-2</c:v>
                </c:pt>
                <c:pt idx="3">
                  <c:v>0.16322540244255693</c:v>
                </c:pt>
                <c:pt idx="4">
                  <c:v>0.18770487323398977</c:v>
                </c:pt>
                <c:pt idx="5">
                  <c:v>-7.5111417172691652E-2</c:v>
                </c:pt>
                <c:pt idx="6">
                  <c:v>0.15443460772776954</c:v>
                </c:pt>
                <c:pt idx="7">
                  <c:v>0.35076654903603777</c:v>
                </c:pt>
                <c:pt idx="8">
                  <c:v>1.266671202840448E-2</c:v>
                </c:pt>
                <c:pt idx="9">
                  <c:v>0.11599126274920339</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Data'!$B$35:$P$35</c:f>
              <c:numCache>
                <c:formatCode>General</c:formatCode>
                <c:ptCount val="15"/>
                <c:pt idx="9" formatCode="0%">
                  <c:v>0.11599126274920339</c:v>
                </c:pt>
                <c:pt idx="10" formatCode="0.0%">
                  <c:v>0.14280000000000001</c:v>
                </c:pt>
                <c:pt idx="11" formatCode="0.0%">
                  <c:v>0.14280000000000001</c:v>
                </c:pt>
                <c:pt idx="12" formatCode="0.0%">
                  <c:v>0.14280000000000001</c:v>
                </c:pt>
                <c:pt idx="13" formatCode="0.0%">
                  <c:v>0.14280000000000001</c:v>
                </c:pt>
                <c:pt idx="14" formatCode="0.0%">
                  <c:v>0.14280000000000001</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Data'!$B$34:$P$34</c:f>
              <c:numCache>
                <c:formatCode>General</c:formatCode>
                <c:ptCount val="15"/>
                <c:pt idx="9" formatCode="0%">
                  <c:v>0.11599126274920339</c:v>
                </c:pt>
                <c:pt idx="10" formatCode="0.0%">
                  <c:v>0.18479999999999999</c:v>
                </c:pt>
                <c:pt idx="11" formatCode="0.0%">
                  <c:v>0.18479999999999999</c:v>
                </c:pt>
                <c:pt idx="12" formatCode="0.0%">
                  <c:v>0.18479999999999999</c:v>
                </c:pt>
                <c:pt idx="13" formatCode="0.0%">
                  <c:v>0.18479999999999999</c:v>
                </c:pt>
                <c:pt idx="14" formatCode="0.0%">
                  <c:v>0.18479999999999999</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BMY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2224.5947999999999</c:v>
                </c:pt>
                <c:pt idx="1">
                  <c:v>2890.2541999999999</c:v>
                </c:pt>
                <c:pt idx="2">
                  <c:v>3338.7604000000001</c:v>
                </c:pt>
                <c:pt idx="3">
                  <c:v>3874.9211</c:v>
                </c:pt>
                <c:pt idx="4">
                  <c:v>4193.3960999999999</c:v>
                </c:pt>
                <c:pt idx="5">
                  <c:v>6248.1437999999998</c:v>
                </c:pt>
                <c:pt idx="6">
                  <c:v>2770.5419999999999</c:v>
                </c:pt>
                <c:pt idx="7">
                  <c:v>2677.4670999999998</c:v>
                </c:pt>
                <c:pt idx="8">
                  <c:v>1453.2571</c:v>
                </c:pt>
                <c:pt idx="9">
                  <c:v>2460.0749999999998</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BMY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2224.5947999999999</c:v>
                </c:pt>
                <c:pt idx="1">
                  <c:v>2203.3786167814837</c:v>
                </c:pt>
                <c:pt idx="2">
                  <c:v>2205.8924543362828</c:v>
                </c:pt>
                <c:pt idx="3">
                  <c:v>2306.4005257290673</c:v>
                </c:pt>
                <c:pt idx="4">
                  <c:v>2390.4626478175628</c:v>
                </c:pt>
                <c:pt idx="5">
                  <c:v>2473.3284255275698</c:v>
                </c:pt>
                <c:pt idx="6">
                  <c:v>2586.2693922968006</c:v>
                </c:pt>
                <c:pt idx="7">
                  <c:v>2680.9774649938736</c:v>
                </c:pt>
                <c:pt idx="8">
                  <c:v>2675.1168918992512</c:v>
                </c:pt>
                <c:pt idx="9">
                  <c:v>2675.1168918992512</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BMY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Data'!$B$40:$K$40</c:f>
              <c:numCache>
                <c:formatCode>0%</c:formatCode>
                <c:ptCount val="10"/>
                <c:pt idx="1">
                  <c:v>0.30876435709483641</c:v>
                </c:pt>
                <c:pt idx="2">
                  <c:v>0.15403790614372315</c:v>
                </c:pt>
                <c:pt idx="3">
                  <c:v>0.11502330510892134</c:v>
                </c:pt>
                <c:pt idx="4">
                  <c:v>4.574144847501449E-2</c:v>
                </c:pt>
                <c:pt idx="5">
                  <c:v>0.45533092855378987</c:v>
                </c:pt>
                <c:pt idx="6">
                  <c:v>-0.60224514254203876</c:v>
                </c:pt>
                <c:pt idx="7">
                  <c:v>-7.0214043435830042E-2</c:v>
                </c:pt>
                <c:pt idx="8">
                  <c:v>-0.45504092300746057</c:v>
                </c:pt>
                <c:pt idx="9">
                  <c:v>0.69280095036177691</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BMY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Data'!$B$41:$K$41</c:f>
              <c:numCache>
                <c:formatCode>0%</c:formatCode>
                <c:ptCount val="10"/>
                <c:pt idx="3">
                  <c:v>0.1828899676492004</c:v>
                </c:pt>
                <c:pt idx="4">
                  <c:v>0.10111586388417337</c:v>
                </c:pt>
                <c:pt idx="5">
                  <c:v>0.21630736033859232</c:v>
                </c:pt>
                <c:pt idx="6">
                  <c:v>-0.11617278148544563</c:v>
                </c:pt>
                <c:pt idx="7">
                  <c:v>-0.15373304779396413</c:v>
                </c:pt>
                <c:pt idx="8">
                  <c:v>-0.43602309759712032</c:v>
                </c:pt>
                <c:pt idx="9">
                  <c:v>-5.617349312258757E-2</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Bristol-Meyers Squibb (BMY)</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1.3</c:v>
                </c:pt>
                <c:pt idx="2">
                  <c:v>2.6</c:v>
                </c:pt>
                <c:pt idx="3">
                  <c:v>3.9</c:v>
                </c:pt>
                <c:pt idx="4">
                  <c:v>5.2</c:v>
                </c:pt>
                <c:pt idx="5">
                  <c:v>6.5</c:v>
                </c:pt>
                <c:pt idx="6">
                  <c:v>7.8000000000000007</c:v>
                </c:pt>
                <c:pt idx="7">
                  <c:v>9.1000000000000014</c:v>
                </c:pt>
                <c:pt idx="8">
                  <c:v>10.4</c:v>
                </c:pt>
                <c:pt idx="9">
                  <c:v>11.7</c:v>
                </c:pt>
                <c:pt idx="10">
                  <c:v>12.999999999999998</c:v>
                </c:pt>
                <c:pt idx="11">
                  <c:v>14.299999999999999</c:v>
                </c:pt>
                <c:pt idx="12">
                  <c:v>15.599999999999998</c:v>
                </c:pt>
                <c:pt idx="13">
                  <c:v>16.899999999999999</c:v>
                </c:pt>
                <c:pt idx="14">
                  <c:v>18.2</c:v>
                </c:pt>
                <c:pt idx="15">
                  <c:v>19.5</c:v>
                </c:pt>
                <c:pt idx="16">
                  <c:v>20.8</c:v>
                </c:pt>
                <c:pt idx="17">
                  <c:v>22.1</c:v>
                </c:pt>
                <c:pt idx="18">
                  <c:v>23.400000000000002</c:v>
                </c:pt>
                <c:pt idx="19">
                  <c:v>24.700000000000003</c:v>
                </c:pt>
                <c:pt idx="20">
                  <c:v>26.000000000000004</c:v>
                </c:pt>
                <c:pt idx="21">
                  <c:v>27.300000000000008</c:v>
                </c:pt>
                <c:pt idx="22">
                  <c:v>28.600000000000009</c:v>
                </c:pt>
                <c:pt idx="23">
                  <c:v>29.900000000000009</c:v>
                </c:pt>
                <c:pt idx="24">
                  <c:v>31.20000000000001</c:v>
                </c:pt>
                <c:pt idx="25">
                  <c:v>32.500000000000007</c:v>
                </c:pt>
                <c:pt idx="26">
                  <c:v>33.800000000000011</c:v>
                </c:pt>
                <c:pt idx="27">
                  <c:v>35.100000000000009</c:v>
                </c:pt>
                <c:pt idx="28">
                  <c:v>36.400000000000013</c:v>
                </c:pt>
                <c:pt idx="29">
                  <c:v>37.70000000000001</c:v>
                </c:pt>
                <c:pt idx="30">
                  <c:v>39.000000000000014</c:v>
                </c:pt>
                <c:pt idx="31">
                  <c:v>40.300000000000011</c:v>
                </c:pt>
                <c:pt idx="32">
                  <c:v>41.600000000000016</c:v>
                </c:pt>
                <c:pt idx="33">
                  <c:v>42.90000000000002</c:v>
                </c:pt>
                <c:pt idx="34">
                  <c:v>44.200000000000017</c:v>
                </c:pt>
                <c:pt idx="35">
                  <c:v>45.500000000000021</c:v>
                </c:pt>
                <c:pt idx="36">
                  <c:v>46.800000000000018</c:v>
                </c:pt>
                <c:pt idx="37">
                  <c:v>48.100000000000023</c:v>
                </c:pt>
                <c:pt idx="38">
                  <c:v>49.40000000000002</c:v>
                </c:pt>
                <c:pt idx="39">
                  <c:v>50.700000000000024</c:v>
                </c:pt>
                <c:pt idx="40">
                  <c:v>52.000000000000021</c:v>
                </c:pt>
                <c:pt idx="41">
                  <c:v>53.300000000000026</c:v>
                </c:pt>
                <c:pt idx="42">
                  <c:v>54.60000000000003</c:v>
                </c:pt>
                <c:pt idx="43">
                  <c:v>55.900000000000027</c:v>
                </c:pt>
                <c:pt idx="44">
                  <c:v>57.200000000000031</c:v>
                </c:pt>
                <c:pt idx="45">
                  <c:v>58.500000000000028</c:v>
                </c:pt>
                <c:pt idx="46">
                  <c:v>59.800000000000033</c:v>
                </c:pt>
                <c:pt idx="47">
                  <c:v>61.10000000000003</c:v>
                </c:pt>
                <c:pt idx="48">
                  <c:v>62.400000000000034</c:v>
                </c:pt>
                <c:pt idx="49">
                  <c:v>63.700000000000038</c:v>
                </c:pt>
                <c:pt idx="50">
                  <c:v>65.000000000000028</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6.25E-2</c:v>
                </c:pt>
                <c:pt idx="13">
                  <c:v>0</c:v>
                </c:pt>
                <c:pt idx="14">
                  <c:v>0</c:v>
                </c:pt>
                <c:pt idx="15">
                  <c:v>0</c:v>
                </c:pt>
                <c:pt idx="16">
                  <c:v>6.25E-2</c:v>
                </c:pt>
                <c:pt idx="17">
                  <c:v>6.25E-2</c:v>
                </c:pt>
                <c:pt idx="18">
                  <c:v>0</c:v>
                </c:pt>
                <c:pt idx="19">
                  <c:v>0</c:v>
                </c:pt>
                <c:pt idx="20">
                  <c:v>0</c:v>
                </c:pt>
                <c:pt idx="21">
                  <c:v>0</c:v>
                </c:pt>
                <c:pt idx="22">
                  <c:v>6.25E-2</c:v>
                </c:pt>
                <c:pt idx="23">
                  <c:v>0</c:v>
                </c:pt>
                <c:pt idx="24">
                  <c:v>6.25E-2</c:v>
                </c:pt>
                <c:pt idx="25">
                  <c:v>0</c:v>
                </c:pt>
                <c:pt idx="26">
                  <c:v>0</c:v>
                </c:pt>
                <c:pt idx="27">
                  <c:v>0</c:v>
                </c:pt>
                <c:pt idx="28">
                  <c:v>0</c:v>
                </c:pt>
                <c:pt idx="29">
                  <c:v>0</c:v>
                </c:pt>
                <c:pt idx="30">
                  <c:v>0</c:v>
                </c:pt>
                <c:pt idx="31">
                  <c:v>0</c:v>
                </c:pt>
                <c:pt idx="32">
                  <c:v>6.25E-2</c:v>
                </c:pt>
                <c:pt idx="33">
                  <c:v>6.25E-2</c:v>
                </c:pt>
                <c:pt idx="34">
                  <c:v>0</c:v>
                </c:pt>
                <c:pt idx="35">
                  <c:v>0</c:v>
                </c:pt>
                <c:pt idx="36">
                  <c:v>0</c:v>
                </c:pt>
                <c:pt idx="37">
                  <c:v>0</c:v>
                </c:pt>
                <c:pt idx="38">
                  <c:v>0</c:v>
                </c:pt>
                <c:pt idx="39">
                  <c:v>0</c:v>
                </c:pt>
                <c:pt idx="40">
                  <c:v>0</c:v>
                </c:pt>
                <c:pt idx="41">
                  <c:v>0</c:v>
                </c:pt>
                <c:pt idx="42">
                  <c:v>6.25E-2</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1.3</c:v>
                </c:pt>
                <c:pt idx="2">
                  <c:v>2.6</c:v>
                </c:pt>
                <c:pt idx="3">
                  <c:v>3.9</c:v>
                </c:pt>
                <c:pt idx="4">
                  <c:v>5.2</c:v>
                </c:pt>
                <c:pt idx="5">
                  <c:v>6.5</c:v>
                </c:pt>
                <c:pt idx="6">
                  <c:v>7.8000000000000007</c:v>
                </c:pt>
                <c:pt idx="7">
                  <c:v>9.1000000000000014</c:v>
                </c:pt>
                <c:pt idx="8">
                  <c:v>10.4</c:v>
                </c:pt>
                <c:pt idx="9">
                  <c:v>11.7</c:v>
                </c:pt>
                <c:pt idx="10">
                  <c:v>12.999999999999998</c:v>
                </c:pt>
                <c:pt idx="11">
                  <c:v>14.299999999999999</c:v>
                </c:pt>
                <c:pt idx="12">
                  <c:v>15.599999999999998</c:v>
                </c:pt>
                <c:pt idx="13">
                  <c:v>16.899999999999999</c:v>
                </c:pt>
                <c:pt idx="14">
                  <c:v>18.2</c:v>
                </c:pt>
                <c:pt idx="15">
                  <c:v>19.5</c:v>
                </c:pt>
                <c:pt idx="16">
                  <c:v>20.8</c:v>
                </c:pt>
                <c:pt idx="17">
                  <c:v>22.1</c:v>
                </c:pt>
                <c:pt idx="18">
                  <c:v>23.400000000000002</c:v>
                </c:pt>
                <c:pt idx="19">
                  <c:v>24.700000000000003</c:v>
                </c:pt>
                <c:pt idx="20">
                  <c:v>26.000000000000004</c:v>
                </c:pt>
                <c:pt idx="21">
                  <c:v>27.300000000000008</c:v>
                </c:pt>
                <c:pt idx="22">
                  <c:v>28.600000000000009</c:v>
                </c:pt>
                <c:pt idx="23">
                  <c:v>29.900000000000009</c:v>
                </c:pt>
                <c:pt idx="24">
                  <c:v>31.20000000000001</c:v>
                </c:pt>
                <c:pt idx="25">
                  <c:v>32.500000000000007</c:v>
                </c:pt>
                <c:pt idx="26">
                  <c:v>33.800000000000011</c:v>
                </c:pt>
                <c:pt idx="27">
                  <c:v>35.100000000000009</c:v>
                </c:pt>
                <c:pt idx="28">
                  <c:v>36.400000000000013</c:v>
                </c:pt>
                <c:pt idx="29">
                  <c:v>37.70000000000001</c:v>
                </c:pt>
                <c:pt idx="30">
                  <c:v>39.000000000000014</c:v>
                </c:pt>
                <c:pt idx="31">
                  <c:v>40.300000000000011</c:v>
                </c:pt>
                <c:pt idx="32">
                  <c:v>41.600000000000016</c:v>
                </c:pt>
                <c:pt idx="33">
                  <c:v>42.90000000000002</c:v>
                </c:pt>
                <c:pt idx="34">
                  <c:v>44.200000000000017</c:v>
                </c:pt>
                <c:pt idx="35">
                  <c:v>45.500000000000021</c:v>
                </c:pt>
                <c:pt idx="36">
                  <c:v>46.800000000000018</c:v>
                </c:pt>
                <c:pt idx="37">
                  <c:v>48.100000000000023</c:v>
                </c:pt>
                <c:pt idx="38">
                  <c:v>49.40000000000002</c:v>
                </c:pt>
                <c:pt idx="39">
                  <c:v>50.700000000000024</c:v>
                </c:pt>
                <c:pt idx="40">
                  <c:v>52.000000000000021</c:v>
                </c:pt>
                <c:pt idx="41">
                  <c:v>53.300000000000026</c:v>
                </c:pt>
                <c:pt idx="42">
                  <c:v>54.60000000000003</c:v>
                </c:pt>
                <c:pt idx="43">
                  <c:v>55.900000000000027</c:v>
                </c:pt>
                <c:pt idx="44">
                  <c:v>57.200000000000031</c:v>
                </c:pt>
                <c:pt idx="45">
                  <c:v>58.500000000000028</c:v>
                </c:pt>
                <c:pt idx="46">
                  <c:v>59.800000000000033</c:v>
                </c:pt>
                <c:pt idx="47">
                  <c:v>61.10000000000003</c:v>
                </c:pt>
                <c:pt idx="48">
                  <c:v>62.400000000000034</c:v>
                </c:pt>
                <c:pt idx="49">
                  <c:v>63.700000000000038</c:v>
                </c:pt>
                <c:pt idx="50">
                  <c:v>65.000000000000028</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7.8256953798583577E-253</c:v>
                </c:pt>
                <c:pt idx="1">
                  <c:v>1.3430465426213553E-48</c:v>
                </c:pt>
                <c:pt idx="2">
                  <c:v>9.8405008831078754E-33</c:v>
                </c:pt>
                <c:pt idx="3">
                  <c:v>6.2527596592057848E-25</c:v>
                </c:pt>
                <c:pt idx="4">
                  <c:v>4.6182853391990109E-20</c:v>
                </c:pt>
                <c:pt idx="5">
                  <c:v>1.1411866828052064E-16</c:v>
                </c:pt>
                <c:pt idx="6">
                  <c:v>3.8051962954550378E-14</c:v>
                </c:pt>
                <c:pt idx="7">
                  <c:v>3.4554603344559977E-12</c:v>
                </c:pt>
                <c:pt idx="8">
                  <c:v>1.2733380307960664E-10</c:v>
                </c:pt>
                <c:pt idx="9">
                  <c:v>2.4354410559725314E-9</c:v>
                </c:pt>
                <c:pt idx="10">
                  <c:v>2.8413391224278595E-8</c:v>
                </c:pt>
                <c:pt idx="11">
                  <c:v>2.2593384167392823E-7</c:v>
                </c:pt>
                <c:pt idx="12">
                  <c:v>1.3253897931108101E-6</c:v>
                </c:pt>
                <c:pt idx="13">
                  <c:v>6.0799708031363192E-6</c:v>
                </c:pt>
                <c:pt idx="14">
                  <c:v>2.2789083133136546E-5</c:v>
                </c:pt>
                <c:pt idx="15">
                  <c:v>7.2195362415805871E-5</c:v>
                </c:pt>
                <c:pt idx="16">
                  <c:v>1.9850422077566658E-4</c:v>
                </c:pt>
                <c:pt idx="17">
                  <c:v>4.8382303809714028E-4</c:v>
                </c:pt>
                <c:pt idx="18">
                  <c:v>1.0633410318505914E-3</c:v>
                </c:pt>
                <c:pt idx="19">
                  <c:v>2.1369161230058464E-3</c:v>
                </c:pt>
                <c:pt idx="20">
                  <c:v>3.9722635518863996E-3</c:v>
                </c:pt>
                <c:pt idx="21">
                  <c:v>6.8960597343999657E-3</c:v>
                </c:pt>
                <c:pt idx="22">
                  <c:v>1.1271734090455602E-2</c:v>
                </c:pt>
                <c:pt idx="23">
                  <c:v>1.7465757765339093E-2</c:v>
                </c:pt>
                <c:pt idx="24">
                  <c:v>2.5806927813903847E-2</c:v>
                </c:pt>
                <c:pt idx="25">
                  <c:v>3.6544761323377348E-2</c:v>
                </c:pt>
                <c:pt idx="26">
                  <c:v>4.9813333669127671E-2</c:v>
                </c:pt>
                <c:pt idx="27">
                  <c:v>6.5605821260776728E-2</c:v>
                </c:pt>
                <c:pt idx="28">
                  <c:v>8.3763049046227139E-2</c:v>
                </c:pt>
                <c:pt idx="29">
                  <c:v>0.10397703054423831</c:v>
                </c:pt>
                <c:pt idx="30">
                  <c:v>0.12580832120237948</c:v>
                </c:pt>
                <c:pt idx="31">
                  <c:v>0.14871434132047498</c:v>
                </c:pt>
                <c:pt idx="32">
                  <c:v>0.1720848396892066</c:v>
                </c:pt>
                <c:pt idx="33">
                  <c:v>0.19528037506543425</c:v>
                </c:pt>
                <c:pt idx="34">
                  <c:v>0.21766998116622466</c:v>
                </c:pt>
                <c:pt idx="35">
                  <c:v>0.23866487847837714</c:v>
                </c:pt>
                <c:pt idx="36">
                  <c:v>0.25774601360150229</c:v>
                </c:pt>
                <c:pt idx="37">
                  <c:v>0.2744841748045333</c:v>
                </c:pt>
                <c:pt idx="38">
                  <c:v>0.28855232183831253</c:v>
                </c:pt>
                <c:pt idx="39">
                  <c:v>0.29973049641739291</c:v>
                </c:pt>
                <c:pt idx="40">
                  <c:v>0.30790420846291672</c:v>
                </c:pt>
                <c:pt idx="41">
                  <c:v>0.31305751856626551</c:v>
                </c:pt>
                <c:pt idx="42">
                  <c:v>0.31526217993712791</c:v>
                </c:pt>
                <c:pt idx="43">
                  <c:v>0.31466419807435497</c:v>
                </c:pt>
                <c:pt idx="44">
                  <c:v>0.31146905363260563</c:v>
                </c:pt>
                <c:pt idx="45">
                  <c:v>0.30592665258353896</c:v>
                </c:pt>
                <c:pt idx="46">
                  <c:v>0.2983168519645143</c:v>
                </c:pt>
                <c:pt idx="47">
                  <c:v>0.28893618647684072</c:v>
                </c:pt>
                <c:pt idx="48">
                  <c:v>0.27808621065570893</c:v>
                </c:pt>
                <c:pt idx="49">
                  <c:v>0.26606368599667513</c:v>
                </c:pt>
                <c:pt idx="50">
                  <c:v>0.25315268905705623</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sheetPr/>
  <sheetViews>
    <sheetView zoomScale="83" workbookViewId="0" zoomToFit="1"/>
  </sheetViews>
  <pageMargins left="0.7" right="0.7" top="0.75" bottom="0.75" header="0.3" footer="0.3"/>
  <pageSetup paperSize="5"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83"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zoomScale="83"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sheetPr/>
  <sheetViews>
    <sheetView zoomScale="83"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sheetPr/>
  <sheetViews>
    <sheetView zoomScale="137" workbookViewId="0" zoomToFit="1"/>
  </sheetViews>
  <pageMargins left="0.7" right="0.7" top="0.75" bottom="0.75" header="0.3" footer="0.3"/>
  <pageSetup paperSize="5" orientation="landscape" r:id="rId1"/>
  <drawing r:id="rId2"/>
</chartsheet>
</file>

<file path=xl/chartsheets/sheet8.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5" orientation="landscape" r:id="rId1"/>
  <drawing r:id="rId2"/>
</chartsheet>
</file>

<file path=xl/chartsheets/sheet9.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11401310" cy="6283057"/>
    <xdr:graphicFrame macro="">
      <xdr:nvGraphicFramePr>
        <xdr:cNvPr id="2" name="Chart 1">
          <a:extLst>
            <a:ext uri="{FF2B5EF4-FFF2-40B4-BE49-F238E27FC236}">
              <a16:creationId xmlns:a16="http://schemas.microsoft.com/office/drawing/2014/main" id="{F6EFC280-EE9E-4F08-9761-D75B96F80F5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62285" cy="6284939"/>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401310" cy="6283057"/>
    <xdr:graphicFrame macro="">
      <xdr:nvGraphicFramePr>
        <xdr:cNvPr id="2" name="Chart 1">
          <a:extLst>
            <a:ext uri="{FF2B5EF4-FFF2-40B4-BE49-F238E27FC236}">
              <a16:creationId xmlns:a16="http://schemas.microsoft.com/office/drawing/2014/main" id="{EAEE430F-85D8-4501-B9D3-CD54CAB294C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1401310" cy="6283057"/>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401310" cy="628305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145"/>
  <sheetViews>
    <sheetView showGridLines="0" tabSelected="1" zoomScaleNormal="100" workbookViewId="0">
      <selection activeCell="H15" sqref="H15"/>
    </sheetView>
  </sheetViews>
  <sheetFormatPr defaultRowHeight="14.25"/>
  <cols>
    <col min="1" max="1" width="38.73046875" bestFit="1" customWidth="1"/>
    <col min="2" max="7" width="11.73046875" customWidth="1"/>
    <col min="8" max="9" width="10.59765625" bestFit="1" customWidth="1"/>
    <col min="10" max="10" width="11.3984375" customWidth="1"/>
    <col min="11" max="11" width="10.59765625" bestFit="1" customWidth="1"/>
    <col min="12" max="13" width="9.59765625" bestFit="1" customWidth="1"/>
    <col min="14" max="14" width="10.59765625" bestFit="1" customWidth="1"/>
    <col min="15" max="15" width="11.59765625" bestFit="1" customWidth="1"/>
  </cols>
  <sheetData>
    <row r="1" spans="1:13" ht="14.65" thickBot="1">
      <c r="A1" s="149" t="s">
        <v>61</v>
      </c>
      <c r="B1" s="149"/>
      <c r="C1" s="149"/>
      <c r="D1" s="149"/>
      <c r="E1" s="149"/>
      <c r="F1" s="149"/>
      <c r="G1" s="149"/>
      <c r="I1" s="158" t="s">
        <v>51</v>
      </c>
      <c r="J1" s="159"/>
      <c r="K1" s="91" t="s">
        <v>58</v>
      </c>
      <c r="L1" s="63" t="s">
        <v>108</v>
      </c>
    </row>
    <row r="2" spans="1:13">
      <c r="A2" s="51" t="s">
        <v>191</v>
      </c>
      <c r="B2" s="44" t="s">
        <v>192</v>
      </c>
      <c r="C2" s="98" t="str">
        <f>A2&amp;" ("&amp;ticker&amp;")"</f>
        <v>Bristol-Meyers Squibb (BMY)</v>
      </c>
      <c r="E2" s="3" t="s">
        <v>57</v>
      </c>
      <c r="F2" s="3"/>
      <c r="G2" s="50">
        <v>54.97</v>
      </c>
      <c r="I2" s="154" t="str">
        <f>(ROUND(AVERAGE(C9:G9)*100,0)&amp;"% | "&amp;ROUND(AVERAGE(C11:G11)*100,0)&amp;"% | "&amp;ROUND(C18*100,0)&amp;"%")</f>
        <v>-2% | 17% | -10%</v>
      </c>
      <c r="J2" s="155"/>
      <c r="K2" s="92">
        <f ca="1">TRUNC(Scenario1)+B13/G4</f>
        <v>16</v>
      </c>
      <c r="L2" s="94" t="s">
        <v>53</v>
      </c>
      <c r="M2" s="45"/>
    </row>
    <row r="3" spans="1:13">
      <c r="A3" t="s">
        <v>0</v>
      </c>
      <c r="B3" s="13">
        <v>42735</v>
      </c>
      <c r="E3" t="s">
        <v>60</v>
      </c>
      <c r="G3" s="31">
        <f>'Company Analysis'!K3</f>
        <v>19427</v>
      </c>
      <c r="I3" s="154" t="str">
        <f>(ROUND(AVERAGE(C9:G9)*100,0)&amp;"% | "&amp;ROUND(AVERAGE(C11:G11)*100,0)&amp;"% | "&amp;ROUND(C17*100,0)&amp;"%")</f>
        <v>-2% | 17% | 10%</v>
      </c>
      <c r="J3" s="155"/>
      <c r="K3" s="92">
        <f ca="1">TRUNC(Scenario2)+B13/G4</f>
        <v>31</v>
      </c>
      <c r="L3" s="94" t="s">
        <v>53</v>
      </c>
      <c r="M3" s="46"/>
    </row>
    <row r="4" spans="1:13" ht="14.65" thickBot="1">
      <c r="A4" s="68" t="s">
        <v>1</v>
      </c>
      <c r="B4" s="52">
        <v>0.1</v>
      </c>
      <c r="C4" s="12"/>
      <c r="D4" s="12"/>
      <c r="E4" s="12" t="s">
        <v>6</v>
      </c>
      <c r="F4" s="12"/>
      <c r="G4" s="53">
        <v>1647.4344579999999</v>
      </c>
      <c r="I4" s="154" t="str">
        <f>(ROUND(AVERAGE(C9:G9)*100,0)&amp;"% | "&amp;ROUND(AVERAGE(C10:G10)*100,0)&amp;"% | "&amp;ROUND(C18*100,0)&amp;"%")</f>
        <v>-2% | 22% | -10%</v>
      </c>
      <c r="J4" s="155"/>
      <c r="K4" s="92">
        <f ca="1">TRUNC(Scenario3)+B13/G4</f>
        <v>21</v>
      </c>
      <c r="L4" s="95" t="s">
        <v>53</v>
      </c>
      <c r="M4" s="47"/>
    </row>
    <row r="5" spans="1:13">
      <c r="B5" s="2"/>
      <c r="I5" s="154" t="str">
        <f>(ROUND(AVERAGE(C9:G9)*100,0)&amp;"% | "&amp;ROUND(AVERAGE(C10:G10)*100,0)&amp;"% | "&amp;ROUND(C17*100,0)&amp;"%")</f>
        <v>-2% | 22% | 10%</v>
      </c>
      <c r="J5" s="155"/>
      <c r="K5" s="92">
        <f ca="1">TRUNC(Scenario4)+B13/G4</f>
        <v>41</v>
      </c>
      <c r="L5" s="95" t="s">
        <v>53</v>
      </c>
      <c r="M5" s="47"/>
    </row>
    <row r="6" spans="1:13" s="9" customFormat="1" ht="14.65" thickBot="1">
      <c r="A6" s="149" t="s">
        <v>96</v>
      </c>
      <c r="B6" s="149"/>
      <c r="C6" s="149"/>
      <c r="D6" s="149"/>
      <c r="E6" s="149"/>
      <c r="F6" s="149"/>
      <c r="G6" s="149"/>
      <c r="H6" s="8"/>
      <c r="I6" s="154" t="str">
        <f>(ROUND(AVERAGE(C8:G8)*100,0)&amp;"% | "&amp;ROUND(AVERAGE(C11:G11)*100,0)&amp;"% | "&amp;ROUND(C18*100,0)&amp;"%")</f>
        <v>5% | 17% | -10%</v>
      </c>
      <c r="J6" s="155"/>
      <c r="K6" s="92">
        <f ca="1">TRUNC(Scenario5)+B13/G4</f>
        <v>22</v>
      </c>
      <c r="L6" s="94" t="s">
        <v>53</v>
      </c>
      <c r="M6" s="48"/>
    </row>
    <row r="7" spans="1:13">
      <c r="A7" s="7"/>
      <c r="B7" s="7" t="s">
        <v>2</v>
      </c>
      <c r="C7" s="40">
        <v>1</v>
      </c>
      <c r="D7" s="40">
        <v>2</v>
      </c>
      <c r="E7" s="40">
        <v>3</v>
      </c>
      <c r="F7" s="40">
        <v>4</v>
      </c>
      <c r="G7" s="40">
        <v>5</v>
      </c>
      <c r="I7" s="154" t="str">
        <f>(ROUND(AVERAGE(C8:G8)*100,0)&amp;"% | "&amp;ROUND(AVERAGE(C11:G11)*100,0)&amp;"% | "&amp;ROUND(C17*100,0)&amp;"%")</f>
        <v>5% | 17% | 10%</v>
      </c>
      <c r="J7" s="155"/>
      <c r="K7" s="92">
        <f ca="1">TRUNC(Scenario6)+B13/G4</f>
        <v>43</v>
      </c>
      <c r="L7" s="96" t="s">
        <v>53</v>
      </c>
    </row>
    <row r="8" spans="1:13">
      <c r="A8" s="152" t="s">
        <v>5</v>
      </c>
      <c r="B8" s="22" t="s">
        <v>3</v>
      </c>
      <c r="C8" s="23">
        <v>0.05</v>
      </c>
      <c r="D8" s="23">
        <v>0.03</v>
      </c>
      <c r="E8" s="23">
        <v>0.06</v>
      </c>
      <c r="F8" s="23">
        <v>0.06</v>
      </c>
      <c r="G8" s="23">
        <v>0.06</v>
      </c>
      <c r="I8" s="154" t="str">
        <f>(ROUND(AVERAGE(C8:G8)*100,0)&amp;"% | "&amp;ROUND(AVERAGE(C10:G10)*100,0)&amp;"% | "&amp;ROUND(C18*100,0)&amp;"%")</f>
        <v>5% | 22% | -10%</v>
      </c>
      <c r="J8" s="155"/>
      <c r="K8" s="92">
        <f ca="1">TRUNC(Scenario7)+B13/G4</f>
        <v>28</v>
      </c>
      <c r="L8" s="96" t="s">
        <v>53</v>
      </c>
    </row>
    <row r="9" spans="1:13">
      <c r="A9" s="153"/>
      <c r="B9" s="14" t="s">
        <v>4</v>
      </c>
      <c r="C9" s="24">
        <v>5.0000000000000001E-3</v>
      </c>
      <c r="D9" s="24">
        <v>0</v>
      </c>
      <c r="E9" s="24">
        <v>-0.03</v>
      </c>
      <c r="F9" s="24">
        <v>-0.03</v>
      </c>
      <c r="G9" s="24">
        <v>-0.03</v>
      </c>
      <c r="I9" s="156" t="str">
        <f>(ROUND(AVERAGE(C8:G8)*100,0)&amp;"% | "&amp;ROUND(AVERAGE(C10:G10)*100,0)&amp;"% | "&amp;ROUND(C17*100,0)&amp;"%")</f>
        <v>5% | 22% | 10%</v>
      </c>
      <c r="J9" s="157"/>
      <c r="K9" s="93">
        <f ca="1">TRUNC(Scenario8)+B13/G4</f>
        <v>55</v>
      </c>
      <c r="L9" s="97" t="s">
        <v>53</v>
      </c>
    </row>
    <row r="10" spans="1:13">
      <c r="A10" s="150" t="s">
        <v>124</v>
      </c>
      <c r="B10" s="22" t="s">
        <v>3</v>
      </c>
      <c r="C10" s="138">
        <v>0.22</v>
      </c>
      <c r="D10" s="138">
        <v>0.22</v>
      </c>
      <c r="E10" s="138">
        <v>0.22</v>
      </c>
      <c r="F10" s="138">
        <v>0.22</v>
      </c>
      <c r="G10" s="138">
        <v>0.22</v>
      </c>
    </row>
    <row r="11" spans="1:13">
      <c r="A11" s="151"/>
      <c r="B11" s="14" t="s">
        <v>4</v>
      </c>
      <c r="C11" s="139">
        <v>0.17</v>
      </c>
      <c r="D11" s="139">
        <v>0.17</v>
      </c>
      <c r="E11" s="139">
        <v>0.17</v>
      </c>
      <c r="F11" s="139">
        <v>0.17</v>
      </c>
      <c r="G11" s="139">
        <v>0.17</v>
      </c>
      <c r="I11" s="160" t="str">
        <f>A2&amp;" ("&amp;B2&amp;")"</f>
        <v>Bristol-Meyers Squibb (BMY)</v>
      </c>
      <c r="J11" s="161"/>
      <c r="K11" s="161"/>
      <c r="L11" s="162"/>
    </row>
    <row r="12" spans="1:13">
      <c r="A12" s="1" t="s">
        <v>62</v>
      </c>
      <c r="B12" s="14"/>
      <c r="C12" s="25">
        <v>0.16</v>
      </c>
      <c r="D12" s="25">
        <v>0.16</v>
      </c>
      <c r="E12" s="25">
        <v>0.16</v>
      </c>
      <c r="F12" s="25">
        <v>0.16</v>
      </c>
      <c r="G12" s="25">
        <v>0.16</v>
      </c>
      <c r="I12" s="140" t="str">
        <f ca="1">"$"&amp;ROUND(F21/G4,0)&amp;" Scenario"</f>
        <v>$22 Scenario</v>
      </c>
      <c r="J12" s="141"/>
      <c r="K12" s="141"/>
      <c r="L12" s="142"/>
    </row>
    <row r="13" spans="1:13">
      <c r="A13" s="67" t="s">
        <v>10</v>
      </c>
      <c r="B13" s="26">
        <v>0</v>
      </c>
      <c r="I13" s="73" t="s">
        <v>16</v>
      </c>
      <c r="K13" s="74"/>
      <c r="L13" s="65" t="s">
        <v>4</v>
      </c>
    </row>
    <row r="14" spans="1:13">
      <c r="B14" s="2"/>
      <c r="I14" s="71" t="s">
        <v>17</v>
      </c>
      <c r="K14" s="72"/>
      <c r="L14" s="65" t="s">
        <v>3</v>
      </c>
    </row>
    <row r="15" spans="1:13" ht="14.65" thickBot="1">
      <c r="A15" s="149" t="s">
        <v>97</v>
      </c>
      <c r="B15" s="149"/>
      <c r="C15" s="149"/>
      <c r="D15" s="3"/>
      <c r="E15" s="149" t="s">
        <v>98</v>
      </c>
      <c r="F15" s="149"/>
      <c r="G15" s="149"/>
      <c r="I15" s="75" t="s">
        <v>118</v>
      </c>
      <c r="J15" s="76"/>
      <c r="K15" s="76"/>
      <c r="L15" s="66" t="s">
        <v>4</v>
      </c>
    </row>
    <row r="16" spans="1:13">
      <c r="A16" s="67" t="s">
        <v>11</v>
      </c>
      <c r="B16" s="27">
        <v>5</v>
      </c>
      <c r="C16" t="s">
        <v>12</v>
      </c>
      <c r="E16" s="28" t="s">
        <v>14</v>
      </c>
      <c r="G16" s="32">
        <v>2.5000000000000001E-2</v>
      </c>
      <c r="I16" s="49" t="s">
        <v>117</v>
      </c>
      <c r="K16" s="3"/>
      <c r="L16" s="57">
        <f>(F26/G3)^0.2-1</f>
        <v>-1.7129607233613675E-2</v>
      </c>
    </row>
    <row r="17" spans="1:12">
      <c r="A17" s="147" t="s">
        <v>59</v>
      </c>
      <c r="B17" s="21" t="s">
        <v>3</v>
      </c>
      <c r="C17" s="23">
        <v>0.1</v>
      </c>
      <c r="D17" s="37">
        <f>IF(C17=B$4,C17-0.0001,C17)</f>
        <v>9.9900000000000003E-2</v>
      </c>
      <c r="E17" s="28" t="s">
        <v>15</v>
      </c>
      <c r="G17" s="32">
        <v>2.5000000000000001E-2</v>
      </c>
      <c r="I17" s="71" t="s">
        <v>116</v>
      </c>
      <c r="K17" s="72"/>
      <c r="L17" s="54">
        <f>SUM(B29:F29)/SUM(B26:F26)</f>
        <v>0.18479999999999996</v>
      </c>
    </row>
    <row r="18" spans="1:12">
      <c r="A18" s="148"/>
      <c r="B18" s="15" t="s">
        <v>4</v>
      </c>
      <c r="C18" s="24">
        <v>-0.1</v>
      </c>
      <c r="D18" s="37">
        <f>IF(C18=B$4,C18-0.0001,C18)</f>
        <v>-0.1</v>
      </c>
      <c r="G18" s="11"/>
      <c r="I18" s="75" t="s">
        <v>119</v>
      </c>
      <c r="K18" s="28"/>
      <c r="L18" s="56">
        <f ca="1">(F21/G4)/G2-1</f>
        <v>-0.60574573467218595</v>
      </c>
    </row>
    <row r="19" spans="1:12">
      <c r="C19" s="3"/>
      <c r="D19" s="3"/>
      <c r="E19" s="3"/>
      <c r="F19" s="3"/>
      <c r="J19" s="55"/>
      <c r="K19" s="55"/>
      <c r="L19" s="55"/>
    </row>
    <row r="20" spans="1:12" ht="14.65" thickBot="1">
      <c r="A20" s="59" t="s">
        <v>7</v>
      </c>
      <c r="B20" s="64" t="s">
        <v>92</v>
      </c>
      <c r="C20" s="64" t="s">
        <v>93</v>
      </c>
      <c r="D20" s="64" t="s">
        <v>94</v>
      </c>
      <c r="E20" s="64" t="s">
        <v>95</v>
      </c>
      <c r="F20" s="64" t="s">
        <v>8</v>
      </c>
      <c r="I20" s="143" t="s">
        <v>123</v>
      </c>
      <c r="J20" s="144"/>
      <c r="K20" s="144"/>
      <c r="L20" s="145"/>
    </row>
    <row r="21" spans="1:12">
      <c r="A21" s="16" t="s">
        <v>13</v>
      </c>
      <c r="B21" s="17">
        <f ca="1">SUM(B43:F43)</f>
        <v>13656.677531274261</v>
      </c>
      <c r="C21" s="17">
        <f ca="1">B54*F43</f>
        <v>5941.2544716454504</v>
      </c>
      <c r="D21" s="17">
        <f ca="1">B51*B50</f>
        <v>16105.526160521196</v>
      </c>
      <c r="E21" s="17">
        <f>B13</f>
        <v>0</v>
      </c>
      <c r="F21" s="17">
        <f ca="1">B21+C21+D21+E21</f>
        <v>35703.458163440911</v>
      </c>
      <c r="I21" s="101"/>
      <c r="J21" s="102"/>
      <c r="K21" s="69" t="s">
        <v>120</v>
      </c>
      <c r="L21" s="70" t="s">
        <v>121</v>
      </c>
    </row>
    <row r="22" spans="1:12">
      <c r="A22" s="16" t="s">
        <v>9</v>
      </c>
      <c r="B22" s="60">
        <f ca="1">IFERROR(B21/$F21,"")</f>
        <v>0.38250293483498526</v>
      </c>
      <c r="C22" s="60">
        <f ca="1">IFERROR(C21/$F21,"")</f>
        <v>0.1664055746210345</v>
      </c>
      <c r="D22" s="60">
        <f ca="1">IFERROR(D21/$F21,"")</f>
        <v>0.45109149054398012</v>
      </c>
      <c r="E22" s="60">
        <f ca="1">IFERROR(E21/$F21,"")</f>
        <v>0</v>
      </c>
      <c r="F22" s="60">
        <v>1</v>
      </c>
      <c r="I22" s="100" t="s">
        <v>122</v>
      </c>
      <c r="J22" s="15"/>
      <c r="K22" s="103">
        <v>0.25</v>
      </c>
      <c r="L22" s="104">
        <v>0.25600000000000001</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43100</v>
      </c>
      <c r="C25" s="33">
        <f t="shared" ref="C25:F25" si="0">DATE(YEAR($B$3)+C24,MONTH($B$3),DAY($B$3))</f>
        <v>43465</v>
      </c>
      <c r="D25" s="33">
        <f t="shared" si="0"/>
        <v>43830</v>
      </c>
      <c r="E25" s="33">
        <f t="shared" si="0"/>
        <v>44196</v>
      </c>
      <c r="F25" s="33">
        <f t="shared" si="0"/>
        <v>44561</v>
      </c>
      <c r="I25" s="9" t="s">
        <v>57</v>
      </c>
      <c r="L25" s="9">
        <v>26.29</v>
      </c>
    </row>
    <row r="26" spans="1:12" hidden="1">
      <c r="A26" t="s">
        <v>37</v>
      </c>
      <c r="B26" s="30">
        <f>(CHOOSE($B36,C8,C9)+1)*G3</f>
        <v>19524.134999999998</v>
      </c>
      <c r="C26" s="30">
        <f>(CHOOSE($B36,D8,D9)+1)*B26</f>
        <v>19524.134999999998</v>
      </c>
      <c r="D26" s="30">
        <f>(CHOOSE($B36,E8,E9)+1)*C26</f>
        <v>18938.410949999998</v>
      </c>
      <c r="E26" s="30">
        <f>(CHOOSE($B36,F8,F9)+1)*D26</f>
        <v>18370.258621499997</v>
      </c>
      <c r="F26" s="30">
        <f>(CHOOSE($B36,G8,G9)+1)*E26</f>
        <v>17819.150862854996</v>
      </c>
    </row>
    <row r="27" spans="1:12" hidden="1">
      <c r="A27" t="s">
        <v>71</v>
      </c>
      <c r="B27" s="58">
        <f>CHOOSE($B37,C10,C11)*B26</f>
        <v>4295.3096999999998</v>
      </c>
      <c r="C27" s="5">
        <f>CHOOSE($B37,D10,D11)*C26</f>
        <v>4295.3096999999998</v>
      </c>
      <c r="D27" s="5">
        <f>CHOOSE($B37,E10,E11)*D26</f>
        <v>4166.4504089999991</v>
      </c>
      <c r="E27" s="5">
        <f>CHOOSE($B37,F10,F11)*E26</f>
        <v>4041.4568967299992</v>
      </c>
      <c r="F27" s="5">
        <f>CHOOSE($B37,G10,G11)*F26</f>
        <v>3920.2131898280991</v>
      </c>
    </row>
    <row r="28" spans="1:12" hidden="1">
      <c r="A28" t="s">
        <v>72</v>
      </c>
      <c r="B28" s="58">
        <f>-C12*B27</f>
        <v>-687.24955199999999</v>
      </c>
      <c r="C28" s="58">
        <f t="shared" ref="C28:E28" si="1">-D12*C27</f>
        <v>-687.24955199999999</v>
      </c>
      <c r="D28" s="58">
        <f t="shared" si="1"/>
        <v>-666.63206543999991</v>
      </c>
      <c r="E28" s="58">
        <f t="shared" si="1"/>
        <v>-646.63310347679987</v>
      </c>
      <c r="F28" s="58">
        <f>-G12*F27</f>
        <v>-627.23411037249582</v>
      </c>
    </row>
    <row r="29" spans="1:12" ht="14.65" hidden="1" thickBot="1">
      <c r="A29" t="s">
        <v>73</v>
      </c>
      <c r="B29" s="4">
        <f>B27+B28</f>
        <v>3608.0601479999996</v>
      </c>
      <c r="C29" s="4">
        <f>C27+C28</f>
        <v>3608.0601479999996</v>
      </c>
      <c r="D29" s="4">
        <f>D27+D28</f>
        <v>3499.8183435599994</v>
      </c>
      <c r="E29" s="4">
        <f>E27+E28</f>
        <v>3394.8237932531993</v>
      </c>
      <c r="F29" s="4">
        <f>F27+F28</f>
        <v>3292.9790794556034</v>
      </c>
    </row>
    <row r="30" spans="1:12" ht="14.6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46" t="s">
        <v>35</v>
      </c>
      <c r="B41" s="146"/>
      <c r="C41" s="146"/>
      <c r="D41" s="146"/>
      <c r="E41" s="146"/>
      <c r="F41" s="146"/>
    </row>
    <row r="42" spans="1:16" hidden="1">
      <c r="A42" t="s">
        <v>21</v>
      </c>
      <c r="B42" s="19">
        <f ca="1">B25-TODAY()</f>
        <v>209</v>
      </c>
      <c r="C42" s="19">
        <f ca="1">C25-TODAY()</f>
        <v>574</v>
      </c>
      <c r="D42" s="19">
        <f ca="1">D25-TODAY()</f>
        <v>939</v>
      </c>
      <c r="E42" s="19">
        <f ca="1">E25-TODAY()</f>
        <v>1305</v>
      </c>
      <c r="F42" s="19">
        <f ca="1">F25-TODAY()</f>
        <v>1670</v>
      </c>
      <c r="P42" s="38"/>
    </row>
    <row r="43" spans="1:16" hidden="1">
      <c r="A43" t="s">
        <v>22</v>
      </c>
      <c r="B43" s="17">
        <f ca="1">B29*EXP(-$B$4*B42/365.25)</f>
        <v>3407.3988217647748</v>
      </c>
      <c r="C43" s="17">
        <f ca="1">C29*EXP(-$B$4*C42/365.25)</f>
        <v>3083.3529888921776</v>
      </c>
      <c r="D43" s="17">
        <f ca="1">D29*EXP(-$B$4*D42/365.25)</f>
        <v>2706.4204006828863</v>
      </c>
      <c r="E43" s="17">
        <f ca="1">E29*EXP(-$B$4*E42/365.25)</f>
        <v>2374.9166214274851</v>
      </c>
      <c r="F43" s="17">
        <f ca="1">F29*EXP(-$B$4*F42/365.25)</f>
        <v>2084.5886985069378</v>
      </c>
      <c r="O43" s="39"/>
    </row>
    <row r="44" spans="1:16" hidden="1"/>
    <row r="45" spans="1:16" hidden="1">
      <c r="A45" s="6" t="s">
        <v>26</v>
      </c>
      <c r="B45">
        <f>MONTH(B3)</f>
        <v>12</v>
      </c>
    </row>
    <row r="46" spans="1:16" hidden="1">
      <c r="A46" s="6" t="s">
        <v>27</v>
      </c>
      <c r="B46">
        <f>DAY(B3)</f>
        <v>31</v>
      </c>
    </row>
    <row r="47" spans="1:16" hidden="1">
      <c r="A47" s="6" t="s">
        <v>23</v>
      </c>
      <c r="B47">
        <f>YEAR(F25)+B16</f>
        <v>2026</v>
      </c>
    </row>
    <row r="48" spans="1:16" hidden="1">
      <c r="A48" s="6" t="s">
        <v>28</v>
      </c>
      <c r="B48">
        <f ca="1">DATE(B47,B45,B46)-TODAY()</f>
        <v>3496</v>
      </c>
      <c r="C48" s="34"/>
    </row>
    <row r="49" spans="1:7" hidden="1">
      <c r="A49" s="6" t="s">
        <v>24</v>
      </c>
      <c r="B49" s="17">
        <f>F29*EXP(CHOOSE(B38,C17,C18)*B16)</f>
        <v>1997.2927734821073</v>
      </c>
    </row>
    <row r="50" spans="1:7" hidden="1">
      <c r="A50" s="6" t="s">
        <v>29</v>
      </c>
      <c r="B50" s="17">
        <f ca="1">B49*EXP(-B4*B48/365.25)</f>
        <v>766.92981716767599</v>
      </c>
    </row>
    <row r="51" spans="1:7" hidden="1">
      <c r="A51" s="6" t="s">
        <v>31</v>
      </c>
      <c r="B51" s="17">
        <f>(1+SUM(G16,G17))/(B4-SUM(G16,G17))</f>
        <v>21</v>
      </c>
    </row>
    <row r="52" spans="1:7" hidden="1">
      <c r="A52" s="6" t="s">
        <v>32</v>
      </c>
      <c r="B52" s="18">
        <f>(1+CHOOSE(B38,D17,D18))/(B4-(CHOOSE(B38,D17,D18)))</f>
        <v>4.5</v>
      </c>
      <c r="F52" s="38"/>
    </row>
    <row r="53" spans="1:7" hidden="1">
      <c r="A53" s="6" t="s">
        <v>33</v>
      </c>
      <c r="B53" s="38">
        <f>1-(((1+CHOOSE(B38,D17,D18))/(1+B4))^B16)</f>
        <v>0.63335216794679972</v>
      </c>
      <c r="F53" s="39"/>
    </row>
    <row r="54" spans="1:7" hidden="1">
      <c r="A54" s="6" t="s">
        <v>30</v>
      </c>
      <c r="B54" s="36">
        <f>B52*B53</f>
        <v>2.8500847557605988</v>
      </c>
    </row>
    <row r="55" spans="1:7" hidden="1"/>
    <row r="56" spans="1:7" hidden="1"/>
    <row r="57" spans="1:7" hidden="1">
      <c r="A57" s="41" t="s">
        <v>36</v>
      </c>
    </row>
    <row r="58" spans="1:7" hidden="1">
      <c r="A58" t="s">
        <v>37</v>
      </c>
      <c r="B58" s="18">
        <f>$G$3*(1+C$9)</f>
        <v>19524.134999999998</v>
      </c>
      <c r="C58" s="18">
        <f>B58*(1+D$9)</f>
        <v>19524.134999999998</v>
      </c>
      <c r="D58" s="18">
        <f>C58*(1+E$9)</f>
        <v>18938.410949999998</v>
      </c>
      <c r="E58" s="18">
        <f>D58*(1+F$9)</f>
        <v>18370.258621499997</v>
      </c>
      <c r="F58" s="18">
        <f>E58*(1+G$9)</f>
        <v>17819.150862854996</v>
      </c>
    </row>
    <row r="59" spans="1:7" hidden="1">
      <c r="A59" t="s">
        <v>38</v>
      </c>
      <c r="B59" s="18">
        <f>B58*C$11</f>
        <v>3319.10295</v>
      </c>
      <c r="C59" s="18">
        <f>C58*D$11</f>
        <v>3319.10295</v>
      </c>
      <c r="D59" s="18">
        <f>D58*E$11</f>
        <v>3219.5298614999997</v>
      </c>
      <c r="E59" s="18">
        <f>E58*F$11</f>
        <v>3122.9439656549998</v>
      </c>
      <c r="F59" s="18">
        <f>F58*G$11</f>
        <v>3029.2556466853498</v>
      </c>
    </row>
    <row r="60" spans="1:7" hidden="1">
      <c r="B60" s="20">
        <f>B59/B58</f>
        <v>0.17</v>
      </c>
      <c r="C60" s="20">
        <f>C59/C58</f>
        <v>0.17</v>
      </c>
      <c r="D60" s="20">
        <f>D59/D58</f>
        <v>0.17</v>
      </c>
      <c r="E60" s="20">
        <f>E59/E58</f>
        <v>0.17</v>
      </c>
      <c r="F60" s="20">
        <f>F59/F58</f>
        <v>0.17</v>
      </c>
    </row>
    <row r="61" spans="1:7" hidden="1">
      <c r="A61" t="s">
        <v>39</v>
      </c>
      <c r="B61" s="38">
        <f t="shared" ref="B61:E61" si="2">B59-(C$12*B59)</f>
        <v>2788.0464780000002</v>
      </c>
      <c r="C61" s="38">
        <f t="shared" si="2"/>
        <v>2788.0464780000002</v>
      </c>
      <c r="D61" s="38">
        <f t="shared" si="2"/>
        <v>2704.4050836599999</v>
      </c>
      <c r="E61" s="38">
        <f t="shared" si="2"/>
        <v>2623.2729311501998</v>
      </c>
      <c r="F61" s="38">
        <f>F59-(G$12*F59)</f>
        <v>2544.5747432156941</v>
      </c>
    </row>
    <row r="62" spans="1:7" hidden="1">
      <c r="A62" t="s">
        <v>42</v>
      </c>
      <c r="B62" s="18">
        <f ca="1">B61*EXP(-$B$4*B$42/365.25)</f>
        <v>2632.9899986364171</v>
      </c>
      <c r="C62" s="18">
        <f ca="1">C61*EXP(-$B$4*C$42/365.25)</f>
        <v>2382.5909459621375</v>
      </c>
      <c r="D62" s="18">
        <f ca="1">D61*EXP(-$B$4*D$42/365.25)</f>
        <v>2091.3248550731396</v>
      </c>
      <c r="E62" s="18">
        <f ca="1">E61*EXP(-$B$4*E$42/365.25)</f>
        <v>1835.1628438303298</v>
      </c>
      <c r="F62" s="18">
        <f ca="1">F61*EXP(-$B$4*F$42/365.25)</f>
        <v>1610.8185397553614</v>
      </c>
      <c r="G62" s="18">
        <f ca="1">SUM(B62:F62)</f>
        <v>10552.887183257384</v>
      </c>
    </row>
    <row r="63" spans="1:7" hidden="1">
      <c r="A63" t="s">
        <v>41</v>
      </c>
      <c r="F63" s="38">
        <f>((1+$D$18)/($B$4-$D$18)*(1-(((1+$D$18)/(1+$B$4))^$B$16)))</f>
        <v>2.8500847557605988</v>
      </c>
      <c r="G63" s="18">
        <f ca="1">F63*F62</f>
        <v>4590.9693644533036</v>
      </c>
    </row>
    <row r="64" spans="1:7" hidden="1">
      <c r="A64" t="s">
        <v>40</v>
      </c>
      <c r="B64" s="38"/>
      <c r="F64" s="18">
        <f>F61*EXP($C$18*$B$16)</f>
        <v>1543.3625976907197</v>
      </c>
    </row>
    <row r="65" spans="1:7" hidden="1">
      <c r="A65" t="s">
        <v>43</v>
      </c>
      <c r="F65" s="18">
        <f ca="1">F64*EXP(-$B$4*B$48/365.25)</f>
        <v>592.62758599320432</v>
      </c>
      <c r="G65" s="42">
        <f ca="1">F65*B$51</f>
        <v>12445.179305857291</v>
      </c>
    </row>
    <row r="66" spans="1:7" hidden="1">
      <c r="A66" t="s">
        <v>44</v>
      </c>
      <c r="G66" s="18">
        <f ca="1">SUM(G62:G63,G65)</f>
        <v>27589.035853567977</v>
      </c>
    </row>
    <row r="67" spans="1:7" hidden="1">
      <c r="A67" t="s">
        <v>25</v>
      </c>
      <c r="G67" s="43">
        <f ca="1">G66/$G$4</f>
        <v>16.746666745735858</v>
      </c>
    </row>
    <row r="68" spans="1:7" hidden="1">
      <c r="G68" s="38"/>
    </row>
    <row r="69" spans="1:7" hidden="1">
      <c r="A69" s="41" t="s">
        <v>45</v>
      </c>
    </row>
    <row r="70" spans="1:7" hidden="1">
      <c r="A70" t="s">
        <v>37</v>
      </c>
      <c r="B70" s="18">
        <f>$G$3*(1+C$9)</f>
        <v>19524.134999999998</v>
      </c>
      <c r="C70" s="18">
        <f>B70*(1+D$9)</f>
        <v>19524.134999999998</v>
      </c>
      <c r="D70" s="18">
        <f>C70*(1+E$9)</f>
        <v>18938.410949999998</v>
      </c>
      <c r="E70" s="18">
        <f>D70*(1+F$9)</f>
        <v>18370.258621499997</v>
      </c>
      <c r="F70" s="18">
        <f>E70*(1+G$9)</f>
        <v>17819.150862854996</v>
      </c>
    </row>
    <row r="71" spans="1:7" hidden="1">
      <c r="A71" t="s">
        <v>38</v>
      </c>
      <c r="B71" s="18">
        <f>B70*C$11</f>
        <v>3319.10295</v>
      </c>
      <c r="C71" s="18">
        <f>C70*D$11</f>
        <v>3319.10295</v>
      </c>
      <c r="D71" s="18">
        <f>D70*E$11</f>
        <v>3219.5298614999997</v>
      </c>
      <c r="E71" s="18">
        <f>E70*F$11</f>
        <v>3122.9439656549998</v>
      </c>
      <c r="F71" s="18">
        <f>F70*G$11</f>
        <v>3029.2556466853498</v>
      </c>
    </row>
    <row r="72" spans="1:7" hidden="1">
      <c r="A72" t="s">
        <v>39</v>
      </c>
      <c r="B72" s="38">
        <f t="shared" ref="B72:E72" si="3">B71-(C$12*B71)</f>
        <v>2788.0464780000002</v>
      </c>
      <c r="C72" s="38">
        <f t="shared" si="3"/>
        <v>2788.0464780000002</v>
      </c>
      <c r="D72" s="38">
        <f t="shared" si="3"/>
        <v>2704.4050836599999</v>
      </c>
      <c r="E72" s="38">
        <f t="shared" si="3"/>
        <v>2623.2729311501998</v>
      </c>
      <c r="F72" s="38">
        <f>F71-(G$12*F71)</f>
        <v>2544.5747432156941</v>
      </c>
    </row>
    <row r="73" spans="1:7" hidden="1">
      <c r="A73" t="s">
        <v>42</v>
      </c>
      <c r="B73" s="18">
        <f ca="1">B72*EXP(-$B$4*B$42/365.25)</f>
        <v>2632.9899986364171</v>
      </c>
      <c r="C73" s="18">
        <f ca="1">C72*EXP(-$B$4*C$42/365.25)</f>
        <v>2382.5909459621375</v>
      </c>
      <c r="D73" s="18">
        <f ca="1">D72*EXP(-$B$4*D$42/365.25)</f>
        <v>2091.3248550731396</v>
      </c>
      <c r="E73" s="18">
        <f ca="1">E72*EXP(-$B$4*E$42/365.25)</f>
        <v>1835.1628438303298</v>
      </c>
      <c r="F73" s="18">
        <f ca="1">F72*EXP(-$B$4*F$42/365.25)</f>
        <v>1610.8185397553614</v>
      </c>
      <c r="G73" s="18">
        <f ca="1">SUM(B73:F73)</f>
        <v>10552.887183257384</v>
      </c>
    </row>
    <row r="74" spans="1:7" hidden="1">
      <c r="A74" t="s">
        <v>41</v>
      </c>
      <c r="F74" s="38">
        <f>((1+$D$17)/($B$4-$D$17)*(1-(((1+$D$17)/(1+$B$4))^$B$16)))</f>
        <v>4.9986365289112209</v>
      </c>
      <c r="G74" s="18">
        <f ca="1">F74*F73</f>
        <v>8051.8963942685814</v>
      </c>
    </row>
    <row r="75" spans="1:7" hidden="1">
      <c r="A75" t="s">
        <v>40</v>
      </c>
      <c r="B75" s="38"/>
      <c r="F75" s="18">
        <f>F72*EXP($C$17*$B$16)</f>
        <v>4195.294504026032</v>
      </c>
    </row>
    <row r="76" spans="1:7" hidden="1">
      <c r="A76" t="s">
        <v>43</v>
      </c>
      <c r="F76" s="18">
        <f ca="1">F75*EXP(-$B$4*B$48/365.25)</f>
        <v>1610.9287980488778</v>
      </c>
      <c r="G76" s="42">
        <f ca="1">F76*B$51</f>
        <v>33829.504759026429</v>
      </c>
    </row>
    <row r="77" spans="1:7" hidden="1">
      <c r="A77" t="s">
        <v>44</v>
      </c>
      <c r="G77" s="18">
        <f ca="1">SUM(G73:G74,G76)</f>
        <v>52434.288336552396</v>
      </c>
    </row>
    <row r="78" spans="1:7" hidden="1">
      <c r="A78" t="s">
        <v>25</v>
      </c>
      <c r="G78" s="43">
        <f ca="1">G77/$G$4</f>
        <v>31.827844854118254</v>
      </c>
    </row>
    <row r="79" spans="1:7" hidden="1"/>
    <row r="80" spans="1:7" hidden="1">
      <c r="A80" s="41" t="s">
        <v>46</v>
      </c>
    </row>
    <row r="81" spans="1:7" hidden="1">
      <c r="A81" t="s">
        <v>37</v>
      </c>
      <c r="B81" s="18">
        <f>$G$3*(1+C$9)</f>
        <v>19524.134999999998</v>
      </c>
      <c r="C81" s="18">
        <f>B81*(1+D$9)</f>
        <v>19524.134999999998</v>
      </c>
      <c r="D81" s="18">
        <f>C81*(1+E$9)</f>
        <v>18938.410949999998</v>
      </c>
      <c r="E81" s="18">
        <f>D81*(1+F$9)</f>
        <v>18370.258621499997</v>
      </c>
      <c r="F81" s="18">
        <f>E81*(1+G$9)</f>
        <v>17819.150862854996</v>
      </c>
    </row>
    <row r="82" spans="1:7" hidden="1">
      <c r="A82" t="s">
        <v>38</v>
      </c>
      <c r="B82" s="18">
        <f>B81*C$10</f>
        <v>4295.3096999999998</v>
      </c>
      <c r="C82" s="18">
        <f>C81*D$10</f>
        <v>4295.3096999999998</v>
      </c>
      <c r="D82" s="18">
        <f>D81*E$10</f>
        <v>4166.4504089999991</v>
      </c>
      <c r="E82" s="18">
        <f>E81*F$10</f>
        <v>4041.4568967299992</v>
      </c>
      <c r="F82" s="18">
        <f>F81*G$10</f>
        <v>3920.2131898280991</v>
      </c>
    </row>
    <row r="83" spans="1:7" hidden="1">
      <c r="A83" t="s">
        <v>39</v>
      </c>
      <c r="B83" s="38">
        <f>B82-(C$12*B82)</f>
        <v>3608.0601479999996</v>
      </c>
      <c r="C83" s="38">
        <f t="shared" ref="C83:F83" si="4">C82-(D$12*C82)</f>
        <v>3608.0601479999996</v>
      </c>
      <c r="D83" s="38">
        <f t="shared" si="4"/>
        <v>3499.8183435599994</v>
      </c>
      <c r="E83" s="38">
        <f t="shared" si="4"/>
        <v>3394.8237932531993</v>
      </c>
      <c r="F83" s="38">
        <f t="shared" si="4"/>
        <v>3292.9790794556034</v>
      </c>
    </row>
    <row r="84" spans="1:7" hidden="1">
      <c r="A84" t="s">
        <v>42</v>
      </c>
      <c r="B84" s="18">
        <f ca="1">B83*EXP(-$B$4*B$42/365.25)</f>
        <v>3407.3988217647748</v>
      </c>
      <c r="C84" s="18">
        <f ca="1">C83*EXP(-$B$4*C$42/365.25)</f>
        <v>3083.3529888921776</v>
      </c>
      <c r="D84" s="18">
        <f ca="1">D83*EXP(-$B$4*D$42/365.25)</f>
        <v>2706.4204006828863</v>
      </c>
      <c r="E84" s="18">
        <f ca="1">E83*EXP(-$B$4*E$42/365.25)</f>
        <v>2374.9166214274851</v>
      </c>
      <c r="F84" s="18">
        <f ca="1">F83*EXP(-$B$4*F$42/365.25)</f>
        <v>2084.5886985069378</v>
      </c>
      <c r="G84" s="18">
        <f ca="1">SUM(B84:F84)</f>
        <v>13656.677531274261</v>
      </c>
    </row>
    <row r="85" spans="1:7" hidden="1">
      <c r="A85" t="s">
        <v>41</v>
      </c>
      <c r="F85" s="38">
        <f>((1+$D$18)/($B$4-$D$18)*(1-(((1+$D$18)/(1+$B$4))^$B$16)))</f>
        <v>2.8500847557605988</v>
      </c>
      <c r="G85" s="18">
        <f ca="1">F85*F84</f>
        <v>5941.2544716454504</v>
      </c>
    </row>
    <row r="86" spans="1:7" hidden="1">
      <c r="A86" t="s">
        <v>40</v>
      </c>
      <c r="B86" s="38"/>
      <c r="F86" s="18">
        <f>F83*EXP($C$18*$B$16)</f>
        <v>1997.2927734821073</v>
      </c>
    </row>
    <row r="87" spans="1:7" hidden="1">
      <c r="A87" t="s">
        <v>43</v>
      </c>
      <c r="F87" s="18">
        <f ca="1">F86*EXP(-$B$4*B$48/365.25)</f>
        <v>766.92981716767599</v>
      </c>
      <c r="G87" s="42">
        <f ca="1">F87*B$51</f>
        <v>16105.526160521196</v>
      </c>
    </row>
    <row r="88" spans="1:7" hidden="1">
      <c r="A88" t="s">
        <v>44</v>
      </c>
      <c r="G88" s="18">
        <f ca="1">SUM(G84:G85,G87)</f>
        <v>35703.458163440911</v>
      </c>
    </row>
    <row r="89" spans="1:7" hidden="1">
      <c r="A89" t="s">
        <v>25</v>
      </c>
      <c r="G89" s="43">
        <f ca="1">G88/$G$4</f>
        <v>21.672156965069934</v>
      </c>
    </row>
    <row r="90" spans="1:7" hidden="1"/>
    <row r="91" spans="1:7" hidden="1">
      <c r="A91" s="41" t="s">
        <v>47</v>
      </c>
    </row>
    <row r="92" spans="1:7" hidden="1">
      <c r="A92" t="s">
        <v>37</v>
      </c>
      <c r="B92" s="18">
        <f>$G$3*(1+C$9)</f>
        <v>19524.134999999998</v>
      </c>
      <c r="C92" s="18">
        <f>B92*(1+D$9)</f>
        <v>19524.134999999998</v>
      </c>
      <c r="D92" s="18">
        <f>C92*(1+E$9)</f>
        <v>18938.410949999998</v>
      </c>
      <c r="E92" s="18">
        <f>D92*(1+F$9)</f>
        <v>18370.258621499997</v>
      </c>
      <c r="F92" s="18">
        <f>E92*(1+G$9)</f>
        <v>17819.150862854996</v>
      </c>
    </row>
    <row r="93" spans="1:7" hidden="1">
      <c r="A93" t="s">
        <v>38</v>
      </c>
      <c r="B93" s="18">
        <f>B92*C$10</f>
        <v>4295.3096999999998</v>
      </c>
      <c r="C93" s="18">
        <f>C92*D$10</f>
        <v>4295.3096999999998</v>
      </c>
      <c r="D93" s="18">
        <f>D92*E$10</f>
        <v>4166.4504089999991</v>
      </c>
      <c r="E93" s="18">
        <f>E92*F$10</f>
        <v>4041.4568967299992</v>
      </c>
      <c r="F93" s="18">
        <f>F92*G$10</f>
        <v>3920.2131898280991</v>
      </c>
    </row>
    <row r="94" spans="1:7" hidden="1">
      <c r="A94" t="s">
        <v>39</v>
      </c>
      <c r="B94" s="38">
        <f>B93-(C$12*B93)</f>
        <v>3608.0601479999996</v>
      </c>
      <c r="C94" s="38">
        <f t="shared" ref="C94" si="5">C93-(D$12*C93)</f>
        <v>3608.0601479999996</v>
      </c>
      <c r="D94" s="38">
        <f t="shared" ref="D94" si="6">D93-(E$12*D93)</f>
        <v>3499.8183435599994</v>
      </c>
      <c r="E94" s="38">
        <f t="shared" ref="E94" si="7">E93-(F$12*E93)</f>
        <v>3394.8237932531993</v>
      </c>
      <c r="F94" s="38">
        <f t="shared" ref="F94" si="8">F93-(G$12*F93)</f>
        <v>3292.9790794556034</v>
      </c>
    </row>
    <row r="95" spans="1:7" hidden="1">
      <c r="A95" t="s">
        <v>42</v>
      </c>
      <c r="B95" s="18">
        <f ca="1">B94*EXP(-$B$4*B$42/365.25)</f>
        <v>3407.3988217647748</v>
      </c>
      <c r="C95" s="18">
        <f ca="1">C94*EXP(-$B$4*C$42/365.25)</f>
        <v>3083.3529888921776</v>
      </c>
      <c r="D95" s="18">
        <f ca="1">D94*EXP(-$B$4*D$42/365.25)</f>
        <v>2706.4204006828863</v>
      </c>
      <c r="E95" s="18">
        <f ca="1">E94*EXP(-$B$4*E$42/365.25)</f>
        <v>2374.9166214274851</v>
      </c>
      <c r="F95" s="18">
        <f ca="1">F94*EXP(-$B$4*F$42/365.25)</f>
        <v>2084.5886985069378</v>
      </c>
      <c r="G95" s="18">
        <f ca="1">SUM(B95:F95)</f>
        <v>13656.677531274261</v>
      </c>
    </row>
    <row r="96" spans="1:7" hidden="1">
      <c r="A96" t="s">
        <v>41</v>
      </c>
      <c r="F96" s="38">
        <f>((1+$D$17)/($B$4-$D$17)*(1-(((1+$D$17)/(1+$B$4))^$B$16)))</f>
        <v>4.9986365289112209</v>
      </c>
      <c r="G96" s="18">
        <f ca="1">F96*F95</f>
        <v>10420.10121611228</v>
      </c>
    </row>
    <row r="97" spans="1:7" hidden="1">
      <c r="A97" t="s">
        <v>40</v>
      </c>
      <c r="B97" s="38"/>
      <c r="F97" s="18">
        <f>F94*EXP($C$17*$B$16)</f>
        <v>5429.2046522689807</v>
      </c>
    </row>
    <row r="98" spans="1:7" hidden="1">
      <c r="A98" t="s">
        <v>43</v>
      </c>
      <c r="F98" s="18">
        <f ca="1">F97*EXP(-$B$4*B$48/365.25)</f>
        <v>2084.7313857103113</v>
      </c>
      <c r="G98" s="42">
        <f ca="1">F98*B$51</f>
        <v>43779.359099916539</v>
      </c>
    </row>
    <row r="99" spans="1:7" hidden="1">
      <c r="A99" t="s">
        <v>44</v>
      </c>
      <c r="G99" s="18">
        <f ca="1">SUM(G95:G96,G98)</f>
        <v>67856.137847303078</v>
      </c>
    </row>
    <row r="100" spans="1:7" hidden="1">
      <c r="A100" t="s">
        <v>25</v>
      </c>
      <c r="G100" s="43">
        <f ca="1">G99/$G$4</f>
        <v>41.188975693564785</v>
      </c>
    </row>
    <row r="101" spans="1:7" hidden="1"/>
    <row r="102" spans="1:7" hidden="1">
      <c r="A102" s="41" t="s">
        <v>48</v>
      </c>
    </row>
    <row r="103" spans="1:7" hidden="1">
      <c r="A103" t="s">
        <v>37</v>
      </c>
      <c r="B103" s="18">
        <f>$G$3*(1+C$8)</f>
        <v>20398.350000000002</v>
      </c>
      <c r="C103" s="18">
        <f>B103*(1+D$8)</f>
        <v>21010.300500000001</v>
      </c>
      <c r="D103" s="18">
        <f>C103*(1+E$8)</f>
        <v>22270.918530000003</v>
      </c>
      <c r="E103" s="18">
        <f>D103*(1+F$8)</f>
        <v>23607.173641800004</v>
      </c>
      <c r="F103" s="18">
        <f>E103*(1+G$8)</f>
        <v>25023.604060308004</v>
      </c>
    </row>
    <row r="104" spans="1:7" hidden="1">
      <c r="A104" t="s">
        <v>38</v>
      </c>
      <c r="B104" s="18">
        <f>B103*C$11</f>
        <v>3467.7195000000006</v>
      </c>
      <c r="C104" s="18">
        <f>C103*D$11</f>
        <v>3571.7510850000003</v>
      </c>
      <c r="D104" s="18">
        <f>D103*E$11</f>
        <v>3786.0561501000007</v>
      </c>
      <c r="E104" s="18">
        <f>E103*F$11</f>
        <v>4013.2195191060009</v>
      </c>
      <c r="F104" s="18">
        <f>F103*G$11</f>
        <v>4254.0126902523607</v>
      </c>
    </row>
    <row r="105" spans="1:7" hidden="1">
      <c r="A105" t="s">
        <v>39</v>
      </c>
      <c r="B105" s="38">
        <f>B104-(C$12*B104)</f>
        <v>2912.8843800000004</v>
      </c>
      <c r="C105" s="38">
        <f t="shared" ref="C105" si="9">C104-(D$12*C104)</f>
        <v>3000.2709114000004</v>
      </c>
      <c r="D105" s="38">
        <f t="shared" ref="D105" si="10">D104-(E$12*D104)</f>
        <v>3180.2871660840005</v>
      </c>
      <c r="E105" s="38">
        <f t="shared" ref="E105" si="11">E104-(F$12*E104)</f>
        <v>3371.1043960490406</v>
      </c>
      <c r="F105" s="38">
        <f t="shared" ref="F105" si="12">F104-(G$12*F104)</f>
        <v>3573.3706598119829</v>
      </c>
    </row>
    <row r="106" spans="1:7" hidden="1">
      <c r="A106" t="s">
        <v>42</v>
      </c>
      <c r="B106" s="18">
        <f ca="1">B105*EXP(-$B$4*B$42/365.25)</f>
        <v>2750.885073202227</v>
      </c>
      <c r="C106" s="18">
        <f ca="1">C105*EXP(-$B$4*C$42/365.25)</f>
        <v>2563.95234632642</v>
      </c>
      <c r="D106" s="18">
        <f ca="1">D105*EXP(-$B$4*D$42/365.25)</f>
        <v>2459.3259482046437</v>
      </c>
      <c r="E106" s="18">
        <f ca="1">E105*EXP(-$B$4*E$42/365.25)</f>
        <v>2358.3232445393096</v>
      </c>
      <c r="F106" s="18">
        <f ca="1">F105*EXP(-$B$4*F$42/365.25)</f>
        <v>2262.0878885910843</v>
      </c>
      <c r="G106" s="18">
        <f ca="1">SUM(B106:F106)</f>
        <v>12394.574500863684</v>
      </c>
    </row>
    <row r="107" spans="1:7" hidden="1">
      <c r="A107" t="s">
        <v>41</v>
      </c>
      <c r="F107" s="38">
        <f>((1+$D$18)/($B$4-$D$18)*(1-(((1+$D$18)/(1+$B$4))^$B$16)))</f>
        <v>2.8500847557605988</v>
      </c>
      <c r="G107" s="18">
        <f ca="1">F107*F106</f>
        <v>6447.1422074641287</v>
      </c>
    </row>
    <row r="108" spans="1:7" hidden="1">
      <c r="A108" t="s">
        <v>40</v>
      </c>
      <c r="B108" s="38"/>
      <c r="F108" s="18">
        <f>F105*EXP($C$18*$B$16)</f>
        <v>2167.3588636935301</v>
      </c>
    </row>
    <row r="109" spans="1:7" hidden="1">
      <c r="A109" t="s">
        <v>43</v>
      </c>
      <c r="F109" s="18">
        <f ca="1">F108*EXP(-$B$4*B$48/365.25)</f>
        <v>832.23258960242356</v>
      </c>
      <c r="G109" s="42">
        <f ca="1">F109*B$51</f>
        <v>17476.884381650896</v>
      </c>
    </row>
    <row r="110" spans="1:7" hidden="1">
      <c r="A110" t="s">
        <v>44</v>
      </c>
      <c r="G110" s="18">
        <f ca="1">SUM(G106:G107,G109)</f>
        <v>36318.601089978707</v>
      </c>
    </row>
    <row r="111" spans="1:7" hidden="1">
      <c r="A111" t="s">
        <v>25</v>
      </c>
      <c r="G111" s="43">
        <f ca="1">G110/$G$4</f>
        <v>22.0455514412815</v>
      </c>
    </row>
    <row r="112" spans="1:7" hidden="1"/>
    <row r="113" spans="1:7" hidden="1">
      <c r="A113" s="41" t="s">
        <v>49</v>
      </c>
    </row>
    <row r="114" spans="1:7" hidden="1">
      <c r="A114" t="s">
        <v>37</v>
      </c>
      <c r="B114" s="18">
        <f>$G$3*(1+C$8)</f>
        <v>20398.350000000002</v>
      </c>
      <c r="C114" s="18">
        <f>B114*(1+D$8)</f>
        <v>21010.300500000001</v>
      </c>
      <c r="D114" s="18">
        <f>C114*(1+E$8)</f>
        <v>22270.918530000003</v>
      </c>
      <c r="E114" s="18">
        <f>D114*(1+F$8)</f>
        <v>23607.173641800004</v>
      </c>
      <c r="F114" s="18">
        <f>E114*(1+G$8)</f>
        <v>25023.604060308004</v>
      </c>
    </row>
    <row r="115" spans="1:7" hidden="1">
      <c r="A115" t="s">
        <v>38</v>
      </c>
      <c r="B115" s="18">
        <f>B114*C$11</f>
        <v>3467.7195000000006</v>
      </c>
      <c r="C115" s="18">
        <f>C114*D$11</f>
        <v>3571.7510850000003</v>
      </c>
      <c r="D115" s="18">
        <f>D114*E$11</f>
        <v>3786.0561501000007</v>
      </c>
      <c r="E115" s="18">
        <f>E114*F$11</f>
        <v>4013.2195191060009</v>
      </c>
      <c r="F115" s="18">
        <f>F114*G$11</f>
        <v>4254.0126902523607</v>
      </c>
    </row>
    <row r="116" spans="1:7" hidden="1">
      <c r="A116" t="s">
        <v>39</v>
      </c>
      <c r="B116" s="38">
        <f>B115-(C$12*B115)</f>
        <v>2912.8843800000004</v>
      </c>
      <c r="C116" s="38">
        <f t="shared" ref="C116" si="13">C115-(D$12*C115)</f>
        <v>3000.2709114000004</v>
      </c>
      <c r="D116" s="38">
        <f t="shared" ref="D116" si="14">D115-(E$12*D115)</f>
        <v>3180.2871660840005</v>
      </c>
      <c r="E116" s="38">
        <f t="shared" ref="E116" si="15">E115-(F$12*E115)</f>
        <v>3371.1043960490406</v>
      </c>
      <c r="F116" s="38">
        <f t="shared" ref="F116" si="16">F115-(G$12*F115)</f>
        <v>3573.3706598119829</v>
      </c>
    </row>
    <row r="117" spans="1:7" hidden="1">
      <c r="A117" t="s">
        <v>42</v>
      </c>
      <c r="B117" s="18">
        <f ca="1">B116*EXP(-$B$4*B$42/365.25)</f>
        <v>2750.885073202227</v>
      </c>
      <c r="C117" s="18">
        <f ca="1">C116*EXP(-$B$4*C$42/365.25)</f>
        <v>2563.95234632642</v>
      </c>
      <c r="D117" s="18">
        <f ca="1">D116*EXP(-$B$4*D$42/365.25)</f>
        <v>2459.3259482046437</v>
      </c>
      <c r="E117" s="18">
        <f ca="1">E116*EXP(-$B$4*E$42/365.25)</f>
        <v>2358.3232445393096</v>
      </c>
      <c r="F117" s="18">
        <f ca="1">F116*EXP(-$B$4*F$42/365.25)</f>
        <v>2262.0878885910843</v>
      </c>
      <c r="G117" s="18">
        <f ca="1">SUM(B117:F117)</f>
        <v>12394.574500863684</v>
      </c>
    </row>
    <row r="118" spans="1:7" hidden="1">
      <c r="A118" t="s">
        <v>41</v>
      </c>
      <c r="F118" s="38">
        <f>((1+$D$17)/($B$4-$D$17)*(1-(((1+$D$17)/(1+$B$4))^$B$16)))</f>
        <v>4.9986365289112209</v>
      </c>
      <c r="G118" s="18">
        <f ca="1">F118*F117</f>
        <v>11307.35515151905</v>
      </c>
    </row>
    <row r="119" spans="1:7" hidden="1">
      <c r="A119" t="s">
        <v>40</v>
      </c>
      <c r="B119" s="38"/>
      <c r="F119" s="18">
        <f>F116*EXP($C$17*$B$16)</f>
        <v>5891.4922149277681</v>
      </c>
    </row>
    <row r="120" spans="1:7" hidden="1">
      <c r="A120" t="s">
        <v>43</v>
      </c>
      <c r="F120" s="18">
        <f ca="1">F119*EXP(-$B$4*B$48/365.25)</f>
        <v>2262.2427253676824</v>
      </c>
      <c r="G120" s="42">
        <f ca="1">F120*B$51</f>
        <v>47507.097232721331</v>
      </c>
    </row>
    <row r="121" spans="1:7" hidden="1">
      <c r="A121" t="s">
        <v>44</v>
      </c>
      <c r="G121" s="18">
        <f ca="1">SUM(G117:G118,G120)</f>
        <v>71209.026885104075</v>
      </c>
    </row>
    <row r="122" spans="1:7" hidden="1">
      <c r="A122" t="s">
        <v>25</v>
      </c>
      <c r="G122" s="43">
        <f ca="1">G121/$G$4</f>
        <v>43.224194164029122</v>
      </c>
    </row>
    <row r="123" spans="1:7" hidden="1"/>
    <row r="124" spans="1:7" hidden="1">
      <c r="A124" s="41" t="s">
        <v>50</v>
      </c>
    </row>
    <row r="125" spans="1:7" hidden="1">
      <c r="A125" t="s">
        <v>37</v>
      </c>
      <c r="B125" s="18">
        <f>$G$3*(1+C$8)</f>
        <v>20398.350000000002</v>
      </c>
      <c r="C125" s="18">
        <f>B125*(1+D$8)</f>
        <v>21010.300500000001</v>
      </c>
      <c r="D125" s="18">
        <f>C125*(1+E$8)</f>
        <v>22270.918530000003</v>
      </c>
      <c r="E125" s="18">
        <f>D125*(1+F$8)</f>
        <v>23607.173641800004</v>
      </c>
      <c r="F125" s="18">
        <f>E125*(1+G$8)</f>
        <v>25023.604060308004</v>
      </c>
    </row>
    <row r="126" spans="1:7" hidden="1">
      <c r="A126" t="s">
        <v>38</v>
      </c>
      <c r="B126" s="18">
        <f>B125*C$10</f>
        <v>4487.6370000000006</v>
      </c>
      <c r="C126" s="18">
        <f>C125*D$10</f>
        <v>4622.2661100000005</v>
      </c>
      <c r="D126" s="18">
        <f>D125*E$10</f>
        <v>4899.6020766000011</v>
      </c>
      <c r="E126" s="18">
        <f>E125*F$10</f>
        <v>5193.5782011960009</v>
      </c>
      <c r="F126" s="18">
        <f>F125*G$10</f>
        <v>5505.1928932677611</v>
      </c>
    </row>
    <row r="127" spans="1:7" hidden="1">
      <c r="A127" t="s">
        <v>39</v>
      </c>
      <c r="B127" s="38">
        <f>B126-(C$12*B126)</f>
        <v>3769.6150800000005</v>
      </c>
      <c r="C127" s="38">
        <f t="shared" ref="C127" si="17">C126-(D$12*C126)</f>
        <v>3882.7035324000003</v>
      </c>
      <c r="D127" s="38">
        <f t="shared" ref="D127" si="18">D126-(E$12*D126)</f>
        <v>4115.6657443440008</v>
      </c>
      <c r="E127" s="38">
        <f t="shared" ref="E127" si="19">E126-(F$12*E126)</f>
        <v>4362.6056890046411</v>
      </c>
      <c r="F127" s="38">
        <f t="shared" ref="F127" si="20">F126-(G$12*F126)</f>
        <v>4624.3620303449188</v>
      </c>
    </row>
    <row r="128" spans="1:7" hidden="1">
      <c r="A128" t="s">
        <v>42</v>
      </c>
      <c r="B128" s="18">
        <f ca="1">B127*EXP(-$B$4*B$42/365.25)</f>
        <v>3559.9689182617058</v>
      </c>
      <c r="C128" s="18">
        <f ca="1">C127*EXP(-$B$4*C$42/365.25)</f>
        <v>3318.0559775988963</v>
      </c>
      <c r="D128" s="18">
        <f ca="1">D127*EXP(-$B$4*D$42/365.25)</f>
        <v>3182.6571094413039</v>
      </c>
      <c r="E128" s="18">
        <f ca="1">E127*EXP(-$B$4*E$42/365.25)</f>
        <v>3051.9477282273419</v>
      </c>
      <c r="F128" s="18">
        <f ca="1">F127*EXP(-$B$4*F$42/365.25)</f>
        <v>2927.4078558237561</v>
      </c>
      <c r="G128" s="18">
        <f ca="1">SUM(B128:F128)</f>
        <v>16040.037589353005</v>
      </c>
    </row>
    <row r="129" spans="1:11" hidden="1">
      <c r="A129" t="s">
        <v>41</v>
      </c>
      <c r="F129" s="38">
        <f>((1+$D$18)/($B$4-$D$18)*(1-(((1+$D$18)/(1+$B$4))^$B$16)))</f>
        <v>2.8500847557605988</v>
      </c>
      <c r="G129" s="18">
        <f ca="1">F129*F128</f>
        <v>8343.3605037771085</v>
      </c>
    </row>
    <row r="130" spans="1:11" hidden="1">
      <c r="A130" t="s">
        <v>40</v>
      </c>
      <c r="B130" s="38"/>
      <c r="F130" s="18">
        <f>F127*EXP($C$18*$B$16)</f>
        <v>2804.8173530151566</v>
      </c>
    </row>
    <row r="131" spans="1:11" hidden="1">
      <c r="A131" t="s">
        <v>43</v>
      </c>
      <c r="F131" s="18">
        <f ca="1">F130*EXP(-$B$4*B$48/365.25)</f>
        <v>1077.0068806619599</v>
      </c>
      <c r="G131" s="42">
        <f ca="1">F131*B$51</f>
        <v>22617.14449390116</v>
      </c>
    </row>
    <row r="132" spans="1:11" hidden="1">
      <c r="A132" t="s">
        <v>44</v>
      </c>
      <c r="G132" s="18">
        <f ca="1">SUM(G128:G129,G131)</f>
        <v>47000.542587031276</v>
      </c>
    </row>
    <row r="133" spans="1:11" hidden="1">
      <c r="A133" t="s">
        <v>25</v>
      </c>
      <c r="G133" s="43">
        <f ca="1">G132/$G$4</f>
        <v>28.529537159305477</v>
      </c>
    </row>
    <row r="134" spans="1:11" hidden="1"/>
    <row r="135" spans="1:11" hidden="1">
      <c r="A135" s="41" t="s">
        <v>49</v>
      </c>
    </row>
    <row r="136" spans="1:11" hidden="1">
      <c r="A136" t="s">
        <v>37</v>
      </c>
      <c r="B136" s="18">
        <f>$G$3*(1+C$8)</f>
        <v>20398.350000000002</v>
      </c>
      <c r="C136" s="18">
        <f>B136*(1+D$8)</f>
        <v>21010.300500000001</v>
      </c>
      <c r="D136" s="18">
        <f>C136*(1+E$8)</f>
        <v>22270.918530000003</v>
      </c>
      <c r="E136" s="18">
        <f>D136*(1+F$8)</f>
        <v>23607.173641800004</v>
      </c>
      <c r="F136" s="18">
        <f>E136*(1+G$8)</f>
        <v>25023.604060308004</v>
      </c>
    </row>
    <row r="137" spans="1:11" hidden="1">
      <c r="A137" t="s">
        <v>38</v>
      </c>
      <c r="B137" s="18">
        <f>B136*C$10</f>
        <v>4487.6370000000006</v>
      </c>
      <c r="C137" s="18">
        <f>C136*D$10</f>
        <v>4622.2661100000005</v>
      </c>
      <c r="D137" s="18">
        <f>D136*E$10</f>
        <v>4899.6020766000011</v>
      </c>
      <c r="E137" s="18">
        <f>E136*F$10</f>
        <v>5193.5782011960009</v>
      </c>
      <c r="F137" s="18">
        <f>F136*G$10</f>
        <v>5505.1928932677611</v>
      </c>
    </row>
    <row r="138" spans="1:11" hidden="1">
      <c r="A138" t="s">
        <v>39</v>
      </c>
      <c r="B138" s="38">
        <f>B137-(C$12*B137)</f>
        <v>3769.6150800000005</v>
      </c>
      <c r="C138" s="38">
        <f t="shared" ref="C138" si="21">C137-(D$12*C137)</f>
        <v>3882.7035324000003</v>
      </c>
      <c r="D138" s="38">
        <f t="shared" ref="D138" si="22">D137-(E$12*D137)</f>
        <v>4115.6657443440008</v>
      </c>
      <c r="E138" s="38">
        <f t="shared" ref="E138" si="23">E137-(F$12*E137)</f>
        <v>4362.6056890046411</v>
      </c>
      <c r="F138" s="38">
        <f t="shared" ref="F138" si="24">F137-(G$12*F137)</f>
        <v>4624.3620303449188</v>
      </c>
    </row>
    <row r="139" spans="1:11" hidden="1">
      <c r="A139" t="s">
        <v>42</v>
      </c>
      <c r="B139" s="18">
        <f ca="1">B138*EXP(-$B$4*B$42/365.25)</f>
        <v>3559.9689182617058</v>
      </c>
      <c r="C139" s="18">
        <f ca="1">C138*EXP(-$B$4*C$42/365.25)</f>
        <v>3318.0559775988963</v>
      </c>
      <c r="D139" s="18">
        <f ca="1">D138*EXP(-$B$4*D$42/365.25)</f>
        <v>3182.6571094413039</v>
      </c>
      <c r="E139" s="18">
        <f ca="1">E138*EXP(-$B$4*E$42/365.25)</f>
        <v>3051.9477282273419</v>
      </c>
      <c r="F139" s="18">
        <f ca="1">F138*EXP(-$B$4*F$42/365.25)</f>
        <v>2927.4078558237561</v>
      </c>
      <c r="G139" s="18">
        <f ca="1">SUM(B139:F139)</f>
        <v>16040.037589353005</v>
      </c>
      <c r="H139" s="18"/>
      <c r="I139" s="18"/>
      <c r="J139" s="18"/>
      <c r="K139" s="18"/>
    </row>
    <row r="140" spans="1:11" hidden="1">
      <c r="A140" t="s">
        <v>41</v>
      </c>
      <c r="F140" s="38">
        <f>((1+$D$17)/($B$4-$D$17)*(1-(((1+$D$17)/(1+$B$4))^$B$16)))</f>
        <v>4.9986365289112209</v>
      </c>
      <c r="G140" s="18">
        <f ca="1">F140*F139</f>
        <v>14633.0478431423</v>
      </c>
    </row>
    <row r="141" spans="1:11" hidden="1">
      <c r="A141" t="s">
        <v>40</v>
      </c>
      <c r="B141" s="38"/>
      <c r="F141" s="18">
        <f>F138*EXP($C$17*$B$16)</f>
        <v>7624.2840428476993</v>
      </c>
    </row>
    <row r="142" spans="1:11" hidden="1">
      <c r="A142" t="s">
        <v>43</v>
      </c>
      <c r="F142" s="18">
        <f ca="1">F141*EXP(-$B$4*B$48/365.25)</f>
        <v>2927.6082328287648</v>
      </c>
      <c r="G142" s="42">
        <f ca="1">F142*B$51</f>
        <v>61479.772889404063</v>
      </c>
    </row>
    <row r="143" spans="1:11" hidden="1">
      <c r="A143" t="s">
        <v>44</v>
      </c>
      <c r="G143" s="18">
        <f ca="1">SUM(G139:G140,G142)</f>
        <v>92152.858321899374</v>
      </c>
    </row>
    <row r="144" spans="1:11" hidden="1">
      <c r="A144" t="s">
        <v>25</v>
      </c>
      <c r="G144" s="43">
        <f ca="1">G143/$G$4</f>
        <v>55.937192447567085</v>
      </c>
    </row>
    <row r="145" spans="11:11">
      <c r="K145" s="105"/>
    </row>
  </sheetData>
  <mergeCells count="20">
    <mergeCell ref="A1:G1"/>
    <mergeCell ref="A10:A11"/>
    <mergeCell ref="A8:A9"/>
    <mergeCell ref="I6:J6"/>
    <mergeCell ref="I7:J7"/>
    <mergeCell ref="I8:J8"/>
    <mergeCell ref="I9:J9"/>
    <mergeCell ref="I1:J1"/>
    <mergeCell ref="I2:J2"/>
    <mergeCell ref="I3:J3"/>
    <mergeCell ref="I4:J4"/>
    <mergeCell ref="I5:J5"/>
    <mergeCell ref="A6:G6"/>
    <mergeCell ref="I11:L11"/>
    <mergeCell ref="I12:L12"/>
    <mergeCell ref="I20:L20"/>
    <mergeCell ref="A41:F41"/>
    <mergeCell ref="A17:A18"/>
    <mergeCell ref="E15:G15"/>
    <mergeCell ref="A15:C15"/>
  </mergeCells>
  <dataValidations count="4">
    <dataValidation type="list" allowBlank="1" showInputMessage="1" showErrorMessage="1" sqref="L13">
      <formula1>_options3</formula1>
    </dataValidation>
    <dataValidation type="list" allowBlank="1" showInputMessage="1" showErrorMessage="1" sqref="L14">
      <formula1>_options4</formula1>
    </dataValidation>
    <dataValidation type="list" allowBlank="1" showInputMessage="1" showErrorMessage="1" sqref="L15">
      <formula1>_options5</formula1>
    </dataValidation>
    <dataValidation type="list" allowBlank="1" showInputMessage="1" showErrorMessage="1" sqref="L2:L9">
      <formula1>"Yes,No,Most"</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
  <sheetViews>
    <sheetView showGridLines="0" zoomScale="120" zoomScaleNormal="120" workbookViewId="0">
      <selection activeCell="E3" sqref="E3:J3"/>
    </sheetView>
  </sheetViews>
  <sheetFormatPr defaultRowHeight="14.25"/>
  <cols>
    <col min="1" max="1" width="38.73046875" bestFit="1" customWidth="1"/>
    <col min="2" max="7" width="11.73046875" customWidth="1"/>
    <col min="8" max="11" width="10.73046875" customWidth="1"/>
    <col min="12" max="12" width="11.59765625" bestFit="1" customWidth="1"/>
    <col min="13" max="13" width="12.59765625" bestFit="1" customWidth="1"/>
    <col min="14" max="14" width="15" bestFit="1" customWidth="1"/>
    <col min="15" max="15" width="13.1328125" bestFit="1" customWidth="1"/>
    <col min="16" max="16" width="16" bestFit="1" customWidth="1"/>
  </cols>
  <sheetData>
    <row r="1" spans="1:11" s="9" customFormat="1" ht="14.65" thickBot="1">
      <c r="A1" s="59" t="s">
        <v>129</v>
      </c>
      <c r="B1" s="61">
        <v>-9</v>
      </c>
      <c r="C1" s="61">
        <v>-8</v>
      </c>
      <c r="D1" s="61">
        <v>-7</v>
      </c>
      <c r="E1" s="61">
        <v>-6</v>
      </c>
      <c r="F1" s="61">
        <v>-5</v>
      </c>
      <c r="G1" s="61">
        <v>-4</v>
      </c>
      <c r="H1" s="61">
        <v>-3</v>
      </c>
      <c r="I1" s="61">
        <v>-2</v>
      </c>
      <c r="J1" s="61">
        <v>-1</v>
      </c>
      <c r="K1" s="61">
        <v>0</v>
      </c>
    </row>
    <row r="2" spans="1:11">
      <c r="A2" s="7" t="s">
        <v>130</v>
      </c>
      <c r="B2" s="106">
        <f>DATE(YEAR('Valuation Model'!$B3)+B1,MONTH('Valuation Model'!$B3),DAY('Valuation Model'!$B3))</f>
        <v>39447</v>
      </c>
      <c r="C2" s="106">
        <f>DATE(YEAR('Valuation Model'!$B3)+C1,MONTH('Valuation Model'!$B3),DAY('Valuation Model'!$B3))</f>
        <v>39813</v>
      </c>
      <c r="D2" s="106">
        <f>DATE(YEAR('Valuation Model'!$B3)+D1,MONTH('Valuation Model'!$B3),DAY('Valuation Model'!$B3))</f>
        <v>40178</v>
      </c>
      <c r="E2" s="106">
        <f>DATE(YEAR('Valuation Model'!$B3)+E1,MONTH('Valuation Model'!$B3),DAY('Valuation Model'!$B3))</f>
        <v>40543</v>
      </c>
      <c r="F2" s="106">
        <f>DATE(YEAR('Valuation Model'!$B3)+F1,MONTH('Valuation Model'!$B3),DAY('Valuation Model'!$B3))</f>
        <v>40908</v>
      </c>
      <c r="G2" s="106">
        <f>DATE(YEAR('Valuation Model'!$B3)+G1,MONTH('Valuation Model'!$B3),DAY('Valuation Model'!$B3))</f>
        <v>41274</v>
      </c>
      <c r="H2" s="106">
        <f>DATE(YEAR('Valuation Model'!$B3)+H1,MONTH('Valuation Model'!$B3),DAY('Valuation Model'!$B3))</f>
        <v>41639</v>
      </c>
      <c r="I2" s="106">
        <f>DATE(YEAR('Valuation Model'!$B3)+I1,MONTH('Valuation Model'!$B3),DAY('Valuation Model'!$B3))</f>
        <v>42004</v>
      </c>
      <c r="J2" s="106">
        <f>DATE(YEAR('Valuation Model'!$B3)+J1,MONTH('Valuation Model'!$B3),DAY('Valuation Model'!$B3))</f>
        <v>42369</v>
      </c>
      <c r="K2" s="106">
        <f>DATE(YEAR('Valuation Model'!$B3)+K1,MONTH('Valuation Model'!$B3),DAY('Valuation Model'!$B3))</f>
        <v>42735</v>
      </c>
    </row>
    <row r="3" spans="1:11">
      <c r="A3" s="1" t="s">
        <v>37</v>
      </c>
      <c r="B3" s="107">
        <v>19348</v>
      </c>
      <c r="C3" s="107">
        <v>17715</v>
      </c>
      <c r="D3" s="107">
        <v>18808</v>
      </c>
      <c r="E3" s="107">
        <v>19484</v>
      </c>
      <c r="F3" s="107">
        <v>21244</v>
      </c>
      <c r="G3" s="107">
        <v>17621</v>
      </c>
      <c r="H3" s="107">
        <v>16385</v>
      </c>
      <c r="I3" s="107">
        <v>15879</v>
      </c>
      <c r="J3" s="107">
        <v>16560</v>
      </c>
      <c r="K3" s="107">
        <v>19427</v>
      </c>
    </row>
    <row r="4" spans="1:11">
      <c r="A4" s="108" t="s">
        <v>131</v>
      </c>
      <c r="B4" s="108"/>
      <c r="C4" s="109">
        <f t="shared" ref="C4:F4" si="0">IFERROR(C3/B3-1,"")</f>
        <v>-8.4401488525945867E-2</v>
      </c>
      <c r="D4" s="109">
        <f t="shared" si="0"/>
        <v>6.1699125035280744E-2</v>
      </c>
      <c r="E4" s="109">
        <f t="shared" si="0"/>
        <v>3.5942152275627359E-2</v>
      </c>
      <c r="F4" s="109">
        <f t="shared" si="0"/>
        <v>9.0330527612400013E-2</v>
      </c>
      <c r="G4" s="109">
        <f>IFERROR(G3/F3-1,"")</f>
        <v>-0.17054227075880246</v>
      </c>
      <c r="H4" s="109">
        <f t="shared" ref="H4:K4" si="1">IFERROR(H3/G3-1,"")</f>
        <v>-7.0143578684524144E-2</v>
      </c>
      <c r="I4" s="109">
        <f t="shared" si="1"/>
        <v>-3.0881904180653064E-2</v>
      </c>
      <c r="J4" s="109">
        <f t="shared" si="1"/>
        <v>4.2886831664462388E-2</v>
      </c>
      <c r="K4" s="109">
        <f t="shared" si="1"/>
        <v>0.1731280193236715</v>
      </c>
    </row>
    <row r="5" spans="1:11">
      <c r="A5" s="108" t="s">
        <v>132</v>
      </c>
      <c r="B5" s="108"/>
      <c r="C5" s="108"/>
      <c r="D5" s="108"/>
      <c r="E5" s="109">
        <f>IFERROR(SUM(C3:E3)/SUM(B3:D3)-1,"")</f>
        <v>2.4341787331532139E-3</v>
      </c>
      <c r="F5" s="109">
        <f t="shared" ref="F5:K5" si="2">IFERROR(SUM(D3:F3)/SUM(C3:E3)-1,"")</f>
        <v>6.3009980895245343E-2</v>
      </c>
      <c r="G5" s="109">
        <f t="shared" si="2"/>
        <v>-1.9937516796560084E-2</v>
      </c>
      <c r="H5" s="109">
        <f t="shared" si="2"/>
        <v>-5.3111450067696131E-2</v>
      </c>
      <c r="I5" s="109">
        <f t="shared" si="2"/>
        <v>-9.7104072398190078E-2</v>
      </c>
      <c r="J5" s="109">
        <f t="shared" si="2"/>
        <v>-2.1268918512578949E-2</v>
      </c>
      <c r="K5" s="109">
        <f t="shared" si="2"/>
        <v>6.2305423562182494E-2</v>
      </c>
    </row>
    <row r="6" spans="1:11">
      <c r="A6" s="108" t="s">
        <v>133</v>
      </c>
      <c r="B6" s="108"/>
      <c r="C6" s="108"/>
      <c r="D6" s="108"/>
      <c r="E6" s="108"/>
      <c r="F6" s="110"/>
      <c r="G6" s="109">
        <f>IFERROR(SUM(C3:G3)/SUM(B3:F3)-1,"")</f>
        <v>-1.7878031863683863E-2</v>
      </c>
      <c r="H6" s="109">
        <f t="shared" ref="H6:K6" si="3">IFERROR(SUM(D3:H3)/SUM(C3:G3)-1,"")</f>
        <v>-1.4018888607808422E-2</v>
      </c>
      <c r="I6" s="109">
        <f t="shared" si="3"/>
        <v>-3.1312137863205858E-2</v>
      </c>
      <c r="J6" s="109">
        <f t="shared" si="3"/>
        <v>-3.2269100460198819E-2</v>
      </c>
      <c r="K6" s="109">
        <f t="shared" si="3"/>
        <v>-2.0720957018554254E-2</v>
      </c>
    </row>
    <row r="8" spans="1:11" s="9" customFormat="1" ht="14.65" thickBot="1">
      <c r="A8" s="59" t="s">
        <v>134</v>
      </c>
      <c r="B8" s="111">
        <f t="shared" ref="B8:J8" si="4">B2</f>
        <v>39447</v>
      </c>
      <c r="C8" s="111">
        <f t="shared" si="4"/>
        <v>39813</v>
      </c>
      <c r="D8" s="111">
        <f t="shared" si="4"/>
        <v>40178</v>
      </c>
      <c r="E8" s="111">
        <f t="shared" si="4"/>
        <v>40543</v>
      </c>
      <c r="F8" s="111">
        <f t="shared" si="4"/>
        <v>40908</v>
      </c>
      <c r="G8" s="111">
        <f t="shared" si="4"/>
        <v>41274</v>
      </c>
      <c r="H8" s="111">
        <f t="shared" si="4"/>
        <v>41639</v>
      </c>
      <c r="I8" s="111">
        <f t="shared" si="4"/>
        <v>42004</v>
      </c>
      <c r="J8" s="111">
        <f t="shared" si="4"/>
        <v>42369</v>
      </c>
      <c r="K8" s="111">
        <f>K2</f>
        <v>42735</v>
      </c>
    </row>
    <row r="9" spans="1:11">
      <c r="A9" s="112" t="s">
        <v>135</v>
      </c>
      <c r="B9" s="113">
        <v>3153</v>
      </c>
      <c r="C9" s="113">
        <v>3707</v>
      </c>
      <c r="D9" s="113">
        <v>4065</v>
      </c>
      <c r="E9" s="113">
        <v>4491</v>
      </c>
      <c r="F9" s="113">
        <v>4840</v>
      </c>
      <c r="G9" s="113">
        <v>6941</v>
      </c>
      <c r="H9" s="113">
        <v>3545</v>
      </c>
      <c r="I9" s="113">
        <v>3148</v>
      </c>
      <c r="J9" s="113">
        <v>1832</v>
      </c>
      <c r="K9" s="113">
        <v>2850</v>
      </c>
    </row>
    <row r="10" spans="1:11">
      <c r="A10" s="114" t="s">
        <v>136</v>
      </c>
      <c r="B10" s="113">
        <v>-928.40520000000015</v>
      </c>
      <c r="C10" s="113">
        <v>-816.74580000000014</v>
      </c>
      <c r="D10" s="113">
        <v>-726.23959999999988</v>
      </c>
      <c r="E10" s="113">
        <v>-616.07889999999998</v>
      </c>
      <c r="F10" s="113">
        <v>-646.60390000000007</v>
      </c>
      <c r="G10" s="113">
        <v>-692.85620000000017</v>
      </c>
      <c r="H10" s="113">
        <v>-774.45800000000008</v>
      </c>
      <c r="I10" s="113">
        <v>-470.53290000000015</v>
      </c>
      <c r="J10" s="113">
        <v>-378.74289999999996</v>
      </c>
      <c r="K10" s="113">
        <v>-389.92500000000018</v>
      </c>
    </row>
    <row r="11" spans="1:11">
      <c r="A11" s="115" t="s">
        <v>137</v>
      </c>
      <c r="B11" s="5">
        <f t="shared" ref="B11:K11" si="5">B9+B10</f>
        <v>2224.5947999999999</v>
      </c>
      <c r="C11" s="5">
        <f t="shared" si="5"/>
        <v>2890.2541999999999</v>
      </c>
      <c r="D11" s="5">
        <f t="shared" si="5"/>
        <v>3338.7604000000001</v>
      </c>
      <c r="E11" s="5">
        <f t="shared" si="5"/>
        <v>3874.9211</v>
      </c>
      <c r="F11" s="5">
        <f t="shared" si="5"/>
        <v>4193.3960999999999</v>
      </c>
      <c r="G11" s="5">
        <f t="shared" si="5"/>
        <v>6248.1437999999998</v>
      </c>
      <c r="H11" s="5">
        <f t="shared" si="5"/>
        <v>2770.5419999999999</v>
      </c>
      <c r="I11" s="5">
        <f t="shared" si="5"/>
        <v>2677.4670999999998</v>
      </c>
      <c r="J11" s="5">
        <f t="shared" si="5"/>
        <v>1453.2571</v>
      </c>
      <c r="K11" s="5">
        <f t="shared" si="5"/>
        <v>2460.0749999999998</v>
      </c>
    </row>
    <row r="12" spans="1:11">
      <c r="A12" s="108" t="s">
        <v>127</v>
      </c>
      <c r="B12" s="109">
        <f t="shared" ref="B12:K12" si="6">IFERROR(B11/B$3,"")</f>
        <v>0.11497802356832747</v>
      </c>
      <c r="C12" s="109">
        <f t="shared" si="6"/>
        <v>0.16315293254304261</v>
      </c>
      <c r="D12" s="109">
        <f t="shared" si="6"/>
        <v>0.17751809868141216</v>
      </c>
      <c r="E12" s="109">
        <f t="shared" si="6"/>
        <v>0.19887708376103469</v>
      </c>
      <c r="F12" s="109">
        <f t="shared" si="6"/>
        <v>0.19739202127659575</v>
      </c>
      <c r="G12" s="109">
        <f t="shared" si="6"/>
        <v>0.35458508597695931</v>
      </c>
      <c r="H12" s="109">
        <f t="shared" si="6"/>
        <v>0.16909014342386328</v>
      </c>
      <c r="I12" s="109">
        <f t="shared" si="6"/>
        <v>0.16861685874425342</v>
      </c>
      <c r="J12" s="109">
        <f t="shared" si="6"/>
        <v>8.7757071256038655E-2</v>
      </c>
      <c r="K12" s="109">
        <f t="shared" si="6"/>
        <v>0.12663174962680804</v>
      </c>
    </row>
    <row r="13" spans="1:11">
      <c r="A13" s="108" t="s">
        <v>138</v>
      </c>
      <c r="B13" s="108"/>
      <c r="C13" s="109">
        <f t="shared" ref="C13:F13" si="7">IFERROR(C11/B11-1,"")</f>
        <v>0.29922725702676289</v>
      </c>
      <c r="D13" s="109">
        <f t="shared" si="7"/>
        <v>0.15517880745575963</v>
      </c>
      <c r="E13" s="109">
        <f t="shared" si="7"/>
        <v>0.16058675549164891</v>
      </c>
      <c r="F13" s="109">
        <f t="shared" si="7"/>
        <v>8.2188770243605713E-2</v>
      </c>
      <c r="G13" s="109">
        <f>IFERROR(G11/F11-1,"")</f>
        <v>0.48999609171191816</v>
      </c>
      <c r="H13" s="109">
        <f t="shared" ref="H13:K13" si="8">IFERROR(H11/G11-1,"")</f>
        <v>-0.55658158827906612</v>
      </c>
      <c r="I13" s="109">
        <f t="shared" si="8"/>
        <v>-3.3594473572319039E-2</v>
      </c>
      <c r="J13" s="109">
        <f t="shared" si="8"/>
        <v>-0.45722690672837774</v>
      </c>
      <c r="K13" s="109">
        <f t="shared" si="8"/>
        <v>0.69280095036177691</v>
      </c>
    </row>
    <row r="14" spans="1:11">
      <c r="A14" s="108" t="s">
        <v>139</v>
      </c>
      <c r="B14" s="108"/>
      <c r="C14" s="108"/>
      <c r="D14" s="108"/>
      <c r="E14" s="109">
        <f>IFERROR(SUM(C11:E11)/SUM(B11:D11)-1,"")</f>
        <v>0.19522149911492237</v>
      </c>
      <c r="F14" s="109">
        <f t="shared" ref="F14:K14" si="9">IFERROR(SUM(D11:F11)/SUM(C11:E11)-1,"")</f>
        <v>0.12897369289474003</v>
      </c>
      <c r="G14" s="109">
        <f t="shared" si="9"/>
        <v>0.25505072394703432</v>
      </c>
      <c r="H14" s="109">
        <f t="shared" si="9"/>
        <v>-7.7140509794983547E-2</v>
      </c>
      <c r="I14" s="109">
        <f t="shared" si="9"/>
        <v>-0.1147380868112845</v>
      </c>
      <c r="J14" s="109">
        <f t="shared" si="9"/>
        <v>-0.40995417390619104</v>
      </c>
      <c r="K14" s="109">
        <f t="shared" si="9"/>
        <v>-4.4986961957792615E-2</v>
      </c>
    </row>
    <row r="15" spans="1:11">
      <c r="A15" s="108" t="s">
        <v>133</v>
      </c>
      <c r="B15" s="108"/>
      <c r="C15" s="108"/>
      <c r="D15" s="108"/>
      <c r="E15" s="108"/>
      <c r="F15" s="109"/>
      <c r="G15" s="109">
        <f>IFERROR(SUM(C11:G11)/SUM(B11:F11)-1,"")</f>
        <v>0.24352783409653922</v>
      </c>
      <c r="H15" s="109">
        <f t="shared" ref="H15:K15" si="10">IFERROR(SUM(D11:H11)/SUM(C11:G11)-1,"")</f>
        <v>-5.8266940289274372E-3</v>
      </c>
      <c r="I15" s="109">
        <f t="shared" si="10"/>
        <v>-3.2375450897468294E-2</v>
      </c>
      <c r="J15" s="109">
        <f t="shared" si="10"/>
        <v>-0.12252612833773879</v>
      </c>
      <c r="K15" s="109">
        <f t="shared" si="10"/>
        <v>-9.9944673889884372E-2</v>
      </c>
    </row>
    <row r="16" spans="1:11" s="9" customFormat="1">
      <c r="A16"/>
      <c r="B16"/>
      <c r="C16"/>
      <c r="D16"/>
      <c r="E16"/>
      <c r="F16"/>
      <c r="G16"/>
      <c r="H16"/>
      <c r="I16"/>
      <c r="J16"/>
      <c r="K16"/>
    </row>
    <row r="17" spans="1:16" s="9" customFormat="1" ht="14.65" thickBot="1">
      <c r="A17" s="59" t="s">
        <v>140</v>
      </c>
      <c r="B17" s="111">
        <f t="shared" ref="B17:J17" si="11">B2</f>
        <v>39447</v>
      </c>
      <c r="C17" s="111">
        <f t="shared" si="11"/>
        <v>39813</v>
      </c>
      <c r="D17" s="111">
        <f t="shared" si="11"/>
        <v>40178</v>
      </c>
      <c r="E17" s="111">
        <f t="shared" si="11"/>
        <v>40543</v>
      </c>
      <c r="F17" s="111">
        <f t="shared" si="11"/>
        <v>40908</v>
      </c>
      <c r="G17" s="111">
        <f t="shared" si="11"/>
        <v>41274</v>
      </c>
      <c r="H17" s="111">
        <f t="shared" si="11"/>
        <v>41639</v>
      </c>
      <c r="I17" s="111">
        <f t="shared" si="11"/>
        <v>42004</v>
      </c>
      <c r="J17" s="111">
        <f t="shared" si="11"/>
        <v>42369</v>
      </c>
      <c r="K17" s="111">
        <f>K2</f>
        <v>42735</v>
      </c>
    </row>
    <row r="18" spans="1:16">
      <c r="A18" s="112" t="s">
        <v>141</v>
      </c>
      <c r="B18" s="113">
        <v>-843</v>
      </c>
      <c r="C18" s="113">
        <v>-941</v>
      </c>
      <c r="D18" s="113">
        <v>-730</v>
      </c>
      <c r="E18" s="113">
        <v>-424</v>
      </c>
      <c r="F18" s="113">
        <v>-367</v>
      </c>
      <c r="G18" s="113">
        <v>-548</v>
      </c>
      <c r="H18" s="113">
        <v>-537</v>
      </c>
      <c r="I18" s="113">
        <v>-526</v>
      </c>
      <c r="J18" s="113">
        <v>-820</v>
      </c>
      <c r="K18" s="113">
        <v>-1215</v>
      </c>
    </row>
    <row r="19" spans="1:16" s="117" customFormat="1">
      <c r="A19" s="114" t="s">
        <v>178</v>
      </c>
      <c r="B19" s="116">
        <f t="shared" ref="B19:K19" si="12">B18-B10</f>
        <v>85.40520000000015</v>
      </c>
      <c r="C19" s="116">
        <f t="shared" si="12"/>
        <v>-124.25419999999986</v>
      </c>
      <c r="D19" s="116">
        <f t="shared" si="12"/>
        <v>-3.7604000000001179</v>
      </c>
      <c r="E19" s="116">
        <f t="shared" si="12"/>
        <v>192.07889999999998</v>
      </c>
      <c r="F19" s="116">
        <f t="shared" si="12"/>
        <v>279.60390000000007</v>
      </c>
      <c r="G19" s="116">
        <f t="shared" si="12"/>
        <v>144.85620000000017</v>
      </c>
      <c r="H19" s="116">
        <f t="shared" si="12"/>
        <v>237.45800000000008</v>
      </c>
      <c r="I19" s="116">
        <f t="shared" si="12"/>
        <v>-55.467099999999846</v>
      </c>
      <c r="J19" s="116">
        <f t="shared" si="12"/>
        <v>-441.25710000000004</v>
      </c>
      <c r="K19" s="116">
        <f t="shared" si="12"/>
        <v>-825.07499999999982</v>
      </c>
    </row>
    <row r="20" spans="1:16" s="117" customFormat="1">
      <c r="A20" s="114" t="s">
        <v>142</v>
      </c>
      <c r="B20" s="113">
        <f>44+273</f>
        <v>317</v>
      </c>
      <c r="C20" s="113">
        <f>309+4530</f>
        <v>4839</v>
      </c>
      <c r="D20" s="113">
        <f>557-531</f>
        <v>26</v>
      </c>
      <c r="E20" s="113">
        <v>67</v>
      </c>
      <c r="F20" s="113">
        <v>149</v>
      </c>
      <c r="G20" s="113">
        <v>68</v>
      </c>
      <c r="H20" s="113">
        <v>9</v>
      </c>
      <c r="I20" s="113">
        <v>3585</v>
      </c>
      <c r="J20" s="113">
        <v>708</v>
      </c>
      <c r="K20" s="113">
        <v>1334</v>
      </c>
    </row>
    <row r="21" spans="1:16" s="117" customFormat="1">
      <c r="A21" s="114" t="s">
        <v>143</v>
      </c>
      <c r="B21" s="113">
        <v>-432</v>
      </c>
      <c r="C21" s="113">
        <v>-191</v>
      </c>
      <c r="D21" s="113">
        <v>-2232</v>
      </c>
      <c r="E21" s="113">
        <v>-829</v>
      </c>
      <c r="F21" s="113">
        <v>-360</v>
      </c>
      <c r="G21" s="113">
        <v>-7530</v>
      </c>
      <c r="H21" s="113">
        <v>0</v>
      </c>
      <c r="I21" s="113">
        <v>-219</v>
      </c>
      <c r="J21" s="113">
        <v>-1111</v>
      </c>
      <c r="K21" s="113">
        <v>-359</v>
      </c>
    </row>
    <row r="22" spans="1:16">
      <c r="A22" s="112" t="s">
        <v>144</v>
      </c>
      <c r="B22" s="113">
        <v>0</v>
      </c>
      <c r="C22" s="113">
        <v>0</v>
      </c>
      <c r="D22" s="113">
        <v>0</v>
      </c>
      <c r="E22" s="113">
        <v>0</v>
      </c>
      <c r="F22" s="113">
        <v>0</v>
      </c>
      <c r="G22" s="113">
        <v>0</v>
      </c>
      <c r="H22" s="113">
        <v>0</v>
      </c>
      <c r="I22" s="113">
        <v>0</v>
      </c>
      <c r="J22" s="113">
        <v>0</v>
      </c>
      <c r="K22" s="113">
        <v>0</v>
      </c>
    </row>
    <row r="23" spans="1:16">
      <c r="A23" s="112" t="s">
        <v>189</v>
      </c>
      <c r="B23" s="113">
        <v>0</v>
      </c>
      <c r="C23" s="113">
        <v>0</v>
      </c>
      <c r="D23" s="113">
        <v>0</v>
      </c>
      <c r="E23" s="113">
        <v>0</v>
      </c>
      <c r="F23" s="113">
        <v>0</v>
      </c>
      <c r="G23" s="113">
        <v>0</v>
      </c>
      <c r="H23" s="113">
        <v>0</v>
      </c>
      <c r="I23" s="113">
        <v>0</v>
      </c>
      <c r="J23" s="113">
        <v>0</v>
      </c>
      <c r="K23" s="113">
        <v>0</v>
      </c>
    </row>
    <row r="24" spans="1:16">
      <c r="A24" s="118" t="s">
        <v>145</v>
      </c>
      <c r="B24" s="119">
        <v>28.8077290837</v>
      </c>
      <c r="C24" s="119">
        <v>21.648656126500001</v>
      </c>
      <c r="D24" s="119">
        <v>21.720436507900001</v>
      </c>
      <c r="E24" s="119">
        <v>25.6374206349</v>
      </c>
      <c r="F24" s="119">
        <v>28.930158730199999</v>
      </c>
      <c r="G24" s="119">
        <v>33.296439999999997</v>
      </c>
      <c r="H24" s="119">
        <v>43.847619047599999</v>
      </c>
      <c r="I24" s="119">
        <v>52.208928571400001</v>
      </c>
      <c r="J24" s="119">
        <v>64.523690476200002</v>
      </c>
      <c r="K24" s="119">
        <v>63.1920238095</v>
      </c>
    </row>
    <row r="25" spans="1:16">
      <c r="A25" s="120" t="s">
        <v>146</v>
      </c>
      <c r="B25" s="121">
        <f>13+1.36</f>
        <v>14.36</v>
      </c>
      <c r="C25" s="121">
        <f>3.31</f>
        <v>3.31</v>
      </c>
      <c r="D25" s="121">
        <f>2+3.078</f>
        <v>5.0779999999999994</v>
      </c>
      <c r="E25" s="121">
        <f>11+3.694+0</f>
        <v>14.693999999999999</v>
      </c>
      <c r="F25" s="121">
        <f>23.703+3.4+0.325+2.831</f>
        <v>30.258999999999997</v>
      </c>
      <c r="G25" s="121">
        <f>16.56+3.341+0.562+1.087</f>
        <v>21.55</v>
      </c>
      <c r="H25" s="121">
        <f>18.029+3.05+0.809+2.072</f>
        <v>23.96</v>
      </c>
      <c r="I25" s="121">
        <f>6.635+2.474+1.674+2.743</f>
        <v>13.526</v>
      </c>
      <c r="J25" s="121">
        <f>5.084+2.132+1.323+1.771</f>
        <v>10.309999999999999</v>
      </c>
      <c r="K25" s="121">
        <f>3.851+1.81+1.117+1.73</f>
        <v>8.5079999999999991</v>
      </c>
      <c r="M25" s="17"/>
      <c r="N25" s="18"/>
      <c r="O25" s="18"/>
      <c r="P25" s="18"/>
    </row>
    <row r="26" spans="1:16">
      <c r="A26" s="122" t="s">
        <v>147</v>
      </c>
      <c r="B26" s="123">
        <v>333</v>
      </c>
      <c r="C26" s="123">
        <v>5</v>
      </c>
      <c r="D26" s="123">
        <v>45</v>
      </c>
      <c r="E26" s="123">
        <v>252</v>
      </c>
      <c r="F26" s="123">
        <v>601</v>
      </c>
      <c r="G26" s="123">
        <v>463</v>
      </c>
      <c r="H26" s="123">
        <v>564</v>
      </c>
      <c r="I26" s="123">
        <v>288</v>
      </c>
      <c r="J26" s="123">
        <v>266</v>
      </c>
      <c r="K26" s="123">
        <v>181</v>
      </c>
    </row>
    <row r="27" spans="1:16">
      <c r="A27" s="112" t="s">
        <v>148</v>
      </c>
      <c r="B27" s="124">
        <f t="shared" ref="B27:E27" si="13">-B24*B25+B26</f>
        <v>-80.678989641931992</v>
      </c>
      <c r="C27" s="124">
        <f t="shared" si="13"/>
        <v>-66.657051778715001</v>
      </c>
      <c r="D27" s="124">
        <f t="shared" si="13"/>
        <v>-65.296376587116185</v>
      </c>
      <c r="E27" s="124">
        <f t="shared" si="13"/>
        <v>-124.71625880922056</v>
      </c>
      <c r="F27" s="124">
        <f>-F24*F25+F26</f>
        <v>-274.39767301712163</v>
      </c>
      <c r="G27" s="124">
        <f t="shared" ref="G27:K27" si="14">-G24*G25+G26</f>
        <v>-254.53828199999998</v>
      </c>
      <c r="H27" s="124">
        <f t="shared" si="14"/>
        <v>-486.58895238049604</v>
      </c>
      <c r="I27" s="124">
        <f t="shared" si="14"/>
        <v>-418.17796785675637</v>
      </c>
      <c r="J27" s="124">
        <f t="shared" si="14"/>
        <v>-399.23924880962193</v>
      </c>
      <c r="K27" s="124">
        <f t="shared" si="14"/>
        <v>-356.6377385712259</v>
      </c>
    </row>
    <row r="28" spans="1:16">
      <c r="A28" s="1" t="s">
        <v>149</v>
      </c>
      <c r="B28" s="5">
        <f>B19+B20+B21+B22+B23+B27</f>
        <v>-110.27378964193184</v>
      </c>
      <c r="C28" s="5">
        <f t="shared" ref="C28:K28" si="15">C19+C20+C21+C22+C23+C27</f>
        <v>4457.0887482212856</v>
      </c>
      <c r="D28" s="5">
        <f t="shared" si="15"/>
        <v>-2275.0567765871165</v>
      </c>
      <c r="E28" s="5">
        <f t="shared" si="15"/>
        <v>-694.63735880922059</v>
      </c>
      <c r="F28" s="5">
        <f t="shared" si="15"/>
        <v>-205.79377301712157</v>
      </c>
      <c r="G28" s="5">
        <f t="shared" si="15"/>
        <v>-7571.6820819999994</v>
      </c>
      <c r="H28" s="5">
        <f t="shared" si="15"/>
        <v>-240.13095238049596</v>
      </c>
      <c r="I28" s="5">
        <f t="shared" si="15"/>
        <v>2892.3549321432438</v>
      </c>
      <c r="J28" s="5">
        <f t="shared" si="15"/>
        <v>-1243.4963488096218</v>
      </c>
      <c r="K28" s="5">
        <f t="shared" si="15"/>
        <v>-206.71273857122571</v>
      </c>
    </row>
    <row r="29" spans="1:16">
      <c r="A29" s="108" t="s">
        <v>150</v>
      </c>
      <c r="B29" s="109">
        <f t="shared" ref="B29:E29" si="16">IFERROR(-B28/B11,"")</f>
        <v>4.9570281132515388E-2</v>
      </c>
      <c r="C29" s="109">
        <f t="shared" si="16"/>
        <v>-1.5421095999864947</v>
      </c>
      <c r="D29" s="109">
        <f t="shared" si="16"/>
        <v>0.68140761960250773</v>
      </c>
      <c r="E29" s="109">
        <f t="shared" si="16"/>
        <v>0.17926490395100447</v>
      </c>
      <c r="F29" s="109">
        <f>IFERROR(-F28/F11,"")</f>
        <v>4.9075681883979809E-2</v>
      </c>
      <c r="G29" s="109">
        <f t="shared" ref="G29:K29" si="17">IFERROR(-G28/G11,"")</f>
        <v>1.2118290366492526</v>
      </c>
      <c r="H29" s="109">
        <f t="shared" si="17"/>
        <v>8.6672915400847914E-2</v>
      </c>
      <c r="I29" s="109">
        <f t="shared" si="17"/>
        <v>-1.0802578795994333</v>
      </c>
      <c r="J29" s="109">
        <f t="shared" si="17"/>
        <v>0.85566163675348417</v>
      </c>
      <c r="K29" s="109">
        <f t="shared" si="17"/>
        <v>8.4027006725902964E-2</v>
      </c>
    </row>
    <row r="31" spans="1:16" s="9" customFormat="1" ht="14.65" thickBot="1">
      <c r="A31" s="59" t="s">
        <v>151</v>
      </c>
      <c r="B31" s="111">
        <f t="shared" ref="B31:J31" si="18">B2</f>
        <v>39447</v>
      </c>
      <c r="C31" s="111">
        <f t="shared" si="18"/>
        <v>39813</v>
      </c>
      <c r="D31" s="111">
        <f t="shared" si="18"/>
        <v>40178</v>
      </c>
      <c r="E31" s="111">
        <f t="shared" si="18"/>
        <v>40543</v>
      </c>
      <c r="F31" s="111">
        <f t="shared" si="18"/>
        <v>40908</v>
      </c>
      <c r="G31" s="111">
        <f t="shared" si="18"/>
        <v>41274</v>
      </c>
      <c r="H31" s="111">
        <f t="shared" si="18"/>
        <v>41639</v>
      </c>
      <c r="I31" s="111">
        <f t="shared" si="18"/>
        <v>42004</v>
      </c>
      <c r="J31" s="111">
        <f t="shared" si="18"/>
        <v>42369</v>
      </c>
      <c r="K31" s="111">
        <f>K2</f>
        <v>42735</v>
      </c>
    </row>
    <row r="32" spans="1:16" ht="14.65" thickBot="1">
      <c r="A32" s="125" t="s">
        <v>152</v>
      </c>
      <c r="B32" s="4">
        <f t="shared" ref="B32:K32" si="19">B11+B28</f>
        <v>2114.3210103580682</v>
      </c>
      <c r="C32" s="4">
        <f t="shared" si="19"/>
        <v>7347.342948221285</v>
      </c>
      <c r="D32" s="4">
        <f t="shared" si="19"/>
        <v>1063.7036234128836</v>
      </c>
      <c r="E32" s="4">
        <f t="shared" si="19"/>
        <v>3180.2837411907794</v>
      </c>
      <c r="F32" s="4">
        <f t="shared" si="19"/>
        <v>3987.6023269828784</v>
      </c>
      <c r="G32" s="4">
        <f t="shared" si="19"/>
        <v>-1323.5382819999995</v>
      </c>
      <c r="H32" s="4">
        <f t="shared" si="19"/>
        <v>2530.4110476195037</v>
      </c>
      <c r="I32" s="4">
        <f t="shared" si="19"/>
        <v>5569.8220321432436</v>
      </c>
      <c r="J32" s="4">
        <f t="shared" si="19"/>
        <v>209.76075119037819</v>
      </c>
      <c r="K32" s="4">
        <f t="shared" si="19"/>
        <v>2253.3622614287742</v>
      </c>
    </row>
    <row r="33" spans="1:11" ht="14.65" thickTop="1">
      <c r="A33" s="108" t="s">
        <v>128</v>
      </c>
      <c r="B33" s="109">
        <f t="shared" ref="B33:K33" si="20">IFERROR(B32/B$3,"")</f>
        <v>0.1092785306159845</v>
      </c>
      <c r="C33" s="109">
        <f t="shared" si="20"/>
        <v>0.41475263608361757</v>
      </c>
      <c r="D33" s="109">
        <f t="shared" si="20"/>
        <v>5.6555913622548047E-2</v>
      </c>
      <c r="E33" s="109">
        <f t="shared" si="20"/>
        <v>0.16322540244255693</v>
      </c>
      <c r="F33" s="109">
        <f t="shared" si="20"/>
        <v>0.18770487323398977</v>
      </c>
      <c r="G33" s="109">
        <f t="shared" si="20"/>
        <v>-7.5111417172691652E-2</v>
      </c>
      <c r="H33" s="109">
        <f t="shared" si="20"/>
        <v>0.15443460772776954</v>
      </c>
      <c r="I33" s="109">
        <f t="shared" si="20"/>
        <v>0.35076654903603777</v>
      </c>
      <c r="J33" s="109">
        <f t="shared" si="20"/>
        <v>1.266671202840448E-2</v>
      </c>
      <c r="K33" s="109">
        <f t="shared" si="20"/>
        <v>0.11599126274920339</v>
      </c>
    </row>
    <row r="34" spans="1:11">
      <c r="A34" s="108" t="s">
        <v>138</v>
      </c>
      <c r="B34" s="108"/>
      <c r="C34" s="109">
        <f t="shared" ref="C34:F34" si="21">IFERROR(C32/B32-1,"")</f>
        <v>2.4750366251040492</v>
      </c>
      <c r="D34" s="109">
        <f t="shared" si="21"/>
        <v>-0.85522608228456309</v>
      </c>
      <c r="E34" s="109">
        <f t="shared" si="21"/>
        <v>1.9898212915613347</v>
      </c>
      <c r="F34" s="109">
        <f t="shared" si="21"/>
        <v>0.25385111879665745</v>
      </c>
      <c r="G34" s="109">
        <f>IFERROR(G32/F32-1,"")</f>
        <v>-1.3319133086677233</v>
      </c>
      <c r="H34" s="109">
        <f t="shared" ref="H34:K34" si="22">IFERROR(H32/G32-1,"")</f>
        <v>-2.9118533117121466</v>
      </c>
      <c r="I34" s="109">
        <f t="shared" si="22"/>
        <v>1.2011530645912569</v>
      </c>
      <c r="J34" s="109">
        <f t="shared" si="22"/>
        <v>-0.96233977495513212</v>
      </c>
      <c r="K34" s="109">
        <f t="shared" si="22"/>
        <v>9.7425352390334918</v>
      </c>
    </row>
    <row r="35" spans="1:11">
      <c r="A35" s="108" t="s">
        <v>139</v>
      </c>
      <c r="B35" s="108"/>
      <c r="C35" s="108"/>
      <c r="D35" s="108"/>
      <c r="E35" s="109">
        <f>IFERROR(SUM(C32:E32)/SUM(B32:D32)-1,"")</f>
        <v>0.10127558230426636</v>
      </c>
      <c r="F35" s="109">
        <f t="shared" ref="F35" si="23">IFERROR(SUM(D32:F32)/SUM(C32:E32)-1,"")</f>
        <v>-0.28984944182990813</v>
      </c>
      <c r="G35" s="109">
        <f t="shared" ref="G35:K35" si="24">IFERROR(SUM(E32:G32)/SUM(D32:F32)-1,"")</f>
        <v>-0.29000982736698711</v>
      </c>
      <c r="H35" s="109">
        <f t="shared" si="24"/>
        <v>-0.11119678659588339</v>
      </c>
      <c r="I35" s="109">
        <f t="shared" si="24"/>
        <v>0.30459664873812842</v>
      </c>
      <c r="J35" s="109">
        <f t="shared" si="24"/>
        <v>0.22626060032931994</v>
      </c>
      <c r="K35" s="109">
        <f t="shared" si="24"/>
        <v>-3.333922886425944E-2</v>
      </c>
    </row>
    <row r="36" spans="1:11">
      <c r="A36" s="108" t="s">
        <v>133</v>
      </c>
      <c r="B36" s="108"/>
      <c r="C36" s="108"/>
      <c r="D36" s="108"/>
      <c r="E36" s="108"/>
      <c r="F36" s="109"/>
      <c r="G36" s="109">
        <f>IFERROR(SUM(C32:G32)/SUM(B32:F32)-1,"")</f>
        <v>-0.19430339723445</v>
      </c>
      <c r="H36" s="109">
        <f t="shared" ref="H36" si="25">IFERROR(SUM(D32:H32)/SUM(C32:G32)-1,"")</f>
        <v>-0.33790239538084033</v>
      </c>
      <c r="I36" s="109">
        <f t="shared" ref="I36:K36" si="26">IFERROR(SUM(E32:I32)/SUM(D32:H32)-1,"")</f>
        <v>0.47742081182831275</v>
      </c>
      <c r="J36" s="109">
        <f t="shared" si="26"/>
        <v>-0.21302346901345359</v>
      </c>
      <c r="K36" s="109">
        <f t="shared" si="26"/>
        <v>-0.15803088384989827</v>
      </c>
    </row>
    <row r="38" spans="1:11" s="9" customFormat="1" ht="14.65" thickBot="1">
      <c r="A38" s="59" t="s">
        <v>153</v>
      </c>
      <c r="B38" s="126">
        <f t="shared" ref="B38:E38" si="27">B2</f>
        <v>39447</v>
      </c>
      <c r="C38" s="126">
        <f t="shared" si="27"/>
        <v>39813</v>
      </c>
      <c r="D38" s="126">
        <f t="shared" si="27"/>
        <v>40178</v>
      </c>
      <c r="E38" s="126">
        <f t="shared" si="27"/>
        <v>40543</v>
      </c>
      <c r="F38" s="126">
        <f>F2</f>
        <v>40908</v>
      </c>
      <c r="G38" s="126">
        <f t="shared" ref="G38:K38" si="28">G2</f>
        <v>41274</v>
      </c>
      <c r="H38" s="126">
        <f t="shared" si="28"/>
        <v>41639</v>
      </c>
      <c r="I38" s="126">
        <f t="shared" si="28"/>
        <v>42004</v>
      </c>
      <c r="J38" s="126">
        <f t="shared" si="28"/>
        <v>42369</v>
      </c>
      <c r="K38" s="126">
        <f t="shared" si="28"/>
        <v>42735</v>
      </c>
    </row>
    <row r="39" spans="1:11" s="117" customFormat="1" ht="14.65" thickBot="1">
      <c r="A39" s="127" t="s">
        <v>154</v>
      </c>
      <c r="B39" s="128">
        <f>VLOOKUP(B38,'GDP Data'!$A$2:$B$62,2,TRUE)</f>
        <v>14690</v>
      </c>
      <c r="C39" s="128">
        <f>VLOOKUP(C38,'GDP Data'!$A$2:$B$62,2,TRUE)</f>
        <v>14549.9</v>
      </c>
      <c r="D39" s="128">
        <f>VLOOKUP(D38,'GDP Data'!$A$2:$B$62,2,TRUE)</f>
        <v>14566.5</v>
      </c>
      <c r="E39" s="128">
        <f>VLOOKUP(E38,'GDP Data'!$A$2:$B$62,2,TRUE)</f>
        <v>15230.2</v>
      </c>
      <c r="F39" s="128">
        <f>VLOOKUP(F38,'GDP Data'!$A$2:$B$62,2,TRUE)</f>
        <v>15785.3</v>
      </c>
      <c r="G39" s="128">
        <f>VLOOKUP(G38,'GDP Data'!$A$2:$B$62,2,TRUE)</f>
        <v>16332.5</v>
      </c>
      <c r="H39" s="128">
        <f>VLOOKUP(H38,'GDP Data'!$A$2:$B$62,2,TRUE)</f>
        <v>17078.3</v>
      </c>
      <c r="I39" s="128">
        <f>VLOOKUP(I38,'GDP Data'!$A$2:$B$62,2,TRUE)</f>
        <v>17703.7</v>
      </c>
      <c r="J39" s="128">
        <f>VLOOKUP(J38,'GDP Data'!$A$2:$B$62,2,TRUE)</f>
        <v>17665</v>
      </c>
      <c r="K39" s="128">
        <f>VLOOKUP(K38,'GDP Data'!$A$2:$B$62,2,TRUE)</f>
        <v>17665</v>
      </c>
    </row>
    <row r="40" spans="1:11">
      <c r="A40" t="s">
        <v>155</v>
      </c>
      <c r="C40" s="129">
        <f t="shared" ref="C40" si="29">C39/B39-1</f>
        <v>-9.5371000680735118E-3</v>
      </c>
      <c r="D40" s="129">
        <f t="shared" ref="D40" si="30">D39/C39-1</f>
        <v>1.1409013120364797E-3</v>
      </c>
      <c r="E40" s="129">
        <f t="shared" ref="E40:F40" si="31">E39/D39-1</f>
        <v>4.5563450382727577E-2</v>
      </c>
      <c r="F40" s="129">
        <f t="shared" si="31"/>
        <v>3.6447321768591223E-2</v>
      </c>
      <c r="G40" s="129">
        <f>G39/F39-1</f>
        <v>3.4665163158128287E-2</v>
      </c>
      <c r="H40" s="129">
        <f t="shared" ref="H40:K40" si="32">H39/G39-1</f>
        <v>4.5663554262972639E-2</v>
      </c>
      <c r="I40" s="129">
        <f t="shared" si="32"/>
        <v>3.6619569863511003E-2</v>
      </c>
      <c r="J40" s="129">
        <f t="shared" si="32"/>
        <v>-2.1859837209171618E-3</v>
      </c>
      <c r="K40" s="129">
        <f t="shared" si="32"/>
        <v>0</v>
      </c>
    </row>
    <row r="41" spans="1:11">
      <c r="A41" s="130" t="s">
        <v>156</v>
      </c>
      <c r="B41" s="130"/>
      <c r="C41" s="131">
        <f t="shared" ref="C41:F41" si="33">C13</f>
        <v>0.29922725702676289</v>
      </c>
      <c r="D41" s="131">
        <f t="shared" si="33"/>
        <v>0.15517880745575963</v>
      </c>
      <c r="E41" s="131">
        <f t="shared" si="33"/>
        <v>0.16058675549164891</v>
      </c>
      <c r="F41" s="131">
        <f t="shared" si="33"/>
        <v>8.2188770243605713E-2</v>
      </c>
      <c r="G41" s="131">
        <f>G13</f>
        <v>0.48999609171191816</v>
      </c>
      <c r="H41" s="131">
        <f t="shared" ref="H41:K41" si="34">H13</f>
        <v>-0.55658158827906612</v>
      </c>
      <c r="I41" s="131">
        <f t="shared" si="34"/>
        <v>-3.3594473572319039E-2</v>
      </c>
      <c r="J41" s="131">
        <f t="shared" si="34"/>
        <v>-0.45722690672837774</v>
      </c>
      <c r="K41" s="131">
        <f t="shared" si="34"/>
        <v>0.69280095036177691</v>
      </c>
    </row>
    <row r="42" spans="1:11">
      <c r="A42" t="s">
        <v>157</v>
      </c>
      <c r="D42" s="132"/>
      <c r="E42" s="132">
        <f t="shared" ref="E42" si="35">SUM(C39:E39)/SUM(B39:D39)-1</f>
        <v>1.2331531465721968E-2</v>
      </c>
      <c r="F42" s="132">
        <f t="shared" ref="F42" si="36">SUM(D39:F39)/SUM(C39:E39)-1</f>
        <v>2.7857829010566659E-2</v>
      </c>
      <c r="G42" s="132">
        <f t="shared" ref="G42:J42" si="37">SUM(E39:G39)/SUM(D39:F39)-1</f>
        <v>3.8743363608441994E-2</v>
      </c>
      <c r="H42" s="132">
        <f t="shared" si="37"/>
        <v>3.9032271690462084E-2</v>
      </c>
      <c r="I42" s="132">
        <f t="shared" si="37"/>
        <v>3.8994960982679627E-2</v>
      </c>
      <c r="J42" s="132">
        <f t="shared" si="37"/>
        <v>2.606892369092928E-2</v>
      </c>
      <c r="K42" s="132">
        <f>SUM(I39:K39)/SUM(H39:J39)-1</f>
        <v>1.1186531164794955E-2</v>
      </c>
    </row>
    <row r="43" spans="1:11">
      <c r="A43" s="130" t="s">
        <v>158</v>
      </c>
      <c r="B43" s="130"/>
      <c r="C43" s="130"/>
      <c r="D43" s="131"/>
      <c r="E43" s="131">
        <f t="shared" ref="E43:J43" si="38">E14</f>
        <v>0.19522149911492237</v>
      </c>
      <c r="F43" s="131">
        <f t="shared" si="38"/>
        <v>0.12897369289474003</v>
      </c>
      <c r="G43" s="131">
        <f t="shared" si="38"/>
        <v>0.25505072394703432</v>
      </c>
      <c r="H43" s="131">
        <f t="shared" si="38"/>
        <v>-7.7140509794983547E-2</v>
      </c>
      <c r="I43" s="131">
        <f t="shared" si="38"/>
        <v>-0.1147380868112845</v>
      </c>
      <c r="J43" s="131">
        <f t="shared" si="38"/>
        <v>-0.40995417390619104</v>
      </c>
      <c r="K43" s="131">
        <f>K14</f>
        <v>-4.4986961957792615E-2</v>
      </c>
    </row>
    <row r="44" spans="1:11">
      <c r="A44" t="s">
        <v>159</v>
      </c>
      <c r="G44" s="132">
        <f t="shared" ref="G44:J44" si="39">SUM(C39:G39)/SUM(B39:F39)-1</f>
        <v>2.1952128988972586E-2</v>
      </c>
      <c r="H44" s="132">
        <f t="shared" si="39"/>
        <v>3.3066368139944791E-2</v>
      </c>
      <c r="I44" s="132">
        <f t="shared" si="39"/>
        <v>3.9715012001093841E-2</v>
      </c>
      <c r="J44" s="132">
        <f t="shared" si="39"/>
        <v>2.9645683672226975E-2</v>
      </c>
      <c r="K44" s="132">
        <f>SUM(G39:K39)/SUM(F39:J39)-1</f>
        <v>2.2227924621119E-2</v>
      </c>
    </row>
    <row r="45" spans="1:11">
      <c r="A45" s="130" t="s">
        <v>160</v>
      </c>
      <c r="B45" s="130"/>
      <c r="C45" s="130"/>
      <c r="D45" s="130"/>
      <c r="E45" s="131"/>
      <c r="F45" s="131"/>
      <c r="G45" s="131">
        <f t="shared" ref="G45:J45" si="40">G15</f>
        <v>0.24352783409653922</v>
      </c>
      <c r="H45" s="131">
        <f t="shared" si="40"/>
        <v>-5.8266940289274372E-3</v>
      </c>
      <c r="I45" s="131">
        <f t="shared" si="40"/>
        <v>-3.2375450897468294E-2</v>
      </c>
      <c r="J45" s="131">
        <f t="shared" si="40"/>
        <v>-0.12252612833773879</v>
      </c>
      <c r="K45" s="131">
        <f>K15</f>
        <v>-9.9944673889884372E-2</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election activeCell="I39" sqref="I39"/>
    </sheetView>
  </sheetViews>
  <sheetFormatPr defaultRowHeight="14.25"/>
  <cols>
    <col min="1" max="1" width="37.3984375" bestFit="1" customWidth="1"/>
    <col min="12" max="12" width="9.59765625" bestFit="1" customWidth="1"/>
  </cols>
  <sheetData>
    <row r="1" spans="1:16">
      <c r="A1" s="10" t="s">
        <v>37</v>
      </c>
      <c r="B1" s="134">
        <f>'Company Analysis'!B2</f>
        <v>39447</v>
      </c>
      <c r="C1" s="134">
        <f>'Company Analysis'!C2</f>
        <v>39813</v>
      </c>
      <c r="D1" s="134">
        <f>'Company Analysis'!D2</f>
        <v>40178</v>
      </c>
      <c r="E1" s="134">
        <f>'Company Analysis'!E2</f>
        <v>40543</v>
      </c>
      <c r="F1" s="134">
        <f>'Company Analysis'!F2</f>
        <v>40908</v>
      </c>
      <c r="G1" s="134">
        <f>'Company Analysis'!G2</f>
        <v>41274</v>
      </c>
      <c r="H1" s="134">
        <f>'Company Analysis'!H2</f>
        <v>41639</v>
      </c>
      <c r="I1" s="134">
        <f>'Company Analysis'!I2</f>
        <v>42004</v>
      </c>
      <c r="J1" s="134">
        <f>'Company Analysis'!J2</f>
        <v>42369</v>
      </c>
      <c r="K1" s="134">
        <f>'Company Analysis'!K2</f>
        <v>42735</v>
      </c>
      <c r="L1" s="134">
        <f>'Graphing Data'!K1+365</f>
        <v>43100</v>
      </c>
      <c r="M1" s="134">
        <f>'Graphing Data'!L1+365</f>
        <v>43465</v>
      </c>
      <c r="N1" s="134">
        <f>'Graphing Data'!M1+365</f>
        <v>43830</v>
      </c>
      <c r="O1" s="134">
        <f>'Graphing Data'!N1+365</f>
        <v>44195</v>
      </c>
      <c r="P1" s="134">
        <f>'Graphing Data'!O1+365</f>
        <v>44560</v>
      </c>
    </row>
    <row r="2" spans="1:16">
      <c r="A2" t="s">
        <v>163</v>
      </c>
      <c r="B2" s="17">
        <f>'Company Analysis'!B3</f>
        <v>19348</v>
      </c>
      <c r="C2" s="17">
        <f>'Company Analysis'!C3</f>
        <v>17715</v>
      </c>
      <c r="D2" s="17">
        <f>'Company Analysis'!D3</f>
        <v>18808</v>
      </c>
      <c r="E2" s="17">
        <f>'Company Analysis'!E3</f>
        <v>19484</v>
      </c>
      <c r="F2" s="17">
        <f>'Company Analysis'!F3</f>
        <v>21244</v>
      </c>
      <c r="G2" s="17">
        <f>'Company Analysis'!G3</f>
        <v>17621</v>
      </c>
      <c r="H2" s="17">
        <f>'Company Analysis'!H3</f>
        <v>16385</v>
      </c>
      <c r="I2" s="17">
        <f>'Company Analysis'!I3</f>
        <v>15879</v>
      </c>
      <c r="J2" s="17">
        <f>'Company Analysis'!J3</f>
        <v>16560</v>
      </c>
      <c r="K2" s="17">
        <f>'Company Analysis'!K3</f>
        <v>19427</v>
      </c>
      <c r="L2" s="17"/>
      <c r="M2" s="17"/>
      <c r="N2" s="17"/>
      <c r="O2" s="17"/>
      <c r="P2" s="17"/>
    </row>
    <row r="3" spans="1:16">
      <c r="A3" t="s">
        <v>164</v>
      </c>
      <c r="L3" s="17">
        <f>$K$2*(1+'Valuation Model'!C8)</f>
        <v>20398.350000000002</v>
      </c>
      <c r="M3" s="17">
        <f>L3*(1+'Valuation Model'!D8)</f>
        <v>21010.300500000001</v>
      </c>
      <c r="N3" s="17">
        <f>M3*(1+'Valuation Model'!E8)</f>
        <v>22270.918530000003</v>
      </c>
      <c r="O3" s="17">
        <f>N3*(1+'Valuation Model'!F8)</f>
        <v>23607.173641800004</v>
      </c>
      <c r="P3" s="17">
        <f>O3*(1+'Valuation Model'!G8)</f>
        <v>25023.604060308004</v>
      </c>
    </row>
    <row r="4" spans="1:16">
      <c r="A4" t="s">
        <v>165</v>
      </c>
      <c r="L4" s="17">
        <f>$K$2*(1+'Valuation Model'!C9)</f>
        <v>19524.134999999998</v>
      </c>
      <c r="M4" s="17">
        <f>L4*(1+'Valuation Model'!D9)</f>
        <v>19524.134999999998</v>
      </c>
      <c r="N4" s="17">
        <f>M4*(1+'Valuation Model'!E9)</f>
        <v>18938.410949999998</v>
      </c>
      <c r="O4" s="17">
        <f>N4*(1+'Valuation Model'!F9)</f>
        <v>18370.258621499997</v>
      </c>
      <c r="P4" s="17">
        <f>O4*(1+'Valuation Model'!G9)</f>
        <v>17819.150862854996</v>
      </c>
    </row>
    <row r="5" spans="1:16">
      <c r="A5" t="s">
        <v>166</v>
      </c>
      <c r="C5" s="20">
        <f>C2/B2-1</f>
        <v>-8.4401488525945867E-2</v>
      </c>
      <c r="D5" s="20">
        <f t="shared" ref="D5:K5" si="0">D2/C2-1</f>
        <v>6.1699125035280744E-2</v>
      </c>
      <c r="E5" s="20">
        <f t="shared" si="0"/>
        <v>3.5942152275627359E-2</v>
      </c>
      <c r="F5" s="20">
        <f t="shared" si="0"/>
        <v>9.0330527612400013E-2</v>
      </c>
      <c r="G5" s="20">
        <f t="shared" si="0"/>
        <v>-0.17054227075880246</v>
      </c>
      <c r="H5" s="20">
        <f t="shared" si="0"/>
        <v>-7.0143578684524144E-2</v>
      </c>
      <c r="I5" s="20">
        <f t="shared" si="0"/>
        <v>-3.0881904180653064E-2</v>
      </c>
      <c r="J5" s="20">
        <f t="shared" si="0"/>
        <v>4.2886831664462388E-2</v>
      </c>
      <c r="K5" s="20">
        <f t="shared" si="0"/>
        <v>0.1731280193236715</v>
      </c>
    </row>
    <row r="6" spans="1:16">
      <c r="A6" t="s">
        <v>167</v>
      </c>
      <c r="K6" s="99">
        <f>K5</f>
        <v>0.1731280193236715</v>
      </c>
      <c r="L6" s="99">
        <f>'Valuation Model'!C8</f>
        <v>0.05</v>
      </c>
      <c r="M6" s="99">
        <f>'Valuation Model'!D8</f>
        <v>0.03</v>
      </c>
      <c r="N6" s="99">
        <f>'Valuation Model'!E8</f>
        <v>0.06</v>
      </c>
      <c r="O6" s="99">
        <f>'Valuation Model'!F8</f>
        <v>0.06</v>
      </c>
      <c r="P6" s="99">
        <f>'Valuation Model'!G8</f>
        <v>0.06</v>
      </c>
    </row>
    <row r="7" spans="1:16">
      <c r="A7" t="s">
        <v>168</v>
      </c>
      <c r="K7" s="99">
        <f>K5</f>
        <v>0.1731280193236715</v>
      </c>
      <c r="L7" s="99">
        <f>'Valuation Model'!C9</f>
        <v>5.0000000000000001E-3</v>
      </c>
      <c r="M7" s="99">
        <f>'Valuation Model'!D9</f>
        <v>0</v>
      </c>
      <c r="N7" s="99">
        <f>'Valuation Model'!E9</f>
        <v>-0.03</v>
      </c>
      <c r="O7" s="99">
        <f>'Valuation Model'!F9</f>
        <v>-0.03</v>
      </c>
      <c r="P7" s="99">
        <f>'Valuation Model'!G9</f>
        <v>-0.03</v>
      </c>
    </row>
    <row r="9" spans="1:16">
      <c r="A9" s="10" t="s">
        <v>71</v>
      </c>
      <c r="B9" s="134">
        <f>B1</f>
        <v>39447</v>
      </c>
      <c r="C9" s="134">
        <f t="shared" ref="C9:P9" si="1">C1</f>
        <v>39813</v>
      </c>
      <c r="D9" s="134">
        <f t="shared" si="1"/>
        <v>40178</v>
      </c>
      <c r="E9" s="134">
        <f t="shared" si="1"/>
        <v>40543</v>
      </c>
      <c r="F9" s="134">
        <f t="shared" si="1"/>
        <v>40908</v>
      </c>
      <c r="G9" s="134">
        <f t="shared" si="1"/>
        <v>41274</v>
      </c>
      <c r="H9" s="134">
        <f t="shared" si="1"/>
        <v>41639</v>
      </c>
      <c r="I9" s="134">
        <f t="shared" si="1"/>
        <v>42004</v>
      </c>
      <c r="J9" s="134">
        <f t="shared" si="1"/>
        <v>42369</v>
      </c>
      <c r="K9" s="134">
        <f t="shared" si="1"/>
        <v>42735</v>
      </c>
      <c r="L9" s="134">
        <f t="shared" si="1"/>
        <v>43100</v>
      </c>
      <c r="M9" s="134">
        <f t="shared" si="1"/>
        <v>43465</v>
      </c>
      <c r="N9" s="134">
        <f t="shared" si="1"/>
        <v>43830</v>
      </c>
      <c r="O9" s="134">
        <f t="shared" si="1"/>
        <v>44195</v>
      </c>
      <c r="P9" s="134">
        <f t="shared" si="1"/>
        <v>44560</v>
      </c>
    </row>
    <row r="10" spans="1:16">
      <c r="A10" t="s">
        <v>169</v>
      </c>
      <c r="B10" s="17">
        <f>'Company Analysis'!B11</f>
        <v>2224.5947999999999</v>
      </c>
      <c r="C10" s="17">
        <f>'Company Analysis'!C11</f>
        <v>2890.2541999999999</v>
      </c>
      <c r="D10" s="17">
        <f>'Company Analysis'!D11</f>
        <v>3338.7604000000001</v>
      </c>
      <c r="E10" s="17">
        <f>'Company Analysis'!E11</f>
        <v>3874.9211</v>
      </c>
      <c r="F10" s="17">
        <f>'Company Analysis'!F11</f>
        <v>4193.3960999999999</v>
      </c>
      <c r="G10" s="17">
        <f>'Company Analysis'!G11</f>
        <v>6248.1437999999998</v>
      </c>
      <c r="H10" s="17">
        <f>'Company Analysis'!H11</f>
        <v>2770.5419999999999</v>
      </c>
      <c r="I10" s="17">
        <f>'Company Analysis'!I11</f>
        <v>2677.4670999999998</v>
      </c>
      <c r="J10" s="17">
        <f>'Company Analysis'!J11</f>
        <v>1453.2571</v>
      </c>
      <c r="K10" s="17">
        <f>'Company Analysis'!K11</f>
        <v>2460.0749999999998</v>
      </c>
    </row>
    <row r="11" spans="1:16">
      <c r="A11" t="s">
        <v>170</v>
      </c>
      <c r="L11" s="18">
        <f>'Valuation Model'!C10*'Graphing Data'!L3</f>
        <v>4487.6370000000006</v>
      </c>
      <c r="M11" s="18">
        <f>'Valuation Model'!D10*'Graphing Data'!M3</f>
        <v>4622.2661100000005</v>
      </c>
      <c r="N11" s="18">
        <f>'Valuation Model'!E10*'Graphing Data'!N3</f>
        <v>4899.6020766000011</v>
      </c>
      <c r="O11" s="18">
        <f>'Valuation Model'!F10*'Graphing Data'!O3</f>
        <v>5193.5782011960009</v>
      </c>
      <c r="P11" s="18">
        <f>'Valuation Model'!G10*'Graphing Data'!P3</f>
        <v>5505.1928932677611</v>
      </c>
    </row>
    <row r="12" spans="1:16">
      <c r="A12" t="s">
        <v>171</v>
      </c>
      <c r="L12" s="18">
        <f>'Valuation Model'!C11*'Graphing Data'!L4</f>
        <v>3319.10295</v>
      </c>
      <c r="M12" s="18">
        <f>'Valuation Model'!D11*'Graphing Data'!M4</f>
        <v>3319.10295</v>
      </c>
      <c r="N12" s="18">
        <f>'Valuation Model'!E11*'Graphing Data'!N4</f>
        <v>3219.5298614999997</v>
      </c>
      <c r="O12" s="18">
        <f>'Valuation Model'!F11*'Graphing Data'!O4</f>
        <v>3122.9439656549998</v>
      </c>
      <c r="P12" s="18">
        <f>'Valuation Model'!G11*'Graphing Data'!P4</f>
        <v>3029.2556466853498</v>
      </c>
    </row>
    <row r="13" spans="1:16">
      <c r="A13" t="s">
        <v>172</v>
      </c>
      <c r="B13" s="20">
        <f>B10/B2</f>
        <v>0.11497802356832747</v>
      </c>
      <c r="C13" s="20">
        <f t="shared" ref="C13:K13" si="2">C10/C2</f>
        <v>0.16315293254304261</v>
      </c>
      <c r="D13" s="20">
        <f t="shared" si="2"/>
        <v>0.17751809868141216</v>
      </c>
      <c r="E13" s="20">
        <f t="shared" si="2"/>
        <v>0.19887708376103469</v>
      </c>
      <c r="F13" s="20">
        <f t="shared" si="2"/>
        <v>0.19739202127659575</v>
      </c>
      <c r="G13" s="20">
        <f t="shared" si="2"/>
        <v>0.35458508597695931</v>
      </c>
      <c r="H13" s="20">
        <f t="shared" si="2"/>
        <v>0.16909014342386328</v>
      </c>
      <c r="I13" s="20">
        <f t="shared" si="2"/>
        <v>0.16861685874425342</v>
      </c>
      <c r="J13" s="20">
        <f t="shared" si="2"/>
        <v>8.7757071256038655E-2</v>
      </c>
      <c r="K13" s="20">
        <f t="shared" si="2"/>
        <v>0.12663174962680804</v>
      </c>
    </row>
    <row r="14" spans="1:16">
      <c r="A14" t="s">
        <v>173</v>
      </c>
      <c r="K14" s="99">
        <f>K13</f>
        <v>0.12663174962680804</v>
      </c>
      <c r="L14" s="99">
        <f>'Valuation Model'!C10</f>
        <v>0.22</v>
      </c>
      <c r="M14" s="99">
        <f>'Valuation Model'!D10</f>
        <v>0.22</v>
      </c>
      <c r="N14" s="99">
        <f>'Valuation Model'!E10</f>
        <v>0.22</v>
      </c>
      <c r="O14" s="99">
        <f>'Valuation Model'!F10</f>
        <v>0.22</v>
      </c>
      <c r="P14" s="99">
        <f>'Valuation Model'!G10</f>
        <v>0.22</v>
      </c>
    </row>
    <row r="15" spans="1:16">
      <c r="A15" t="s">
        <v>174</v>
      </c>
      <c r="K15" s="99">
        <f>K13</f>
        <v>0.12663174962680804</v>
      </c>
      <c r="L15" s="99">
        <f>'Valuation Model'!C11</f>
        <v>0.17</v>
      </c>
      <c r="M15" s="99">
        <f>'Valuation Model'!D11</f>
        <v>0.17</v>
      </c>
      <c r="N15" s="99">
        <f>'Valuation Model'!E11</f>
        <v>0.17</v>
      </c>
      <c r="O15" s="99">
        <f>'Valuation Model'!F11</f>
        <v>0.17</v>
      </c>
      <c r="P15" s="99">
        <f>'Valuation Model'!G11</f>
        <v>0.17</v>
      </c>
    </row>
    <row r="17" spans="1:16">
      <c r="A17" s="10" t="s">
        <v>175</v>
      </c>
      <c r="B17" s="134">
        <f>B9</f>
        <v>39447</v>
      </c>
      <c r="C17" s="134">
        <f t="shared" ref="C17:K17" si="3">C9</f>
        <v>39813</v>
      </c>
      <c r="D17" s="134">
        <f t="shared" si="3"/>
        <v>40178</v>
      </c>
      <c r="E17" s="134">
        <f t="shared" si="3"/>
        <v>40543</v>
      </c>
      <c r="F17" s="134">
        <f t="shared" si="3"/>
        <v>40908</v>
      </c>
      <c r="G17" s="134">
        <f t="shared" si="3"/>
        <v>41274</v>
      </c>
      <c r="H17" s="134">
        <f t="shared" si="3"/>
        <v>41639</v>
      </c>
      <c r="I17" s="134">
        <f t="shared" si="3"/>
        <v>42004</v>
      </c>
      <c r="J17" s="134">
        <f t="shared" si="3"/>
        <v>42369</v>
      </c>
      <c r="K17" s="134">
        <f t="shared" si="3"/>
        <v>42735</v>
      </c>
    </row>
    <row r="18" spans="1:16">
      <c r="A18" t="s">
        <v>137</v>
      </c>
      <c r="B18" s="18">
        <f>B10</f>
        <v>2224.5947999999999</v>
      </c>
      <c r="C18" s="18">
        <f t="shared" ref="C18:K18" si="4">C10</f>
        <v>2890.2541999999999</v>
      </c>
      <c r="D18" s="18">
        <f t="shared" si="4"/>
        <v>3338.7604000000001</v>
      </c>
      <c r="E18" s="18">
        <f t="shared" si="4"/>
        <v>3874.9211</v>
      </c>
      <c r="F18" s="18">
        <f t="shared" si="4"/>
        <v>4193.3960999999999</v>
      </c>
      <c r="G18" s="18">
        <f t="shared" si="4"/>
        <v>6248.1437999999998</v>
      </c>
      <c r="H18" s="18">
        <f t="shared" si="4"/>
        <v>2770.5419999999999</v>
      </c>
      <c r="I18" s="18">
        <f t="shared" si="4"/>
        <v>2677.4670999999998</v>
      </c>
      <c r="J18" s="18">
        <f t="shared" si="4"/>
        <v>1453.2571</v>
      </c>
      <c r="K18" s="18">
        <f t="shared" si="4"/>
        <v>2460.0749999999998</v>
      </c>
    </row>
    <row r="19" spans="1:16">
      <c r="A19" t="s">
        <v>176</v>
      </c>
      <c r="B19" s="18">
        <f>-'Company Analysis'!B28</f>
        <v>110.27378964193184</v>
      </c>
      <c r="C19" s="18">
        <f>-'Company Analysis'!C28</f>
        <v>-4457.0887482212856</v>
      </c>
      <c r="D19" s="18">
        <f>-'Company Analysis'!D28</f>
        <v>2275.0567765871165</v>
      </c>
      <c r="E19" s="18">
        <f>-'Company Analysis'!E28</f>
        <v>694.63735880922059</v>
      </c>
      <c r="F19" s="18">
        <f>-'Company Analysis'!F28</f>
        <v>205.79377301712157</v>
      </c>
      <c r="G19" s="18">
        <f>-'Company Analysis'!G28</f>
        <v>7571.6820819999994</v>
      </c>
      <c r="H19" s="18">
        <f>-'Company Analysis'!H28</f>
        <v>240.13095238049596</v>
      </c>
      <c r="I19" s="18">
        <f>-'Company Analysis'!I28</f>
        <v>-2892.3549321432438</v>
      </c>
      <c r="J19" s="18">
        <f>-'Company Analysis'!J28</f>
        <v>1243.4963488096218</v>
      </c>
      <c r="K19" s="18">
        <f>-'Company Analysis'!K28</f>
        <v>206.71273857122571</v>
      </c>
    </row>
    <row r="21" spans="1:16">
      <c r="A21" s="10" t="s">
        <v>177</v>
      </c>
      <c r="B21" s="134">
        <f>B17</f>
        <v>39447</v>
      </c>
      <c r="C21" s="134">
        <f t="shared" ref="C21:K21" si="5">C17</f>
        <v>39813</v>
      </c>
      <c r="D21" s="134">
        <f t="shared" si="5"/>
        <v>40178</v>
      </c>
      <c r="E21" s="134">
        <f t="shared" si="5"/>
        <v>40543</v>
      </c>
      <c r="F21" s="134">
        <f t="shared" si="5"/>
        <v>40908</v>
      </c>
      <c r="G21" s="134">
        <f t="shared" si="5"/>
        <v>41274</v>
      </c>
      <c r="H21" s="134">
        <f t="shared" si="5"/>
        <v>41639</v>
      </c>
      <c r="I21" s="134">
        <f t="shared" si="5"/>
        <v>42004</v>
      </c>
      <c r="J21" s="134">
        <f t="shared" si="5"/>
        <v>42369</v>
      </c>
      <c r="K21" s="134">
        <f t="shared" si="5"/>
        <v>42735</v>
      </c>
    </row>
    <row r="22" spans="1:16">
      <c r="A22" t="str">
        <f>'Company Analysis'!A19</f>
        <v>Capex in Excess of Maintenance</v>
      </c>
      <c r="B22" s="18">
        <f>-'Company Analysis'!B19</f>
        <v>-85.40520000000015</v>
      </c>
      <c r="C22" s="18">
        <f>-'Company Analysis'!C19</f>
        <v>124.25419999999986</v>
      </c>
      <c r="D22" s="18">
        <f>-'Company Analysis'!D19</f>
        <v>3.7604000000001179</v>
      </c>
      <c r="E22" s="18">
        <f>-'Company Analysis'!E19</f>
        <v>-192.07889999999998</v>
      </c>
      <c r="F22" s="18">
        <f>-'Company Analysis'!F19</f>
        <v>-279.60390000000007</v>
      </c>
      <c r="G22" s="18">
        <f>-'Company Analysis'!G19</f>
        <v>-144.85620000000017</v>
      </c>
      <c r="H22" s="18">
        <f>-'Company Analysis'!H19</f>
        <v>-237.45800000000008</v>
      </c>
      <c r="I22" s="18">
        <f>-'Company Analysis'!I19</f>
        <v>55.467099999999846</v>
      </c>
      <c r="J22" s="18">
        <f>-'Company Analysis'!J19</f>
        <v>441.25710000000004</v>
      </c>
      <c r="K22" s="18">
        <f>-'Company Analysis'!K19</f>
        <v>825.07499999999982</v>
      </c>
    </row>
    <row r="23" spans="1:16">
      <c r="A23" t="s">
        <v>179</v>
      </c>
      <c r="B23" s="18">
        <f>-'Company Analysis'!B20</f>
        <v>-317</v>
      </c>
      <c r="C23" s="18">
        <f>-'Company Analysis'!C20</f>
        <v>-4839</v>
      </c>
      <c r="D23" s="18">
        <f>-'Company Analysis'!D20</f>
        <v>-26</v>
      </c>
      <c r="E23" s="18">
        <f>-'Company Analysis'!E20</f>
        <v>-67</v>
      </c>
      <c r="F23" s="18">
        <f>-'Company Analysis'!F20</f>
        <v>-149</v>
      </c>
      <c r="G23" s="18">
        <f>-'Company Analysis'!G20</f>
        <v>-68</v>
      </c>
      <c r="H23" s="18">
        <f>-'Company Analysis'!H20</f>
        <v>-9</v>
      </c>
      <c r="I23" s="18">
        <f>-'Company Analysis'!I20</f>
        <v>-3585</v>
      </c>
      <c r="J23" s="18">
        <f>-'Company Analysis'!J20</f>
        <v>-708</v>
      </c>
      <c r="K23" s="18">
        <f>-'Company Analysis'!K20</f>
        <v>-1334</v>
      </c>
    </row>
    <row r="24" spans="1:16">
      <c r="A24" t="s">
        <v>180</v>
      </c>
      <c r="B24" s="18">
        <f>-'Company Analysis'!B21</f>
        <v>432</v>
      </c>
      <c r="C24" s="18">
        <f>-'Company Analysis'!C21</f>
        <v>191</v>
      </c>
      <c r="D24" s="18">
        <f>-'Company Analysis'!D21</f>
        <v>2232</v>
      </c>
      <c r="E24" s="18">
        <f>-'Company Analysis'!E21</f>
        <v>829</v>
      </c>
      <c r="F24" s="18">
        <f>-'Company Analysis'!F21</f>
        <v>360</v>
      </c>
      <c r="G24" s="18">
        <f>-'Company Analysis'!G21</f>
        <v>7530</v>
      </c>
      <c r="H24" s="18">
        <f>-'Company Analysis'!H21</f>
        <v>0</v>
      </c>
      <c r="I24" s="18">
        <f>-'Company Analysis'!I21</f>
        <v>219</v>
      </c>
      <c r="J24" s="18">
        <f>-'Company Analysis'!J21</f>
        <v>1111</v>
      </c>
      <c r="K24" s="18">
        <f>-'Company Analysis'!K21</f>
        <v>359</v>
      </c>
    </row>
    <row r="25" spans="1:16">
      <c r="A25" t="s">
        <v>181</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190</v>
      </c>
      <c r="B26" s="18">
        <f>'Company Analysis'!B23</f>
        <v>0</v>
      </c>
      <c r="C26" s="18">
        <f>'Company Analysis'!C23</f>
        <v>0</v>
      </c>
      <c r="D26" s="18">
        <f>'Company Analysis'!D23</f>
        <v>0</v>
      </c>
      <c r="E26" s="18">
        <f>'Company Analysis'!E23</f>
        <v>0</v>
      </c>
      <c r="F26" s="18">
        <f>'Company Analysis'!F23</f>
        <v>0</v>
      </c>
      <c r="G26" s="18">
        <f>'Company Analysis'!G23</f>
        <v>0</v>
      </c>
      <c r="H26" s="18">
        <f>'Company Analysis'!H23</f>
        <v>0</v>
      </c>
      <c r="I26" s="18">
        <f>'Company Analysis'!I23</f>
        <v>0</v>
      </c>
      <c r="J26" s="18">
        <f>'Company Analysis'!J23</f>
        <v>0</v>
      </c>
      <c r="K26" s="18">
        <f>'Company Analysis'!K23</f>
        <v>0</v>
      </c>
    </row>
    <row r="27" spans="1:16">
      <c r="A27" t="s">
        <v>182</v>
      </c>
      <c r="B27" s="18">
        <f>-'Company Analysis'!B27</f>
        <v>80.678989641931992</v>
      </c>
      <c r="C27" s="18">
        <f>-'Company Analysis'!C27</f>
        <v>66.657051778715001</v>
      </c>
      <c r="D27" s="18">
        <f>-'Company Analysis'!D27</f>
        <v>65.296376587116185</v>
      </c>
      <c r="E27" s="18">
        <f>-'Company Analysis'!E27</f>
        <v>124.71625880922056</v>
      </c>
      <c r="F27" s="18">
        <f>-'Company Analysis'!F27</f>
        <v>274.39767301712163</v>
      </c>
      <c r="G27" s="18">
        <f>-'Company Analysis'!G27</f>
        <v>254.53828199999998</v>
      </c>
      <c r="H27" s="18">
        <f>-'Company Analysis'!H27</f>
        <v>486.58895238049604</v>
      </c>
      <c r="I27" s="18">
        <f>-'Company Analysis'!I27</f>
        <v>418.17796785675637</v>
      </c>
      <c r="J27" s="18">
        <f>-'Company Analysis'!J27</f>
        <v>399.23924880962193</v>
      </c>
      <c r="K27" s="18">
        <f>-'Company Analysis'!K27</f>
        <v>356.6377385712259</v>
      </c>
    </row>
    <row r="29" spans="1:16">
      <c r="A29" s="10" t="s">
        <v>73</v>
      </c>
      <c r="B29" s="134">
        <f>B1</f>
        <v>39447</v>
      </c>
      <c r="C29" s="134">
        <f t="shared" ref="C29:P29" si="6">C1</f>
        <v>39813</v>
      </c>
      <c r="D29" s="134">
        <f t="shared" si="6"/>
        <v>40178</v>
      </c>
      <c r="E29" s="134">
        <f t="shared" si="6"/>
        <v>40543</v>
      </c>
      <c r="F29" s="134">
        <f t="shared" si="6"/>
        <v>40908</v>
      </c>
      <c r="G29" s="134">
        <f t="shared" si="6"/>
        <v>41274</v>
      </c>
      <c r="H29" s="134">
        <f t="shared" si="6"/>
        <v>41639</v>
      </c>
      <c r="I29" s="134">
        <f t="shared" si="6"/>
        <v>42004</v>
      </c>
      <c r="J29" s="134">
        <f t="shared" si="6"/>
        <v>42369</v>
      </c>
      <c r="K29" s="134">
        <f t="shared" si="6"/>
        <v>42735</v>
      </c>
      <c r="L29" s="134">
        <f t="shared" si="6"/>
        <v>43100</v>
      </c>
      <c r="M29" s="134">
        <f t="shared" si="6"/>
        <v>43465</v>
      </c>
      <c r="N29" s="134">
        <f t="shared" si="6"/>
        <v>43830</v>
      </c>
      <c r="O29" s="134">
        <f t="shared" si="6"/>
        <v>44195</v>
      </c>
      <c r="P29" s="134">
        <f t="shared" si="6"/>
        <v>44560</v>
      </c>
    </row>
    <row r="30" spans="1:16">
      <c r="A30" t="s">
        <v>183</v>
      </c>
      <c r="B30" s="18">
        <f>'Company Analysis'!B32</f>
        <v>2114.3210103580682</v>
      </c>
      <c r="C30" s="18">
        <f>'Company Analysis'!C32</f>
        <v>7347.342948221285</v>
      </c>
      <c r="D30" s="18">
        <f>'Company Analysis'!D32</f>
        <v>1063.7036234128836</v>
      </c>
      <c r="E30" s="18">
        <f>'Company Analysis'!E32</f>
        <v>3180.2837411907794</v>
      </c>
      <c r="F30" s="18">
        <f>'Company Analysis'!F32</f>
        <v>3987.6023269828784</v>
      </c>
      <c r="G30" s="18">
        <f>'Company Analysis'!G32</f>
        <v>-1323.5382819999995</v>
      </c>
      <c r="H30" s="18">
        <f>'Company Analysis'!H32</f>
        <v>2530.4110476195037</v>
      </c>
      <c r="I30" s="18">
        <f>'Company Analysis'!I32</f>
        <v>5569.8220321432436</v>
      </c>
      <c r="J30" s="18">
        <f>'Company Analysis'!J32</f>
        <v>209.76075119037819</v>
      </c>
      <c r="K30" s="18">
        <f>'Company Analysis'!K32</f>
        <v>2253.3622614287742</v>
      </c>
    </row>
    <row r="31" spans="1:16">
      <c r="A31" t="s">
        <v>184</v>
      </c>
      <c r="L31" s="18">
        <f>L11*(1-'Valuation Model'!C12)</f>
        <v>3769.6150800000005</v>
      </c>
      <c r="M31" s="18">
        <f>M11*(1-'Valuation Model'!D12)</f>
        <v>3882.7035324000003</v>
      </c>
      <c r="N31" s="18">
        <f>N11*(1-'Valuation Model'!E12)</f>
        <v>4115.6657443440008</v>
      </c>
      <c r="O31" s="18">
        <f>O11*(1-'Valuation Model'!F12)</f>
        <v>4362.6056890046402</v>
      </c>
      <c r="P31" s="18">
        <f>P11*(1-'Valuation Model'!G12)</f>
        <v>4624.3620303449188</v>
      </c>
    </row>
    <row r="32" spans="1:16">
      <c r="A32" t="s">
        <v>185</v>
      </c>
      <c r="L32" s="18">
        <f>L12*(1-'Valuation Model'!C12)</f>
        <v>2788.0464779999998</v>
      </c>
      <c r="M32" s="18">
        <f>M12*(1-'Valuation Model'!D12)</f>
        <v>2788.0464779999998</v>
      </c>
      <c r="N32" s="18">
        <f>N12*(1-'Valuation Model'!E12)</f>
        <v>2704.4050836599995</v>
      </c>
      <c r="O32" s="18">
        <f>O12*(1-'Valuation Model'!F12)</f>
        <v>2623.2729311501998</v>
      </c>
      <c r="P32" s="18">
        <f>P12*(1-'Valuation Model'!G12)</f>
        <v>2544.5747432156936</v>
      </c>
    </row>
    <row r="33" spans="1:16">
      <c r="A33" t="s">
        <v>186</v>
      </c>
      <c r="B33" s="20">
        <f t="shared" ref="B33:J33" si="7">B30/B2</f>
        <v>0.1092785306159845</v>
      </c>
      <c r="C33" s="20">
        <f t="shared" si="7"/>
        <v>0.41475263608361757</v>
      </c>
      <c r="D33" s="20">
        <f t="shared" si="7"/>
        <v>5.6555913622548047E-2</v>
      </c>
      <c r="E33" s="20">
        <f t="shared" si="7"/>
        <v>0.16322540244255693</v>
      </c>
      <c r="F33" s="20">
        <f t="shared" si="7"/>
        <v>0.18770487323398977</v>
      </c>
      <c r="G33" s="20">
        <f t="shared" si="7"/>
        <v>-7.5111417172691652E-2</v>
      </c>
      <c r="H33" s="20">
        <f t="shared" si="7"/>
        <v>0.15443460772776954</v>
      </c>
      <c r="I33" s="20">
        <f t="shared" si="7"/>
        <v>0.35076654903603777</v>
      </c>
      <c r="J33" s="20">
        <f t="shared" si="7"/>
        <v>1.266671202840448E-2</v>
      </c>
      <c r="K33" s="20">
        <f>K30/K2</f>
        <v>0.11599126274920339</v>
      </c>
    </row>
    <row r="34" spans="1:16">
      <c r="A34" t="s">
        <v>187</v>
      </c>
      <c r="K34" s="99">
        <f>K33</f>
        <v>0.11599126274920339</v>
      </c>
      <c r="L34" s="135">
        <f>(1-'Valuation Model'!C12)*'Valuation Model'!C10</f>
        <v>0.18479999999999999</v>
      </c>
      <c r="M34" s="135">
        <f>(1-'Valuation Model'!D12)*'Valuation Model'!D10</f>
        <v>0.18479999999999999</v>
      </c>
      <c r="N34" s="135">
        <f>(1-'Valuation Model'!E12)*'Valuation Model'!E10</f>
        <v>0.18479999999999999</v>
      </c>
      <c r="O34" s="135">
        <f>(1-'Valuation Model'!F12)*'Valuation Model'!F10</f>
        <v>0.18479999999999999</v>
      </c>
      <c r="P34" s="135">
        <f>(1-'Valuation Model'!G12)*'Valuation Model'!G10</f>
        <v>0.18479999999999999</v>
      </c>
    </row>
    <row r="35" spans="1:16">
      <c r="A35" t="s">
        <v>188</v>
      </c>
      <c r="K35" s="99">
        <f>K33</f>
        <v>0.11599126274920339</v>
      </c>
      <c r="L35" s="135">
        <f>(1-'Valuation Model'!C12)*'Valuation Model'!C11</f>
        <v>0.14280000000000001</v>
      </c>
      <c r="M35" s="135">
        <f>(1-'Valuation Model'!D12)*'Valuation Model'!D11</f>
        <v>0.14280000000000001</v>
      </c>
      <c r="N35" s="135">
        <f>(1-'Valuation Model'!E12)*'Valuation Model'!E11</f>
        <v>0.14280000000000001</v>
      </c>
      <c r="O35" s="135">
        <f>(1-'Valuation Model'!F12)*'Valuation Model'!F11</f>
        <v>0.14280000000000001</v>
      </c>
      <c r="P35" s="135">
        <f>(1-'Valuation Model'!G12)*'Valuation Model'!G11</f>
        <v>0.14280000000000001</v>
      </c>
    </row>
    <row r="37" spans="1:16">
      <c r="A37" s="10" t="s">
        <v>153</v>
      </c>
      <c r="B37" s="134">
        <f>B1</f>
        <v>39447</v>
      </c>
      <c r="C37" s="134">
        <f t="shared" ref="C37:K37" si="8">C1</f>
        <v>39813</v>
      </c>
      <c r="D37" s="134">
        <f t="shared" si="8"/>
        <v>40178</v>
      </c>
      <c r="E37" s="134">
        <f t="shared" si="8"/>
        <v>40543</v>
      </c>
      <c r="F37" s="134">
        <f t="shared" si="8"/>
        <v>40908</v>
      </c>
      <c r="G37" s="134">
        <f t="shared" si="8"/>
        <v>41274</v>
      </c>
      <c r="H37" s="134">
        <f t="shared" si="8"/>
        <v>41639</v>
      </c>
      <c r="I37" s="134">
        <f t="shared" si="8"/>
        <v>42004</v>
      </c>
      <c r="J37" s="134">
        <f t="shared" si="8"/>
        <v>42369</v>
      </c>
      <c r="K37" s="134">
        <f t="shared" si="8"/>
        <v>42735</v>
      </c>
    </row>
    <row r="38" spans="1:16">
      <c r="A38" t="str">
        <f>ticker&amp;" Actual OCP ($, LHS)"</f>
        <v>BMY Actual OCP ($, LHS)</v>
      </c>
      <c r="B38" s="18">
        <f>B10</f>
        <v>2224.5947999999999</v>
      </c>
      <c r="C38" s="18">
        <f t="shared" ref="C38:K38" si="9">C10</f>
        <v>2890.2541999999999</v>
      </c>
      <c r="D38" s="18">
        <f t="shared" si="9"/>
        <v>3338.7604000000001</v>
      </c>
      <c r="E38" s="18">
        <f t="shared" si="9"/>
        <v>3874.9211</v>
      </c>
      <c r="F38" s="18">
        <f t="shared" si="9"/>
        <v>4193.3960999999999</v>
      </c>
      <c r="G38" s="18">
        <f t="shared" si="9"/>
        <v>6248.1437999999998</v>
      </c>
      <c r="H38" s="18">
        <f t="shared" si="9"/>
        <v>2770.5419999999999</v>
      </c>
      <c r="I38" s="18">
        <f t="shared" si="9"/>
        <v>2677.4670999999998</v>
      </c>
      <c r="J38" s="18">
        <f t="shared" si="9"/>
        <v>1453.2571</v>
      </c>
      <c r="K38" s="18">
        <f t="shared" si="9"/>
        <v>2460.0749999999998</v>
      </c>
    </row>
    <row r="39" spans="1:16">
      <c r="A39" t="str">
        <f>ticker&amp;" OCP if GDP-Growth ($, LHS)"</f>
        <v>BMY OCP if GDP-Growth ($, LHS)</v>
      </c>
      <c r="B39" s="18">
        <f>B38</f>
        <v>2224.5947999999999</v>
      </c>
      <c r="C39" s="18">
        <f>(1+'Company Analysis'!C40)*B39</f>
        <v>2203.3786167814837</v>
      </c>
      <c r="D39" s="18">
        <f>(1+'Company Analysis'!D40)*C39</f>
        <v>2205.8924543362828</v>
      </c>
      <c r="E39" s="18">
        <f>(1+'Company Analysis'!E40)*D39</f>
        <v>2306.4005257290673</v>
      </c>
      <c r="F39" s="18">
        <f>(1+'Company Analysis'!F40)*E39</f>
        <v>2390.4626478175628</v>
      </c>
      <c r="G39" s="18">
        <f>(1+'Company Analysis'!G40)*F39</f>
        <v>2473.3284255275698</v>
      </c>
      <c r="H39" s="18">
        <f>(1+'Company Analysis'!H40)*G39</f>
        <v>2586.2693922968006</v>
      </c>
      <c r="I39" s="18">
        <f>(1+'Company Analysis'!I40)*H39</f>
        <v>2680.9774649938736</v>
      </c>
      <c r="J39" s="18">
        <f>(1+'Company Analysis'!J40)*I39</f>
        <v>2675.1168918992512</v>
      </c>
      <c r="K39" s="18">
        <f>(1+'Company Analysis'!K40)*J39</f>
        <v>2675.1168918992512</v>
      </c>
    </row>
    <row r="40" spans="1:16">
      <c r="A40" t="str">
        <f>ticker&amp;" - GDP Growth Difference (YoY, %, RHS)"</f>
        <v>BMY - GDP Growth Difference (YoY, %, RHS)</v>
      </c>
      <c r="B40" s="136"/>
      <c r="C40" s="99">
        <f>'Company Analysis'!C41-'Company Analysis'!C40</f>
        <v>0.30876435709483641</v>
      </c>
      <c r="D40" s="99">
        <f>'Company Analysis'!D41-'Company Analysis'!D40</f>
        <v>0.15403790614372315</v>
      </c>
      <c r="E40" s="99">
        <f>'Company Analysis'!E41-'Company Analysis'!E40</f>
        <v>0.11502330510892134</v>
      </c>
      <c r="F40" s="99">
        <f>'Company Analysis'!F41-'Company Analysis'!F40</f>
        <v>4.574144847501449E-2</v>
      </c>
      <c r="G40" s="99">
        <f>'Company Analysis'!G41-'Company Analysis'!G40</f>
        <v>0.45533092855378987</v>
      </c>
      <c r="H40" s="99">
        <f>'Company Analysis'!H41-'Company Analysis'!H40</f>
        <v>-0.60224514254203876</v>
      </c>
      <c r="I40" s="99">
        <f>'Company Analysis'!I41-'Company Analysis'!I40</f>
        <v>-7.0214043435830042E-2</v>
      </c>
      <c r="J40" s="99">
        <f>'Company Analysis'!J41-'Company Analysis'!J40</f>
        <v>-0.45504092300746057</v>
      </c>
      <c r="K40" s="99">
        <f>'Company Analysis'!K41-'Company Analysis'!K40</f>
        <v>0.69280095036177691</v>
      </c>
    </row>
    <row r="41" spans="1:16">
      <c r="A41" t="str">
        <f>ticker&amp;" - GDP Growth Difference (3Y, %, RHS)"</f>
        <v>BMY - GDP Growth Difference (3Y, %, RHS)</v>
      </c>
      <c r="B41" s="137"/>
      <c r="C41" s="99"/>
      <c r="D41" s="99"/>
      <c r="E41" s="99">
        <f>'Company Analysis'!E43-'Company Analysis'!E42</f>
        <v>0.1828899676492004</v>
      </c>
      <c r="F41" s="99">
        <f>'Company Analysis'!F43-'Company Analysis'!F42</f>
        <v>0.10111586388417337</v>
      </c>
      <c r="G41" s="99">
        <f>'Company Analysis'!G43-'Company Analysis'!G42</f>
        <v>0.21630736033859232</v>
      </c>
      <c r="H41" s="99">
        <f>'Company Analysis'!H43-'Company Analysis'!H42</f>
        <v>-0.11617278148544563</v>
      </c>
      <c r="I41" s="99">
        <f>'Company Analysis'!I43-'Company Analysis'!I42</f>
        <v>-0.15373304779396413</v>
      </c>
      <c r="J41" s="99">
        <f>'Company Analysis'!J43-'Company Analysis'!J42</f>
        <v>-0.43602309759712032</v>
      </c>
      <c r="K41" s="99">
        <f>'Company Analysis'!K43-'Company Analysis'!K42</f>
        <v>-5.617349312258757E-2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opLeftCell="B1" zoomScale="110" zoomScaleNormal="110" workbookViewId="0">
      <selection activeCell="C5" sqref="C5"/>
    </sheetView>
  </sheetViews>
  <sheetFormatPr defaultColWidth="9.1328125" defaultRowHeight="14.25"/>
  <cols>
    <col min="1" max="1" width="4.73046875" style="77" bestFit="1" customWidth="1"/>
    <col min="2" max="2" width="14.3984375" style="77" bestFit="1" customWidth="1"/>
    <col min="3" max="3" width="9.265625" style="77" bestFit="1" customWidth="1"/>
    <col min="4" max="4" width="12.265625" style="77" bestFit="1" customWidth="1"/>
    <col min="5" max="7" width="12.265625" style="77" customWidth="1"/>
    <col min="8" max="8" width="16.1328125" style="77" bestFit="1" customWidth="1"/>
    <col min="9" max="10" width="12.265625" style="77" customWidth="1"/>
    <col min="11" max="11" width="10.86328125" style="77" bestFit="1" customWidth="1"/>
    <col min="12" max="12" width="10.59765625" style="77" bestFit="1" customWidth="1"/>
    <col min="13" max="14" width="9.1328125" style="77"/>
    <col min="15" max="15" width="13.86328125" style="77" bestFit="1" customWidth="1"/>
    <col min="16" max="16384" width="9.1328125" style="77"/>
  </cols>
  <sheetData>
    <row r="1" spans="1:15">
      <c r="A1" s="77" t="s">
        <v>100</v>
      </c>
      <c r="B1" s="78">
        <f ca="1">MAX(C5:C12)+10</f>
        <v>65</v>
      </c>
      <c r="D1" s="77" t="s">
        <v>101</v>
      </c>
      <c r="E1" s="77">
        <v>5</v>
      </c>
    </row>
    <row r="2" spans="1:15">
      <c r="A2" s="77" t="s">
        <v>102</v>
      </c>
      <c r="B2" s="78">
        <f ca="1">MIN(C5:C12)-10</f>
        <v>6</v>
      </c>
    </row>
    <row r="4" spans="1:15" s="79" customFormat="1" ht="11.65">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1.65">
      <c r="A5" s="82"/>
      <c r="B5" s="88" t="str">
        <f>'Valuation Model'!I2</f>
        <v>-2% | 17% | -10%</v>
      </c>
      <c r="C5" s="89">
        <f ca="1">'Valuation Model'!K2</f>
        <v>16</v>
      </c>
      <c r="D5" s="84">
        <f t="shared" ref="D5:D12" ca="1" si="0">IF(ABS(INDEX($K$6:$K$55,MATCH(C5,$K$6:$K$55,1)+IF(C5&gt;=MAX($K$6:$K$55),0,1),1)-C5)&lt;ABS(INDEX($K$6:$K$55,MATCH(C5,$K$6:$K$55,1))-C5),INDEX($K$6:$K$55,MATCH(C5,$K$6:$K$55,1)+IF(C5&gt;=MAX($K$6:$K$55),0,1),1),INDEX($K$6:$K$55,MATCH(C5,$K$6:$K$55,1)))</f>
        <v>15.599999999999998</v>
      </c>
      <c r="E5" s="85">
        <f>IF(H5="N",5%/COUNTIF('Valuation Model'!$L$2:$L$9,"No"),IF(G5&lt;&gt;"Y",50%/(COUNTIF('Valuation Model'!$L$2:$L$9,"Yes")-COUNTIF(G$5:G$12,"Y")),45%/(COUNTIF(G$5:G$12,"Y"))))</f>
        <v>6.25E-2</v>
      </c>
      <c r="F5" s="79" t="s">
        <v>51</v>
      </c>
      <c r="G5" s="79" t="str">
        <f>IF(LEFT('Valuation Model'!L2,1)="M","Y","")</f>
        <v/>
      </c>
      <c r="H5" s="79" t="str">
        <f>IF(LEFT('Valuation Model'!L2,1)="M","Y",LEFT('Valuation Model'!L2,1))</f>
        <v>Y</v>
      </c>
      <c r="J5" s="86">
        <v>0</v>
      </c>
      <c r="K5" s="84">
        <f t="shared" ref="K5:K55" ca="1" si="1">$B$1*J5</f>
        <v>0</v>
      </c>
      <c r="L5" s="87" t="str">
        <f t="shared" ref="L5:L55" ca="1" si="2">IFERROR(IF(VLOOKUP(K5,$D$5:$F$16,3,FALSE)="Scenario",IF(VLOOKUP(K5,$D$5:$H$16,5,FALSE)="Y",VLOOKUP(K5,$D$5:$E$16,2,0),""),IF(VLOOKUP(K5,$D$5:$F$16,3,FALSE)&lt;&gt;"Scenario","")),"")</f>
        <v/>
      </c>
      <c r="M5" s="85" t="str">
        <f t="shared" ref="M5:M55" ca="1" si="3">IFERROR(IF(VLOOKUP(K5,$D$5:$F$16,3,FALSE)="Scenario",IF(VLOOKUP(K5,$D$5:$H$16,5,FALSE)="N",VLOOKUP(K5,$D$5:$E$16,2,0),""),IF(VLOOKUP(K5,$D$5:$F$16,3,FALSE)&lt;&gt;"Scenario","")),"")</f>
        <v/>
      </c>
      <c r="N5" s="84">
        <f ca="1">LN('Histogram Data'!K5+0.01)-LN(price)</f>
        <v>-8.6119577678606589</v>
      </c>
      <c r="O5" s="84">
        <f ca="1">_xlfn.NORM.DIST(N5,0+0.03^3,AVERAGE('Valuation Model'!$K$22:$L$22),FALSE)/scaling</f>
        <v>7.8256953798583577E-253</v>
      </c>
    </row>
    <row r="6" spans="1:15" s="79" customFormat="1" ht="11.65">
      <c r="A6" s="82"/>
      <c r="B6" s="88" t="str">
        <f>'Valuation Model'!I4</f>
        <v>-2% | 22% | -10%</v>
      </c>
      <c r="C6" s="89">
        <f ca="1">'Valuation Model'!K4</f>
        <v>21</v>
      </c>
      <c r="D6" s="84">
        <f t="shared" ca="1" si="0"/>
        <v>20.8</v>
      </c>
      <c r="E6" s="85">
        <f>IF(H6="N",5%/COUNTIF('Valuation Model'!$L$2:$L$9,"No"),IF(G6&lt;&gt;"Y",50%/(COUNTIF('Valuation Model'!$L$2:$L$9,"Yes")-COUNTIF(G$5:G$12,"Y")),45%/(COUNTIF(G$5:G$12,"Y"))))</f>
        <v>6.25E-2</v>
      </c>
      <c r="F6" s="79" t="s">
        <v>51</v>
      </c>
      <c r="G6" s="79" t="str">
        <f>IF(LEFT('Valuation Model'!L4,1)="M","Y","")</f>
        <v/>
      </c>
      <c r="H6" s="79" t="str">
        <f>IF(LEFT('Valuation Model'!L4,1)="M","Y",LEFT('Valuation Model'!L4,1))</f>
        <v>Y</v>
      </c>
      <c r="J6" s="86">
        <v>0.02</v>
      </c>
      <c r="K6" s="84">
        <f t="shared" ca="1" si="1"/>
        <v>1.3</v>
      </c>
      <c r="L6" s="87" t="str">
        <f t="shared" ca="1" si="2"/>
        <v/>
      </c>
      <c r="M6" s="85" t="str">
        <f t="shared" ca="1" si="3"/>
        <v/>
      </c>
      <c r="N6" s="84">
        <f ca="1">LN('Histogram Data'!K6+0.01)-LN(price)</f>
        <v>-3.7367604446595086</v>
      </c>
      <c r="O6" s="84">
        <f ca="1">_xlfn.NORM.DIST(N6,0+0.03^3,AVERAGE('Valuation Model'!$K$22:$L$22),FALSE)/scaling</f>
        <v>1.3430465426213553E-48</v>
      </c>
    </row>
    <row r="7" spans="1:15" s="79" customFormat="1" ht="11.65">
      <c r="A7" s="82"/>
      <c r="B7" s="88" t="str">
        <f>'Valuation Model'!I6</f>
        <v>5% | 17% | -10%</v>
      </c>
      <c r="C7" s="89">
        <f ca="1">'Valuation Model'!K6</f>
        <v>22</v>
      </c>
      <c r="D7" s="84">
        <f t="shared" ca="1" si="0"/>
        <v>22.1</v>
      </c>
      <c r="E7" s="85">
        <f>IF(H7="N",5%/COUNTIF('Valuation Model'!$L$2:$L$9,"No"),IF(G7&lt;&gt;"Y",50%/(COUNTIF('Valuation Model'!$L$2:$L$9,"Yes")-COUNTIF(G$5:G$12,"Y")),45%/(COUNTIF(G$5:G$12,"Y"))))</f>
        <v>6.25E-2</v>
      </c>
      <c r="F7" s="79" t="s">
        <v>51</v>
      </c>
      <c r="G7" s="79" t="str">
        <f>IF(LEFT('Valuation Model'!L3,1)="M","Y","")</f>
        <v/>
      </c>
      <c r="H7" s="79" t="str">
        <f>IF(LEFT('Valuation Model'!L6,1)="M","Y",LEFT('Valuation Model'!L6,1))</f>
        <v>Y</v>
      </c>
      <c r="J7" s="86">
        <f>J6+2%</f>
        <v>0.04</v>
      </c>
      <c r="K7" s="84">
        <f t="shared" ca="1" si="1"/>
        <v>2.6</v>
      </c>
      <c r="L7" s="87" t="str">
        <f t="shared" ca="1" si="2"/>
        <v/>
      </c>
      <c r="M7" s="85" t="str">
        <f t="shared" ca="1" si="3"/>
        <v/>
      </c>
      <c r="N7" s="84">
        <f ca="1">LN('Histogram Data'!K7+0.01)-LN(price)</f>
        <v>-3.047437360537967</v>
      </c>
      <c r="O7" s="84">
        <f ca="1">_xlfn.NORM.DIST(N7,0+0.03^3,AVERAGE('Valuation Model'!$K$22:$L$22),FALSE)/scaling</f>
        <v>9.8405008831078754E-33</v>
      </c>
    </row>
    <row r="8" spans="1:15" s="79" customFormat="1" ht="11.65">
      <c r="A8" s="82"/>
      <c r="B8" s="88" t="str">
        <f>'Valuation Model'!I3</f>
        <v>-2% | 17% | 10%</v>
      </c>
      <c r="C8" s="89">
        <f ca="1">'Valuation Model'!K3</f>
        <v>31</v>
      </c>
      <c r="D8" s="84">
        <f t="shared" ca="1" si="0"/>
        <v>31.20000000000001</v>
      </c>
      <c r="E8" s="85">
        <f>IF(H8="N",5%/COUNTIF('Valuation Model'!$L$2:$L$9,"No"),IF(G8&lt;&gt;"Y",50%/(COUNTIF('Valuation Model'!$L$2:$L$9,"Yes")-COUNTIF(G$5:G$12,"Y")),45%/(COUNTIF(G$5:G$12,"Y"))))</f>
        <v>6.25E-2</v>
      </c>
      <c r="F8" s="79" t="s">
        <v>51</v>
      </c>
      <c r="G8" s="79" t="str">
        <f>IF(LEFT('Valuation Model'!L6,1)="M","Y","")</f>
        <v/>
      </c>
      <c r="H8" s="79" t="str">
        <f>IF(LEFT('Valuation Model'!L3,1)="M","Y",LEFT('Valuation Model'!L3,1))</f>
        <v>Y</v>
      </c>
      <c r="J8" s="86">
        <f t="shared" ref="J8:J55" si="4">J7+2%</f>
        <v>0.06</v>
      </c>
      <c r="K8" s="84">
        <f t="shared" ca="1" si="1"/>
        <v>3.9</v>
      </c>
      <c r="L8" s="87" t="str">
        <f t="shared" ca="1" si="2"/>
        <v/>
      </c>
      <c r="M8" s="85" t="str">
        <f t="shared" ca="1" si="3"/>
        <v/>
      </c>
      <c r="N8" s="84">
        <f ca="1">LN('Histogram Data'!K8+0.01)-LN(price)</f>
        <v>-2.6432502078752949</v>
      </c>
      <c r="O8" s="84">
        <f ca="1">_xlfn.NORM.DIST(N8,0+0.03^3,AVERAGE('Valuation Model'!$K$22:$L$22),FALSE)/scaling</f>
        <v>6.2527596592057848E-25</v>
      </c>
    </row>
    <row r="9" spans="1:15" s="79" customFormat="1" ht="11.65">
      <c r="A9" s="82"/>
      <c r="B9" s="88" t="str">
        <f>'Valuation Model'!I8</f>
        <v>5% | 22% | -10%</v>
      </c>
      <c r="C9" s="89">
        <f ca="1">'Valuation Model'!K8</f>
        <v>28</v>
      </c>
      <c r="D9" s="84">
        <f t="shared" ca="1" si="0"/>
        <v>28.600000000000009</v>
      </c>
      <c r="E9" s="85">
        <f>IF(H9="N",5%/COUNTIF('Valuation Model'!$L$2:$L$9,"No"),IF(G9&lt;&gt;"Y",50%/(COUNTIF('Valuation Model'!$L$2:$L$9,"Yes")-COUNTIF(G$5:G$12,"Y")),45%/(COUNTIF(G$5:G$12,"Y"))))</f>
        <v>6.25E-2</v>
      </c>
      <c r="F9" s="79" t="s">
        <v>51</v>
      </c>
      <c r="G9" s="79" t="str">
        <f>IF(LEFT('Valuation Model'!L5,1)="M","Y","")</f>
        <v/>
      </c>
      <c r="H9" s="79" t="str">
        <f>IF(LEFT('Valuation Model'!L8,1)="M","Y",LEFT('Valuation Model'!L8,1))</f>
        <v>Y</v>
      </c>
      <c r="J9" s="86">
        <f t="shared" si="4"/>
        <v>0.08</v>
      </c>
      <c r="K9" s="84">
        <f t="shared" ca="1" si="1"/>
        <v>5.2</v>
      </c>
      <c r="L9" s="87" t="str">
        <f t="shared" ca="1" si="2"/>
        <v/>
      </c>
      <c r="M9" s="85" t="str">
        <f t="shared" ca="1" si="3"/>
        <v/>
      </c>
      <c r="N9" s="84">
        <f ca="1">LN('Histogram Data'!K9+0.01)-LN(price)</f>
        <v>-2.3562077261072933</v>
      </c>
      <c r="O9" s="84">
        <f ca="1">_xlfn.NORM.DIST(N9,0+0.03^3,AVERAGE('Valuation Model'!$K$22:$L$22),FALSE)/scaling</f>
        <v>4.6182853391990109E-20</v>
      </c>
    </row>
    <row r="10" spans="1:15" s="79" customFormat="1" ht="11.65">
      <c r="A10" s="82"/>
      <c r="B10" s="88" t="str">
        <f>'Valuation Model'!I5</f>
        <v>-2% | 22% | 10%</v>
      </c>
      <c r="C10" s="89">
        <f ca="1">'Valuation Model'!K5</f>
        <v>41</v>
      </c>
      <c r="D10" s="84">
        <f t="shared" ca="1" si="0"/>
        <v>41.600000000000016</v>
      </c>
      <c r="E10" s="85">
        <f>IF(H10="N",5%/COUNTIF('Valuation Model'!$L$2:$L$9,"No"),IF(G10&lt;&gt;"Y",50%/(COUNTIF('Valuation Model'!$L$2:$L$9,"Yes")-COUNTIF(G$5:G$12,"Y")),45%/(COUNTIF(G$5:G$12,"Y"))))</f>
        <v>6.25E-2</v>
      </c>
      <c r="F10" s="79" t="s">
        <v>51</v>
      </c>
      <c r="G10" s="79" t="str">
        <f>IF(LEFT('Valuation Model'!L8,1)="M","Y","")</f>
        <v/>
      </c>
      <c r="H10" s="79" t="str">
        <f>IF(LEFT('Valuation Model'!L5,1)="M","Y",LEFT('Valuation Model'!L5,1))</f>
        <v>Y</v>
      </c>
      <c r="J10" s="86">
        <f t="shared" si="4"/>
        <v>0.1</v>
      </c>
      <c r="K10" s="84">
        <f t="shared" ca="1" si="1"/>
        <v>6.5</v>
      </c>
      <c r="L10" s="87" t="str">
        <f t="shared" ca="1" si="2"/>
        <v/>
      </c>
      <c r="M10" s="85" t="str">
        <f t="shared" ca="1" si="3"/>
        <v/>
      </c>
      <c r="N10" s="84">
        <f ca="1">LN('Histogram Data'!K10+0.01)-LN(price)</f>
        <v>-2.133448125652091</v>
      </c>
      <c r="O10" s="84">
        <f ca="1">_xlfn.NORM.DIST(N10,0+0.03^3,AVERAGE('Valuation Model'!$K$22:$L$22),FALSE)/scaling</f>
        <v>1.1411866828052064E-16</v>
      </c>
    </row>
    <row r="11" spans="1:15" s="79" customFormat="1" ht="11.65">
      <c r="A11" s="82"/>
      <c r="B11" s="88" t="str">
        <f>'Valuation Model'!I7</f>
        <v>5% | 17% | 10%</v>
      </c>
      <c r="C11" s="89">
        <f ca="1">'Valuation Model'!K7</f>
        <v>43</v>
      </c>
      <c r="D11" s="84">
        <f t="shared" ca="1" si="0"/>
        <v>42.90000000000002</v>
      </c>
      <c r="E11" s="85">
        <f>IF(H11="N",5%/COUNTIF('Valuation Model'!$L$2:$L$9,"No"),IF(G11&lt;&gt;"Y",50%/(COUNTIF('Valuation Model'!$L$2:$L$9,"Yes")-COUNTIF(G$5:G$12,"Y")),45%/(COUNTIF(G$5:G$12,"Y"))))</f>
        <v>6.25E-2</v>
      </c>
      <c r="F11" s="79" t="s">
        <v>51</v>
      </c>
      <c r="G11" s="79" t="str">
        <f>IF(LEFT('Valuation Model'!L7,1)="M","Y","")</f>
        <v/>
      </c>
      <c r="H11" s="79" t="str">
        <f>IF(LEFT('Valuation Model'!L7,1)="M","Y",LEFT('Valuation Model'!L7,1))</f>
        <v>Y</v>
      </c>
      <c r="J11" s="86">
        <f t="shared" si="4"/>
        <v>0.12000000000000001</v>
      </c>
      <c r="K11" s="84">
        <f t="shared" ca="1" si="1"/>
        <v>7.8000000000000007</v>
      </c>
      <c r="L11" s="87" t="str">
        <f t="shared" ca="1" si="2"/>
        <v/>
      </c>
      <c r="M11" s="85" t="str">
        <f t="shared" ca="1" si="3"/>
        <v/>
      </c>
      <c r="N11" s="84">
        <f ca="1">LN('Histogram Data'!K11+0.01)-LN(price)</f>
        <v>-1.9513826180209741</v>
      </c>
      <c r="O11" s="84">
        <f ca="1">_xlfn.NORM.DIST(N11,0+0.03^3,AVERAGE('Valuation Model'!$K$22:$L$22),FALSE)/scaling</f>
        <v>3.8051962954550378E-14</v>
      </c>
    </row>
    <row r="12" spans="1:15" s="79" customFormat="1" ht="11.65">
      <c r="A12" s="82"/>
      <c r="B12" s="88" t="str">
        <f>'Valuation Model'!I9</f>
        <v>5% | 22% | 10%</v>
      </c>
      <c r="C12" s="89">
        <f ca="1">'Valuation Model'!K9</f>
        <v>55</v>
      </c>
      <c r="D12" s="84">
        <f t="shared" ca="1" si="0"/>
        <v>54.60000000000003</v>
      </c>
      <c r="E12" s="85">
        <f>IF(H12="N",5%/COUNTIF('Valuation Model'!$L$2:$L$9,"No"),IF(G12&lt;&gt;"Y",50%/(COUNTIF('Valuation Model'!$L$2:$L$9,"Yes")-COUNTIF(G$5:G$12,"Y")),45%/(COUNTIF(G$5:G$12,"Y"))))</f>
        <v>6.25E-2</v>
      </c>
      <c r="F12" s="79" t="s">
        <v>51</v>
      </c>
      <c r="G12" s="79" t="str">
        <f>IF(LEFT('Valuation Model'!L9,1)="M","Y","")</f>
        <v/>
      </c>
      <c r="H12" s="79" t="str">
        <f>IF(LEFT('Valuation Model'!L9,1)="M","Y",LEFT('Valuation Model'!L9,1))</f>
        <v>Y</v>
      </c>
      <c r="J12" s="86">
        <f t="shared" si="4"/>
        <v>0.14000000000000001</v>
      </c>
      <c r="K12" s="84">
        <f t="shared" ca="1" si="1"/>
        <v>9.1000000000000014</v>
      </c>
      <c r="L12" s="87" t="str">
        <f t="shared" ca="1" si="2"/>
        <v/>
      </c>
      <c r="M12" s="85" t="str">
        <f t="shared" ca="1" si="3"/>
        <v/>
      </c>
      <c r="N12" s="84">
        <f ca="1">LN('Histogram Data'!K12+0.01)-LN(price)</f>
        <v>-1.7974148706007016</v>
      </c>
      <c r="O12" s="84">
        <f ca="1">_xlfn.NORM.DIST(N12,0+0.03^3,AVERAGE('Valuation Model'!$K$22:$L$22),FALSE)/scaling</f>
        <v>3.4554603344559977E-12</v>
      </c>
    </row>
    <row r="13" spans="1:15" s="79" customFormat="1" ht="11.65">
      <c r="A13" s="82"/>
      <c r="J13" s="86">
        <f t="shared" si="4"/>
        <v>0.16</v>
      </c>
      <c r="K13" s="84">
        <f t="shared" ca="1" si="1"/>
        <v>10.4</v>
      </c>
      <c r="L13" s="87" t="str">
        <f t="shared" ca="1" si="2"/>
        <v/>
      </c>
      <c r="M13" s="85" t="str">
        <f t="shared" ca="1" si="3"/>
        <v/>
      </c>
      <c r="N13" s="84">
        <f ca="1">LN('Histogram Data'!K13+0.01)-LN(price)</f>
        <v>-1.6640206992456914</v>
      </c>
      <c r="O13" s="84">
        <f ca="1">_xlfn.NORM.DIST(N13,0+0.03^3,AVERAGE('Valuation Model'!$K$22:$L$22),FALSE)/scaling</f>
        <v>1.2733380307960664E-10</v>
      </c>
    </row>
    <row r="14" spans="1:15" s="79" customFormat="1" ht="11.65">
      <c r="A14" s="82"/>
      <c r="J14" s="86">
        <f t="shared" si="4"/>
        <v>0.18</v>
      </c>
      <c r="K14" s="84">
        <f t="shared" ca="1" si="1"/>
        <v>11.7</v>
      </c>
      <c r="L14" s="87" t="str">
        <f t="shared" ca="1" si="2"/>
        <v/>
      </c>
      <c r="M14" s="85" t="str">
        <f t="shared" ca="1" si="3"/>
        <v/>
      </c>
      <c r="N14" s="84">
        <f ca="1">LN('Histogram Data'!K14+0.01)-LN(price)</f>
        <v>-1.5463444042629431</v>
      </c>
      <c r="O14" s="84">
        <f ca="1">_xlfn.NORM.DIST(N14,0+0.03^3,AVERAGE('Valuation Model'!$K$22:$L$22),FALSE)/scaling</f>
        <v>2.4354410559725314E-9</v>
      </c>
    </row>
    <row r="15" spans="1:15" s="79" customFormat="1" ht="11.65">
      <c r="A15" s="82"/>
      <c r="J15" s="86">
        <f t="shared" si="4"/>
        <v>0.19999999999999998</v>
      </c>
      <c r="K15" s="84">
        <f t="shared" ca="1" si="1"/>
        <v>12.999999999999998</v>
      </c>
      <c r="L15" s="87" t="str">
        <f t="shared" ca="1" si="2"/>
        <v/>
      </c>
      <c r="M15" s="85" t="str">
        <f t="shared" ca="1" si="3"/>
        <v/>
      </c>
      <c r="N15" s="84">
        <f ca="1">LN('Histogram Data'!K15+0.01)-LN(price)</f>
        <v>-1.4410692893481549</v>
      </c>
      <c r="O15" s="84">
        <f ca="1">_xlfn.NORM.DIST(N15,0+0.03^3,AVERAGE('Valuation Model'!$K$22:$L$22),FALSE)/scaling</f>
        <v>2.8413391224278595E-8</v>
      </c>
    </row>
    <row r="16" spans="1:15" s="79" customFormat="1" ht="11.65">
      <c r="A16" s="82"/>
      <c r="C16" s="83"/>
      <c r="D16" s="84"/>
      <c r="E16" s="85"/>
      <c r="J16" s="86">
        <f t="shared" si="4"/>
        <v>0.21999999999999997</v>
      </c>
      <c r="K16" s="84">
        <f t="shared" ca="1" si="1"/>
        <v>14.299999999999999</v>
      </c>
      <c r="L16" s="87" t="str">
        <f t="shared" ca="1" si="2"/>
        <v/>
      </c>
      <c r="M16" s="85" t="str">
        <f t="shared" ca="1" si="3"/>
        <v/>
      </c>
      <c r="N16" s="84">
        <f ca="1">LN('Histogram Data'!K16+0.01)-LN(price)</f>
        <v>-1.3458289883042096</v>
      </c>
      <c r="O16" s="84">
        <f ca="1">_xlfn.NORM.DIST(N16,0+0.03^3,AVERAGE('Valuation Model'!$K$22:$L$22),FALSE)/scaling</f>
        <v>2.2593384167392823E-7</v>
      </c>
    </row>
    <row r="17" spans="4:15" s="79" customFormat="1" ht="11.65">
      <c r="J17" s="86">
        <f t="shared" si="4"/>
        <v>0.23999999999999996</v>
      </c>
      <c r="K17" s="84">
        <f t="shared" ca="1" si="1"/>
        <v>15.599999999999998</v>
      </c>
      <c r="L17" s="87">
        <f t="shared" ca="1" si="2"/>
        <v>6.25E-2</v>
      </c>
      <c r="M17" s="85" t="str">
        <f t="shared" ca="1" si="3"/>
        <v/>
      </c>
      <c r="N17" s="84">
        <f ca="1">LN('Histogram Data'!K17+0.01)-LN(price)</f>
        <v>-1.2588758473452284</v>
      </c>
      <c r="O17" s="84">
        <f ca="1">_xlfn.NORM.DIST(N17,0+0.03^3,AVERAGE('Valuation Model'!$K$22:$L$22),FALSE)/scaling</f>
        <v>1.3253897931108101E-6</v>
      </c>
    </row>
    <row r="18" spans="4:15" s="79" customFormat="1" ht="11.65">
      <c r="D18" s="86"/>
      <c r="J18" s="86">
        <f t="shared" si="4"/>
        <v>0.25999999999999995</v>
      </c>
      <c r="K18" s="84">
        <f t="shared" ca="1" si="1"/>
        <v>16.899999999999999</v>
      </c>
      <c r="L18" s="87" t="str">
        <f t="shared" ca="1" si="2"/>
        <v/>
      </c>
      <c r="M18" s="85" t="str">
        <f t="shared" ca="1" si="3"/>
        <v/>
      </c>
      <c r="N18" s="84">
        <f ca="1">LN('Histogram Data'!K18+0.01)-LN(price)</f>
        <v>-1.1788824189620799</v>
      </c>
      <c r="O18" s="84">
        <f ca="1">_xlfn.NORM.DIST(N18,0+0.03^3,AVERAGE('Valuation Model'!$K$22:$L$22),FALSE)/scaling</f>
        <v>6.0799708031363192E-6</v>
      </c>
    </row>
    <row r="19" spans="4:15" s="79" customFormat="1" ht="11.65">
      <c r="D19" s="90"/>
      <c r="J19" s="86">
        <f t="shared" si="4"/>
        <v>0.27999999999999997</v>
      </c>
      <c r="K19" s="84">
        <f t="shared" ca="1" si="1"/>
        <v>18.2</v>
      </c>
      <c r="L19" s="87" t="str">
        <f t="shared" ca="1" si="2"/>
        <v/>
      </c>
      <c r="M19" s="85" t="str">
        <f t="shared" ca="1" si="3"/>
        <v/>
      </c>
      <c r="N19" s="84">
        <f ca="1">LN('Histogram Data'!K19+0.01)-LN(price)</f>
        <v>-1.1048166881330523</v>
      </c>
      <c r="O19" s="84">
        <f ca="1">_xlfn.NORM.DIST(N19,0+0.03^3,AVERAGE('Valuation Model'!$K$22:$L$22),FALSE)/scaling</f>
        <v>2.2789083133136546E-5</v>
      </c>
    </row>
    <row r="20" spans="4:15" s="79" customFormat="1" ht="11.65">
      <c r="J20" s="86">
        <f t="shared" si="4"/>
        <v>0.3</v>
      </c>
      <c r="K20" s="84">
        <f t="shared" ca="1" si="1"/>
        <v>19.5</v>
      </c>
      <c r="L20" s="87" t="str">
        <f t="shared" ca="1" si="2"/>
        <v/>
      </c>
      <c r="M20" s="85" t="str">
        <f t="shared" ca="1" si="3"/>
        <v/>
      </c>
      <c r="N20" s="84">
        <f ca="1">LN('Histogram Data'!K20+0.01)-LN(price)</f>
        <v>-1.0358604272375489</v>
      </c>
      <c r="O20" s="84">
        <f ca="1">_xlfn.NORM.DIST(N20,0+0.03^3,AVERAGE('Valuation Model'!$K$22:$L$22),FALSE)/scaling</f>
        <v>7.2195362415805871E-5</v>
      </c>
    </row>
    <row r="21" spans="4:15" s="79" customFormat="1" ht="11.65">
      <c r="J21" s="86">
        <f t="shared" si="4"/>
        <v>0.32</v>
      </c>
      <c r="K21" s="84">
        <f t="shared" ca="1" si="1"/>
        <v>20.8</v>
      </c>
      <c r="L21" s="87">
        <f t="shared" ca="1" si="2"/>
        <v>6.25E-2</v>
      </c>
      <c r="M21" s="85" t="str">
        <f t="shared" ca="1" si="3"/>
        <v/>
      </c>
      <c r="N21" s="84">
        <f ca="1">LN('Histogram Data'!K21+0.01)-LN(price)</f>
        <v>-0.97135394146702581</v>
      </c>
      <c r="O21" s="84">
        <f ca="1">_xlfn.NORM.DIST(N21,0+0.03^3,AVERAGE('Valuation Model'!$K$22:$L$22),FALSE)/scaling</f>
        <v>1.9850422077566658E-4</v>
      </c>
    </row>
    <row r="22" spans="4:15" s="79" customFormat="1" ht="11.65">
      <c r="J22" s="86">
        <f t="shared" si="4"/>
        <v>0.34</v>
      </c>
      <c r="K22" s="84">
        <f t="shared" ca="1" si="1"/>
        <v>22.1</v>
      </c>
      <c r="L22" s="87">
        <f t="shared" ca="1" si="2"/>
        <v>6.25E-2</v>
      </c>
      <c r="M22" s="85" t="str">
        <f t="shared" ca="1" si="3"/>
        <v/>
      </c>
      <c r="N22" s="84">
        <f ca="1">LN('Histogram Data'!K22+0.01)-LN(price)</f>
        <v>-0.91075758700321385</v>
      </c>
      <c r="O22" s="84">
        <f ca="1">_xlfn.NORM.DIST(N22,0+0.03^3,AVERAGE('Valuation Model'!$K$22:$L$22),FALSE)/scaling</f>
        <v>4.8382303809714028E-4</v>
      </c>
    </row>
    <row r="23" spans="4:15" s="79" customFormat="1" ht="11.65">
      <c r="J23" s="86">
        <f t="shared" si="4"/>
        <v>0.36000000000000004</v>
      </c>
      <c r="K23" s="84">
        <f t="shared" ca="1" si="1"/>
        <v>23.400000000000002</v>
      </c>
      <c r="L23" s="87" t="str">
        <f t="shared" ca="1" si="2"/>
        <v/>
      </c>
      <c r="M23" s="85" t="str">
        <f t="shared" ca="1" si="3"/>
        <v/>
      </c>
      <c r="N23" s="84">
        <f ca="1">LN('Histogram Data'!K23+0.01)-LN(price)</f>
        <v>-0.85362430036974946</v>
      </c>
      <c r="O23" s="84">
        <f ca="1">_xlfn.NORM.DIST(N23,0+0.03^3,AVERAGE('Valuation Model'!$K$22:$L$22),FALSE)/scaling</f>
        <v>1.0633410318505914E-3</v>
      </c>
    </row>
    <row r="24" spans="4:15" s="79" customFormat="1" ht="11.65">
      <c r="J24" s="86">
        <f t="shared" si="4"/>
        <v>0.38000000000000006</v>
      </c>
      <c r="K24" s="84">
        <f t="shared" ca="1" si="1"/>
        <v>24.700000000000003</v>
      </c>
      <c r="L24" s="87" t="str">
        <f t="shared" ca="1" si="2"/>
        <v/>
      </c>
      <c r="M24" s="85" t="str">
        <f t="shared" ca="1" si="3"/>
        <v/>
      </c>
      <c r="N24" s="84">
        <f ca="1">LN('Histogram Data'!K24+0.01)-LN(price)</f>
        <v>-0.79957956187204982</v>
      </c>
      <c r="O24" s="84">
        <f ca="1">_xlfn.NORM.DIST(N24,0+0.03^3,AVERAGE('Valuation Model'!$K$22:$L$22),FALSE)/scaling</f>
        <v>2.1369161230058464E-3</v>
      </c>
    </row>
    <row r="25" spans="4:15" s="79" customFormat="1" ht="11.65">
      <c r="J25" s="86">
        <f t="shared" si="4"/>
        <v>0.40000000000000008</v>
      </c>
      <c r="K25" s="84">
        <f t="shared" ca="1" si="1"/>
        <v>26.000000000000004</v>
      </c>
      <c r="L25" s="87" t="str">
        <f t="shared" ca="1" si="2"/>
        <v/>
      </c>
      <c r="M25" s="85" t="str">
        <f t="shared" ca="1" si="3"/>
        <v/>
      </c>
      <c r="N25" s="84">
        <f ca="1">LN('Histogram Data'!K25+0.01)-LN(price)</f>
        <v>-0.74830650241200836</v>
      </c>
      <c r="O25" s="84">
        <f ca="1">_xlfn.NORM.DIST(N25,0+0.03^3,AVERAGE('Valuation Model'!$K$22:$L$22),FALSE)/scaling</f>
        <v>3.9722635518863996E-3</v>
      </c>
    </row>
    <row r="26" spans="4:15" s="79" customFormat="1" ht="11.65">
      <c r="J26" s="86">
        <f t="shared" si="4"/>
        <v>0.4200000000000001</v>
      </c>
      <c r="K26" s="84">
        <f t="shared" ca="1" si="1"/>
        <v>27.300000000000008</v>
      </c>
      <c r="L26" s="87" t="str">
        <f t="shared" ca="1" si="2"/>
        <v/>
      </c>
      <c r="M26" s="85" t="str">
        <f t="shared" ca="1" si="3"/>
        <v/>
      </c>
      <c r="N26" s="84">
        <f ca="1">LN('Histogram Data'!K26+0.01)-LN(price)</f>
        <v>-0.69953464638695495</v>
      </c>
      <c r="O26" s="84">
        <f ca="1">_xlfn.NORM.DIST(N26,0+0.03^3,AVERAGE('Valuation Model'!$K$22:$L$22),FALSE)/scaling</f>
        <v>6.8960597343999657E-3</v>
      </c>
    </row>
    <row r="27" spans="4:15" s="79" customFormat="1" ht="11.65">
      <c r="J27" s="86">
        <f t="shared" si="4"/>
        <v>0.44000000000000011</v>
      </c>
      <c r="K27" s="84">
        <f t="shared" ca="1" si="1"/>
        <v>28.600000000000009</v>
      </c>
      <c r="L27" s="87">
        <f t="shared" ca="1" si="2"/>
        <v>6.25E-2</v>
      </c>
      <c r="M27" s="85" t="str">
        <f t="shared" ca="1" si="3"/>
        <v/>
      </c>
      <c r="N27" s="84">
        <f ca="1">LN('Histogram Data'!K27+0.01)-LN(price)</f>
        <v>-0.65303127481054979</v>
      </c>
      <c r="O27" s="84">
        <f ca="1">_xlfn.NORM.DIST(N27,0+0.03^3,AVERAGE('Valuation Model'!$K$22:$L$22),FALSE)/scaling</f>
        <v>1.1271734090455602E-2</v>
      </c>
    </row>
    <row r="28" spans="4:15" s="79" customFormat="1" ht="11.65">
      <c r="J28" s="86">
        <f t="shared" si="4"/>
        <v>0.46000000000000013</v>
      </c>
      <c r="K28" s="84">
        <f t="shared" ca="1" si="1"/>
        <v>29.900000000000009</v>
      </c>
      <c r="L28" s="87" t="str">
        <f t="shared" ca="1" si="2"/>
        <v/>
      </c>
      <c r="M28" s="85" t="str">
        <f t="shared" ca="1" si="3"/>
        <v/>
      </c>
      <c r="N28" s="84">
        <f ca="1">LN('Histogram Data'!K28+0.01)-LN(price)</f>
        <v>-0.60859470923071202</v>
      </c>
      <c r="O28" s="84">
        <f ca="1">_xlfn.NORM.DIST(N28,0+0.03^3,AVERAGE('Valuation Model'!$K$22:$L$22),FALSE)/scaling</f>
        <v>1.7465757765339093E-2</v>
      </c>
    </row>
    <row r="29" spans="4:15" s="79" customFormat="1" ht="11.65">
      <c r="J29" s="86">
        <f t="shared" si="4"/>
        <v>0.48000000000000015</v>
      </c>
      <c r="K29" s="84">
        <f t="shared" ca="1" si="1"/>
        <v>31.20000000000001</v>
      </c>
      <c r="L29" s="87">
        <f t="shared" ca="1" si="2"/>
        <v>6.25E-2</v>
      </c>
      <c r="M29" s="85" t="str">
        <f t="shared" ca="1" si="3"/>
        <v/>
      </c>
      <c r="N29" s="84">
        <f ca="1">LN('Histogram Data'!K29+0.01)-LN(price)</f>
        <v>-0.56604902558988046</v>
      </c>
      <c r="O29" s="84">
        <f ca="1">_xlfn.NORM.DIST(N29,0+0.03^3,AVERAGE('Valuation Model'!$K$22:$L$22),FALSE)/scaling</f>
        <v>2.5806927813903847E-2</v>
      </c>
    </row>
    <row r="30" spans="4:15" s="79" customFormat="1" ht="11.65">
      <c r="J30" s="86">
        <f t="shared" si="4"/>
        <v>0.50000000000000011</v>
      </c>
      <c r="K30" s="84">
        <f t="shared" ca="1" si="1"/>
        <v>32.500000000000007</v>
      </c>
      <c r="L30" s="87" t="str">
        <f ca="1">L33</f>
        <v/>
      </c>
      <c r="M30" s="85" t="str">
        <f t="shared" ca="1" si="3"/>
        <v/>
      </c>
      <c r="N30" s="84">
        <f ca="1">LN('Histogram Data'!K30+0.01)-LN(price)</f>
        <v>-0.52523984755675457</v>
      </c>
      <c r="O30" s="84">
        <f ca="1">_xlfn.NORM.DIST(N30,0+0.03^3,AVERAGE('Valuation Model'!$K$22:$L$22),FALSE)/scaling</f>
        <v>3.6544761323377348E-2</v>
      </c>
    </row>
    <row r="31" spans="4:15" s="79" customFormat="1" ht="11.65">
      <c r="J31" s="86">
        <f t="shared" si="4"/>
        <v>0.52000000000000013</v>
      </c>
      <c r="K31" s="84">
        <f t="shared" ca="1" si="1"/>
        <v>33.800000000000011</v>
      </c>
      <c r="L31" s="87" t="str">
        <f t="shared" ca="1" si="2"/>
        <v/>
      </c>
      <c r="M31" s="85" t="str">
        <f t="shared" ca="1" si="3"/>
        <v/>
      </c>
      <c r="N31" s="84">
        <f ca="1">LN('Histogram Data'!K31+0.01)-LN(price)</f>
        <v>-0.48603096515277411</v>
      </c>
      <c r="O31" s="84">
        <f ca="1">_xlfn.NORM.DIST(N31,0+0.03^3,AVERAGE('Valuation Model'!$K$22:$L$22),FALSE)/scaling</f>
        <v>4.9813333669127671E-2</v>
      </c>
    </row>
    <row r="32" spans="4:15" s="79" customFormat="1" ht="11.65">
      <c r="J32" s="86">
        <f t="shared" si="4"/>
        <v>0.54000000000000015</v>
      </c>
      <c r="K32" s="84">
        <f t="shared" ca="1" si="1"/>
        <v>35.100000000000009</v>
      </c>
      <c r="L32" s="87" t="str">
        <f t="shared" ca="1" si="2"/>
        <v/>
      </c>
      <c r="M32" s="85" t="str">
        <f t="shared" ca="1" si="3"/>
        <v/>
      </c>
      <c r="N32" s="84">
        <f ca="1">LN('Histogram Data'!K32+0.01)-LN(price)</f>
        <v>-0.44830159169222794</v>
      </c>
      <c r="O32" s="84">
        <f ca="1">_xlfn.NORM.DIST(N32,0+0.03^3,AVERAGE('Valuation Model'!$K$22:$L$22),FALSE)/scaling</f>
        <v>6.5605821260776728E-2</v>
      </c>
    </row>
    <row r="33" spans="10:15" s="79" customFormat="1" ht="11.65">
      <c r="J33" s="86">
        <f t="shared" si="4"/>
        <v>0.56000000000000016</v>
      </c>
      <c r="K33" s="84">
        <f t="shared" ca="1" si="1"/>
        <v>36.400000000000013</v>
      </c>
      <c r="L33" s="87" t="str">
        <f t="shared" ca="1" si="2"/>
        <v/>
      </c>
      <c r="M33" s="85" t="str">
        <f t="shared" ca="1" si="3"/>
        <v/>
      </c>
      <c r="N33" s="84">
        <f ca="1">LN('Histogram Data'!K33+0.01)-LN(price)</f>
        <v>-0.41194411968522671</v>
      </c>
      <c r="O33" s="84">
        <f ca="1">_xlfn.NORM.DIST(N33,0+0.03^3,AVERAGE('Valuation Model'!$K$22:$L$22),FALSE)/scaling</f>
        <v>8.3763049046227139E-2</v>
      </c>
    </row>
    <row r="34" spans="10:15" s="79" customFormat="1" ht="11.65">
      <c r="J34" s="86">
        <f t="shared" si="4"/>
        <v>0.58000000000000018</v>
      </c>
      <c r="K34" s="84">
        <f t="shared" ca="1" si="1"/>
        <v>37.70000000000001</v>
      </c>
      <c r="L34" s="87" t="str">
        <f t="shared" ca="1" si="2"/>
        <v/>
      </c>
      <c r="M34" s="85" t="str">
        <f t="shared" ca="1" si="3"/>
        <v/>
      </c>
      <c r="N34" s="84">
        <f ca="1">LN('Histogram Data'!K34+0.01)-LN(price)</f>
        <v>-0.37686227060230282</v>
      </c>
      <c r="O34" s="84">
        <f ca="1">_xlfn.NORM.DIST(N34,0+0.03^3,AVERAGE('Valuation Model'!$K$22:$L$22),FALSE)/scaling</f>
        <v>0.10397703054423831</v>
      </c>
    </row>
    <row r="35" spans="10:15" s="79" customFormat="1" ht="11.65">
      <c r="J35" s="86">
        <f t="shared" si="4"/>
        <v>0.6000000000000002</v>
      </c>
      <c r="K35" s="84">
        <f t="shared" ca="1" si="1"/>
        <v>39.000000000000014</v>
      </c>
      <c r="L35" s="87" t="str">
        <f t="shared" ca="1" si="2"/>
        <v/>
      </c>
      <c r="M35" s="85" t="str">
        <f t="shared" ca="1" si="3"/>
        <v/>
      </c>
      <c r="N35" s="84">
        <f ca="1">LN('Histogram Data'!K35+0.01)-LN(price)</f>
        <v>-0.34296955835400356</v>
      </c>
      <c r="O35" s="84">
        <f ca="1">_xlfn.NORM.DIST(N35,0+0.03^3,AVERAGE('Valuation Model'!$K$22:$L$22),FALSE)/scaling</f>
        <v>0.12580832120237948</v>
      </c>
    </row>
    <row r="36" spans="10:15" s="79" customFormat="1" ht="11.65">
      <c r="J36" s="86">
        <f t="shared" si="4"/>
        <v>0.62000000000000022</v>
      </c>
      <c r="K36" s="84">
        <f t="shared" ca="1" si="1"/>
        <v>40.300000000000011</v>
      </c>
      <c r="L36" s="87" t="str">
        <f t="shared" ca="1" si="2"/>
        <v/>
      </c>
      <c r="M36" s="85" t="str">
        <f t="shared" ca="1" si="3"/>
        <v/>
      </c>
      <c r="N36" s="84">
        <f ca="1">LN('Histogram Data'!K36+0.01)-LN(price)</f>
        <v>-0.31018800474349417</v>
      </c>
      <c r="O36" s="84">
        <f ca="1">_xlfn.NORM.DIST(N36,0+0.03^3,AVERAGE('Valuation Model'!$K$22:$L$22),FALSE)/scaling</f>
        <v>0.14871434132047498</v>
      </c>
    </row>
    <row r="37" spans="10:15" s="79" customFormat="1" ht="11.65">
      <c r="J37" s="86">
        <f t="shared" si="4"/>
        <v>0.64000000000000024</v>
      </c>
      <c r="K37" s="84">
        <f t="shared" ca="1" si="1"/>
        <v>41.600000000000016</v>
      </c>
      <c r="L37" s="87">
        <f t="shared" ca="1" si="2"/>
        <v>6.25E-2</v>
      </c>
      <c r="M37" s="85" t="str">
        <f t="shared" ca="1" si="3"/>
        <v/>
      </c>
      <c r="N37" s="84">
        <f ca="1">LN('Histogram Data'!K37+0.01)-LN(price)</f>
        <v>-0.27844705887771859</v>
      </c>
      <c r="O37" s="84">
        <f ca="1">_xlfn.NORM.DIST(N37,0+0.03^3,AVERAGE('Valuation Model'!$K$22:$L$22),FALSE)/scaling</f>
        <v>0.1720848396892066</v>
      </c>
    </row>
    <row r="38" spans="10:15" s="79" customFormat="1" ht="11.65">
      <c r="J38" s="86">
        <f t="shared" si="4"/>
        <v>0.66000000000000025</v>
      </c>
      <c r="K38" s="84">
        <f t="shared" ca="1" si="1"/>
        <v>42.90000000000002</v>
      </c>
      <c r="L38" s="87">
        <f t="shared" ca="1" si="2"/>
        <v>6.25E-2</v>
      </c>
      <c r="M38" s="85" t="str">
        <f t="shared" ca="1" si="3"/>
        <v/>
      </c>
      <c r="N38" s="84">
        <f ca="1">LN('Histogram Data'!K38+0.01)-LN(price)</f>
        <v>-0.2476826828691352</v>
      </c>
      <c r="O38" s="84">
        <f ca="1">_xlfn.NORM.DIST(N38,0+0.03^3,AVERAGE('Valuation Model'!$K$22:$L$22),FALSE)/scaling</f>
        <v>0.19528037506543425</v>
      </c>
    </row>
    <row r="39" spans="10:15" s="79" customFormat="1" ht="11.65">
      <c r="J39" s="86">
        <f t="shared" si="4"/>
        <v>0.68000000000000027</v>
      </c>
      <c r="K39" s="84">
        <f t="shared" ca="1" si="1"/>
        <v>44.200000000000017</v>
      </c>
      <c r="L39" s="87" t="str">
        <f t="shared" ca="1" si="2"/>
        <v/>
      </c>
      <c r="M39" s="85" t="str">
        <f t="shared" ca="1" si="3"/>
        <v/>
      </c>
      <c r="N39" s="84">
        <f ca="1">LN('Histogram Data'!K39+0.01)-LN(price)</f>
        <v>-0.21783657403441659</v>
      </c>
      <c r="O39" s="84">
        <f ca="1">_xlfn.NORM.DIST(N39,0+0.03^3,AVERAGE('Valuation Model'!$K$22:$L$22),FALSE)/scaling</f>
        <v>0.21766998116622466</v>
      </c>
    </row>
    <row r="40" spans="10:15" s="79" customFormat="1" ht="11.65">
      <c r="J40" s="86">
        <f t="shared" si="4"/>
        <v>0.70000000000000029</v>
      </c>
      <c r="K40" s="84">
        <f t="shared" ca="1" si="1"/>
        <v>45.500000000000021</v>
      </c>
      <c r="L40" s="87" t="str">
        <f t="shared" ca="1" si="2"/>
        <v/>
      </c>
      <c r="M40" s="85" t="str">
        <f t="shared" ca="1" si="3"/>
        <v/>
      </c>
      <c r="N40" s="84">
        <f ca="1">LN('Histogram Data'!K40+0.01)-LN(price)</f>
        <v>-0.18885549984401795</v>
      </c>
      <c r="O40" s="84">
        <f ca="1">_xlfn.NORM.DIST(N40,0+0.03^3,AVERAGE('Valuation Model'!$K$22:$L$22),FALSE)/scaling</f>
        <v>0.23866487847837714</v>
      </c>
    </row>
    <row r="41" spans="10:15" s="79" customFormat="1" ht="11.65">
      <c r="J41" s="86">
        <f t="shared" si="4"/>
        <v>0.72000000000000031</v>
      </c>
      <c r="K41" s="84">
        <f t="shared" ca="1" si="1"/>
        <v>46.800000000000018</v>
      </c>
      <c r="L41" s="87" t="str">
        <f t="shared" ca="1" si="2"/>
        <v/>
      </c>
      <c r="M41" s="85" t="str">
        <f t="shared" ca="1" si="3"/>
        <v/>
      </c>
      <c r="N41" s="84">
        <f ca="1">LN('Histogram Data'!K41+0.01)-LN(price)</f>
        <v>-0.16069072656058925</v>
      </c>
      <c r="O41" s="84">
        <f ca="1">_xlfn.NORM.DIST(N41,0+0.03^3,AVERAGE('Valuation Model'!$K$22:$L$22),FALSE)/scaling</f>
        <v>0.25774601360150229</v>
      </c>
    </row>
    <row r="42" spans="10:15" s="79" customFormat="1" ht="11.65">
      <c r="J42" s="86">
        <f t="shared" si="4"/>
        <v>0.74000000000000032</v>
      </c>
      <c r="K42" s="84">
        <f t="shared" ca="1" si="1"/>
        <v>48.100000000000023</v>
      </c>
      <c r="L42" s="87" t="str">
        <f t="shared" ca="1" si="2"/>
        <v/>
      </c>
      <c r="M42" s="85" t="str">
        <f t="shared" ca="1" si="3"/>
        <v/>
      </c>
      <c r="N42" s="84">
        <f ca="1">LN('Histogram Data'!K42+0.01)-LN(price)</f>
        <v>-0.13329752616120594</v>
      </c>
      <c r="O42" s="84">
        <f ca="1">_xlfn.NORM.DIST(N42,0+0.03^3,AVERAGE('Valuation Model'!$K$22:$L$22),FALSE)/scaling</f>
        <v>0.2744841748045333</v>
      </c>
    </row>
    <row r="43" spans="10:15" s="79" customFormat="1" ht="11.65">
      <c r="J43" s="86">
        <f t="shared" si="4"/>
        <v>0.76000000000000034</v>
      </c>
      <c r="K43" s="84">
        <f t="shared" ca="1" si="1"/>
        <v>49.40000000000002</v>
      </c>
      <c r="L43" s="87" t="str">
        <f t="shared" ca="1" si="2"/>
        <v/>
      </c>
      <c r="M43" s="85" t="str">
        <f t="shared" ca="1" si="3"/>
        <v/>
      </c>
      <c r="N43" s="84">
        <f ca="1">LN('Histogram Data'!K43+0.01)-LN(price)</f>
        <v>-0.10663474901490977</v>
      </c>
      <c r="O43" s="84">
        <f ca="1">_xlfn.NORM.DIST(N43,0+0.03^3,AVERAGE('Valuation Model'!$K$22:$L$22),FALSE)/scaling</f>
        <v>0.28855232183831253</v>
      </c>
    </row>
    <row r="44" spans="10:15" s="79" customFormat="1" ht="11.65">
      <c r="J44" s="86">
        <f t="shared" si="4"/>
        <v>0.78000000000000036</v>
      </c>
      <c r="K44" s="84">
        <f t="shared" ca="1" si="1"/>
        <v>50.700000000000024</v>
      </c>
      <c r="L44" s="87" t="str">
        <f t="shared" ca="1" si="2"/>
        <v/>
      </c>
      <c r="M44" s="85" t="str">
        <f t="shared" ca="1" si="3"/>
        <v/>
      </c>
      <c r="N44" s="84">
        <f ca="1">LN('Histogram Data'!K44+0.01)-LN(price)</f>
        <v>-8.0664452065640546E-2</v>
      </c>
      <c r="O44" s="84">
        <f ca="1">_xlfn.NORM.DIST(N44,0+0.03^3,AVERAGE('Valuation Model'!$K$22:$L$22),FALSE)/scaling</f>
        <v>0.29973049641739291</v>
      </c>
    </row>
    <row r="45" spans="10:15" s="79" customFormat="1" ht="11.65">
      <c r="J45" s="86">
        <f t="shared" si="4"/>
        <v>0.80000000000000038</v>
      </c>
      <c r="K45" s="84">
        <f t="shared" ca="1" si="1"/>
        <v>52.000000000000021</v>
      </c>
      <c r="L45" s="87" t="str">
        <f t="shared" ca="1" si="2"/>
        <v/>
      </c>
      <c r="M45" s="85" t="str">
        <f t="shared" ca="1" si="3"/>
        <v/>
      </c>
      <c r="N45" s="84">
        <f ca="1">LN('Histogram Data'!K45+0.01)-LN(price)</f>
        <v>-5.5351574087587618E-2</v>
      </c>
      <c r="O45" s="84">
        <f ca="1">_xlfn.NORM.DIST(N45,0+0.03^3,AVERAGE('Valuation Model'!$K$22:$L$22),FALSE)/scaling</f>
        <v>0.30790420846291672</v>
      </c>
    </row>
    <row r="46" spans="10:15" s="79" customFormat="1" ht="11.65">
      <c r="J46" s="86">
        <f t="shared" si="4"/>
        <v>0.8200000000000004</v>
      </c>
      <c r="K46" s="84">
        <f t="shared" ca="1" si="1"/>
        <v>53.300000000000026</v>
      </c>
      <c r="L46" s="87" t="str">
        <f t="shared" ca="1" si="2"/>
        <v/>
      </c>
      <c r="M46" s="85" t="str">
        <f t="shared" ca="1" si="3"/>
        <v/>
      </c>
      <c r="N46" s="84">
        <f ca="1">LN('Histogram Data'!K46+0.01)-LN(price)</f>
        <v>-3.0663651037898809E-2</v>
      </c>
      <c r="O46" s="84">
        <f ca="1">_xlfn.NORM.DIST(N46,0+0.03^3,AVERAGE('Valuation Model'!$K$22:$L$22),FALSE)/scaling</f>
        <v>0.31305751856626551</v>
      </c>
    </row>
    <row r="47" spans="10:15" s="79" customFormat="1" ht="11.65">
      <c r="J47" s="86">
        <f t="shared" si="4"/>
        <v>0.84000000000000041</v>
      </c>
      <c r="K47" s="84">
        <f t="shared" ca="1" si="1"/>
        <v>54.60000000000003</v>
      </c>
      <c r="L47" s="87">
        <f t="shared" ca="1" si="2"/>
        <v>6.25E-2</v>
      </c>
      <c r="M47" s="85" t="str">
        <f t="shared" ca="1" si="3"/>
        <v/>
      </c>
      <c r="N47" s="84">
        <f ca="1">LN('Histogram Data'!K47+0.01)-LN(price)</f>
        <v>-6.5705657085057823E-3</v>
      </c>
      <c r="O47" s="84">
        <f ca="1">_xlfn.NORM.DIST(N47,0+0.03^3,AVERAGE('Valuation Model'!$K$22:$L$22),FALSE)/scaling</f>
        <v>0.31526217993712791</v>
      </c>
    </row>
    <row r="48" spans="10:15" s="79" customFormat="1" ht="11.65">
      <c r="J48" s="86">
        <f t="shared" si="4"/>
        <v>0.86000000000000043</v>
      </c>
      <c r="K48" s="84">
        <f t="shared" ca="1" si="1"/>
        <v>55.900000000000027</v>
      </c>
      <c r="L48" s="87" t="str">
        <f t="shared" ca="1" si="2"/>
        <v/>
      </c>
      <c r="M48" s="85" t="str">
        <f t="shared" ca="1" si="3"/>
        <v/>
      </c>
      <c r="N48" s="84">
        <f ca="1">LN('Histogram Data'!K48+0.01)-LN(price)</f>
        <v>1.6955673165985452E-2</v>
      </c>
      <c r="O48" s="84">
        <f ca="1">_xlfn.NORM.DIST(N48,0+0.03^3,AVERAGE('Valuation Model'!$K$22:$L$22),FALSE)/scaling</f>
        <v>0.31466419807435497</v>
      </c>
    </row>
    <row r="49" spans="10:15" s="79" customFormat="1" ht="11.65">
      <c r="J49" s="86">
        <f t="shared" si="4"/>
        <v>0.88000000000000045</v>
      </c>
      <c r="K49" s="84">
        <f t="shared" ca="1" si="1"/>
        <v>57.200000000000031</v>
      </c>
      <c r="L49" s="87" t="str">
        <f t="shared" ca="1" si="2"/>
        <v/>
      </c>
      <c r="M49" s="85" t="str">
        <f t="shared" ca="1" si="3"/>
        <v/>
      </c>
      <c r="N49" s="84">
        <f ca="1">LN('Histogram Data'!K49+0.01)-LN(price)</f>
        <v>3.9941126407868843E-2</v>
      </c>
      <c r="O49" s="84">
        <f ca="1">_xlfn.NORM.DIST(N49,0+0.03^3,AVERAGE('Valuation Model'!$K$22:$L$22),FALSE)/scaling</f>
        <v>0.31146905363260563</v>
      </c>
    </row>
    <row r="50" spans="10:15" s="79" customFormat="1" ht="11.65">
      <c r="J50" s="86">
        <f t="shared" si="4"/>
        <v>0.90000000000000047</v>
      </c>
      <c r="K50" s="84">
        <f t="shared" ca="1" si="1"/>
        <v>58.500000000000028</v>
      </c>
      <c r="L50" s="87" t="str">
        <f t="shared" ca="1" si="2"/>
        <v/>
      </c>
      <c r="M50" s="85" t="str">
        <f t="shared" ca="1" si="3"/>
        <v/>
      </c>
      <c r="N50" s="84">
        <f ca="1">LN('Histogram Data'!K50+0.01)-LN(price)</f>
        <v>6.2410097927576125E-2</v>
      </c>
      <c r="O50" s="84">
        <f ca="1">_xlfn.NORM.DIST(N50,0+0.03^3,AVERAGE('Valuation Model'!$K$22:$L$22),FALSE)/scaling</f>
        <v>0.30592665258353896</v>
      </c>
    </row>
    <row r="51" spans="10:15" s="79" customFormat="1" ht="11.65">
      <c r="J51" s="86">
        <f t="shared" si="4"/>
        <v>0.92000000000000048</v>
      </c>
      <c r="K51" s="84">
        <f t="shared" ca="1" si="1"/>
        <v>59.800000000000033</v>
      </c>
      <c r="L51" s="87" t="str">
        <f t="shared" ca="1" si="2"/>
        <v/>
      </c>
      <c r="M51" s="85" t="str">
        <f t="shared" ca="1" si="3"/>
        <v/>
      </c>
      <c r="N51" s="84">
        <f ca="1">LN('Histogram Data'!K51+0.01)-LN(price)</f>
        <v>8.4385289183897427E-2</v>
      </c>
      <c r="O51" s="84">
        <f ca="1">_xlfn.NORM.DIST(N51,0+0.03^3,AVERAGE('Valuation Model'!$K$22:$L$22),FALSE)/scaling</f>
        <v>0.2983168519645143</v>
      </c>
    </row>
    <row r="52" spans="10:15" s="79" customFormat="1" ht="11.65">
      <c r="J52" s="86">
        <f t="shared" si="4"/>
        <v>0.9400000000000005</v>
      </c>
      <c r="K52" s="84">
        <f t="shared" ca="1" si="1"/>
        <v>61.10000000000003</v>
      </c>
      <c r="L52" s="87" t="str">
        <f t="shared" ca="1" si="2"/>
        <v/>
      </c>
      <c r="M52" s="85" t="str">
        <f t="shared" ca="1" si="3"/>
        <v/>
      </c>
      <c r="N52" s="84">
        <f ca="1">LN('Histogram Data'!K52+0.01)-LN(price)</f>
        <v>0.10588793703425559</v>
      </c>
      <c r="O52" s="84">
        <f ca="1">_xlfn.NORM.DIST(N52,0+0.03^3,AVERAGE('Valuation Model'!$K$22:$L$22),FALSE)/scaling</f>
        <v>0.28893618647684072</v>
      </c>
    </row>
    <row r="53" spans="10:15" s="79" customFormat="1" ht="11.65">
      <c r="J53" s="86">
        <f t="shared" si="4"/>
        <v>0.96000000000000052</v>
      </c>
      <c r="K53" s="84">
        <f t="shared" ca="1" si="1"/>
        <v>62.400000000000034</v>
      </c>
      <c r="L53" s="87" t="str">
        <f t="shared" ca="1" si="2"/>
        <v/>
      </c>
      <c r="M53" s="85" t="str">
        <f t="shared" ca="1" si="3"/>
        <v/>
      </c>
      <c r="N53" s="84">
        <f ca="1">LN('Histogram Data'!K53+0.01)-LN(price)</f>
        <v>0.12693793707338319</v>
      </c>
      <c r="O53" s="84">
        <f ca="1">_xlfn.NORM.DIST(N53,0+0.03^3,AVERAGE('Valuation Model'!$K$22:$L$22),FALSE)/scaling</f>
        <v>0.27808621065570893</v>
      </c>
    </row>
    <row r="54" spans="10:15" s="79" customFormat="1" ht="11.65">
      <c r="J54" s="86">
        <f t="shared" si="4"/>
        <v>0.98000000000000054</v>
      </c>
      <c r="K54" s="84">
        <f t="shared" ca="1" si="1"/>
        <v>63.700000000000038</v>
      </c>
      <c r="L54" s="87" t="str">
        <f t="shared" ca="1" si="2"/>
        <v/>
      </c>
      <c r="M54" s="85" t="str">
        <f t="shared" ca="1" si="3"/>
        <v/>
      </c>
      <c r="N54" s="84">
        <f ca="1">LN('Histogram Data'!K54+0.01)-LN(price)</f>
        <v>0.1475539542558284</v>
      </c>
      <c r="O54" s="84">
        <f ca="1">_xlfn.NORM.DIST(N54,0+0.03^3,AVERAGE('Valuation Model'!$K$22:$L$22),FALSE)/scaling</f>
        <v>0.26606368599667513</v>
      </c>
    </row>
    <row r="55" spans="10:15">
      <c r="J55" s="86">
        <f t="shared" si="4"/>
        <v>1.0000000000000004</v>
      </c>
      <c r="K55" s="84">
        <f t="shared" ca="1" si="1"/>
        <v>65.000000000000028</v>
      </c>
      <c r="L55" s="87" t="str">
        <f t="shared" ca="1" si="2"/>
        <v/>
      </c>
      <c r="M55" s="85" t="str">
        <f t="shared" ca="1" si="3"/>
        <v/>
      </c>
      <c r="N55" s="84">
        <f ca="1">LN('Histogram Data'!K55+0.01)-LN(price)</f>
        <v>0.16775352234380936</v>
      </c>
      <c r="O55" s="84">
        <f ca="1">_xlfn.NORM.DIST(N55,0+0.03^3,AVERAGE('Valuation Model'!$K$22:$L$22),FALSE)/scaling</f>
        <v>0.25315268905705623</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topLeftCell="A44" workbookViewId="0">
      <selection activeCell="A71" sqref="A71"/>
    </sheetView>
  </sheetViews>
  <sheetFormatPr defaultRowHeight="14.25"/>
  <cols>
    <col min="1" max="1" width="10.73046875" bestFit="1" customWidth="1"/>
    <col min="3" max="3" width="10.73046875" bestFit="1" customWidth="1"/>
  </cols>
  <sheetData>
    <row r="1" spans="1:3">
      <c r="A1" t="s">
        <v>161</v>
      </c>
      <c r="B1" t="s">
        <v>162</v>
      </c>
    </row>
    <row r="2" spans="1:3">
      <c r="A2" s="133">
        <v>36616</v>
      </c>
      <c r="B2">
        <v>10036.1</v>
      </c>
      <c r="C2" s="133"/>
    </row>
    <row r="3" spans="1:3">
      <c r="A3" s="133">
        <v>36707</v>
      </c>
      <c r="B3">
        <v>10283.700000000001</v>
      </c>
      <c r="C3" s="133"/>
    </row>
    <row r="4" spans="1:3">
      <c r="A4" s="133">
        <v>36799</v>
      </c>
      <c r="B4">
        <v>10363.799999999999</v>
      </c>
      <c r="C4" s="133"/>
    </row>
    <row r="5" spans="1:3">
      <c r="A5" s="133">
        <v>36891</v>
      </c>
      <c r="B5">
        <v>10475.299999999999</v>
      </c>
      <c r="C5" s="133"/>
    </row>
    <row r="6" spans="1:3">
      <c r="A6" s="133">
        <v>36981</v>
      </c>
      <c r="B6">
        <v>10512.5</v>
      </c>
      <c r="C6" s="133"/>
    </row>
    <row r="7" spans="1:3">
      <c r="A7" s="133">
        <v>37072</v>
      </c>
      <c r="B7">
        <v>10641.6</v>
      </c>
      <c r="C7" s="133"/>
    </row>
    <row r="8" spans="1:3">
      <c r="A8" s="133">
        <v>37164</v>
      </c>
      <c r="B8">
        <v>10644.3</v>
      </c>
      <c r="C8" s="133"/>
    </row>
    <row r="9" spans="1:3">
      <c r="A9" s="133">
        <v>37256</v>
      </c>
      <c r="B9">
        <v>10702.7</v>
      </c>
      <c r="C9" s="133"/>
    </row>
    <row r="10" spans="1:3">
      <c r="A10" s="133">
        <v>37346</v>
      </c>
      <c r="B10">
        <v>10837.3</v>
      </c>
      <c r="C10" s="133"/>
    </row>
    <row r="11" spans="1:3">
      <c r="A11" s="133">
        <v>37437</v>
      </c>
      <c r="B11">
        <v>10938</v>
      </c>
      <c r="C11" s="133"/>
    </row>
    <row r="12" spans="1:3">
      <c r="A12" s="133">
        <v>37529</v>
      </c>
      <c r="B12">
        <v>11039.8</v>
      </c>
      <c r="C12" s="133"/>
    </row>
    <row r="13" spans="1:3">
      <c r="A13" s="133">
        <v>37621</v>
      </c>
      <c r="B13">
        <v>11105.7</v>
      </c>
      <c r="C13" s="133"/>
    </row>
    <row r="14" spans="1:3">
      <c r="A14" s="133">
        <v>37711</v>
      </c>
      <c r="B14">
        <v>11230.8</v>
      </c>
      <c r="C14" s="133"/>
    </row>
    <row r="15" spans="1:3">
      <c r="A15" s="133">
        <v>37802</v>
      </c>
      <c r="B15">
        <v>11371.4</v>
      </c>
      <c r="C15" s="133"/>
    </row>
    <row r="16" spans="1:3">
      <c r="A16" s="133">
        <v>37894</v>
      </c>
      <c r="B16">
        <v>11628.4</v>
      </c>
      <c r="C16" s="133"/>
    </row>
    <row r="17" spans="1:3">
      <c r="A17" s="133">
        <v>37986</v>
      </c>
      <c r="B17">
        <v>11818.5</v>
      </c>
      <c r="C17" s="133"/>
    </row>
    <row r="18" spans="1:3">
      <c r="A18" s="133">
        <v>38077</v>
      </c>
      <c r="B18">
        <v>11991.4</v>
      </c>
      <c r="C18" s="133"/>
    </row>
    <row r="19" spans="1:3">
      <c r="A19" s="133">
        <v>38168</v>
      </c>
      <c r="B19">
        <v>12183.5</v>
      </c>
      <c r="C19" s="133"/>
    </row>
    <row r="20" spans="1:3">
      <c r="A20" s="133">
        <v>38260</v>
      </c>
      <c r="B20">
        <v>12369.4</v>
      </c>
      <c r="C20" s="133"/>
    </row>
    <row r="21" spans="1:3">
      <c r="A21" s="133">
        <v>38352</v>
      </c>
      <c r="B21">
        <v>12563.8</v>
      </c>
      <c r="C21" s="133"/>
    </row>
    <row r="22" spans="1:3">
      <c r="A22" s="133">
        <v>38442</v>
      </c>
      <c r="B22">
        <v>12816.2</v>
      </c>
      <c r="C22" s="133"/>
    </row>
    <row r="23" spans="1:3">
      <c r="A23" s="133">
        <v>38533</v>
      </c>
      <c r="B23">
        <v>12975.7</v>
      </c>
      <c r="C23" s="133"/>
    </row>
    <row r="24" spans="1:3">
      <c r="A24" s="133">
        <v>38625</v>
      </c>
      <c r="B24">
        <v>13206.5</v>
      </c>
      <c r="C24" s="133"/>
    </row>
    <row r="25" spans="1:3">
      <c r="A25" s="133">
        <v>38717</v>
      </c>
      <c r="B25">
        <v>13383.3</v>
      </c>
      <c r="C25" s="133"/>
    </row>
    <row r="26" spans="1:3">
      <c r="A26" s="133">
        <v>38807</v>
      </c>
      <c r="B26">
        <v>13649.8</v>
      </c>
      <c r="C26" s="133"/>
    </row>
    <row r="27" spans="1:3">
      <c r="A27" s="133">
        <v>38898</v>
      </c>
      <c r="B27">
        <v>13802.9</v>
      </c>
      <c r="C27" s="133"/>
    </row>
    <row r="28" spans="1:3">
      <c r="A28" s="133">
        <v>38990</v>
      </c>
      <c r="B28">
        <v>13910.5</v>
      </c>
      <c r="C28" s="133"/>
    </row>
    <row r="29" spans="1:3">
      <c r="A29" s="133">
        <v>39082</v>
      </c>
      <c r="B29">
        <v>14068.4</v>
      </c>
    </row>
    <row r="30" spans="1:3">
      <c r="A30" s="133">
        <v>39172</v>
      </c>
      <c r="B30">
        <v>14235</v>
      </c>
    </row>
    <row r="31" spans="1:3">
      <c r="A31" s="133">
        <v>39263</v>
      </c>
      <c r="B31">
        <v>14424.5</v>
      </c>
    </row>
    <row r="32" spans="1:3">
      <c r="A32" s="133">
        <v>39355</v>
      </c>
      <c r="B32">
        <v>14571.9</v>
      </c>
    </row>
    <row r="33" spans="1:2">
      <c r="A33" s="133">
        <v>39447</v>
      </c>
      <c r="B33">
        <v>14690</v>
      </c>
    </row>
    <row r="34" spans="1:2">
      <c r="A34" s="133">
        <v>39538</v>
      </c>
      <c r="B34">
        <v>14672.9</v>
      </c>
    </row>
    <row r="35" spans="1:2">
      <c r="A35" s="133">
        <v>39629</v>
      </c>
      <c r="B35">
        <v>14813</v>
      </c>
    </row>
    <row r="36" spans="1:2">
      <c r="A36" s="133">
        <v>39721</v>
      </c>
      <c r="B36">
        <v>14843</v>
      </c>
    </row>
    <row r="37" spans="1:2">
      <c r="A37" s="133">
        <v>39813</v>
      </c>
      <c r="B37">
        <v>14549.9</v>
      </c>
    </row>
    <row r="38" spans="1:2">
      <c r="A38" s="133">
        <v>39903</v>
      </c>
      <c r="B38">
        <v>14383.9</v>
      </c>
    </row>
    <row r="39" spans="1:2">
      <c r="A39" s="133">
        <v>39994</v>
      </c>
      <c r="B39">
        <v>14340.4</v>
      </c>
    </row>
    <row r="40" spans="1:2">
      <c r="A40" s="133">
        <v>40086</v>
      </c>
      <c r="B40">
        <v>14384.1</v>
      </c>
    </row>
    <row r="41" spans="1:2">
      <c r="A41" s="133">
        <v>40178</v>
      </c>
      <c r="B41">
        <v>14566.5</v>
      </c>
    </row>
    <row r="42" spans="1:2">
      <c r="A42" s="133">
        <v>40268</v>
      </c>
      <c r="B42">
        <v>14681.1</v>
      </c>
    </row>
    <row r="43" spans="1:2">
      <c r="A43" s="133">
        <v>40359</v>
      </c>
      <c r="B43">
        <v>14888.6</v>
      </c>
    </row>
    <row r="44" spans="1:2">
      <c r="A44" s="133">
        <v>40451</v>
      </c>
      <c r="B44">
        <v>15057.7</v>
      </c>
    </row>
    <row r="45" spans="1:2">
      <c r="A45" s="133">
        <v>40543</v>
      </c>
      <c r="B45">
        <v>15230.2</v>
      </c>
    </row>
    <row r="46" spans="1:2">
      <c r="A46" s="133">
        <v>40633</v>
      </c>
      <c r="B46">
        <v>15238.4</v>
      </c>
    </row>
    <row r="47" spans="1:2">
      <c r="A47" s="133">
        <v>40724</v>
      </c>
      <c r="B47">
        <v>15460.9</v>
      </c>
    </row>
    <row r="48" spans="1:2">
      <c r="A48" s="133">
        <v>40816</v>
      </c>
      <c r="B48">
        <v>15587.1</v>
      </c>
    </row>
    <row r="49" spans="1:5">
      <c r="A49" s="133">
        <v>40908</v>
      </c>
      <c r="B49">
        <v>15785.3</v>
      </c>
    </row>
    <row r="50" spans="1:5">
      <c r="A50" s="133">
        <v>40999</v>
      </c>
      <c r="B50">
        <v>15956.5</v>
      </c>
    </row>
    <row r="51" spans="1:5">
      <c r="A51" s="133">
        <v>41090</v>
      </c>
      <c r="B51">
        <v>16094.7</v>
      </c>
    </row>
    <row r="52" spans="1:5">
      <c r="A52" s="133">
        <v>41182</v>
      </c>
      <c r="B52">
        <v>16268.9</v>
      </c>
    </row>
    <row r="53" spans="1:5">
      <c r="A53" s="133">
        <v>41274</v>
      </c>
      <c r="B53">
        <v>16332.5</v>
      </c>
    </row>
    <row r="54" spans="1:5">
      <c r="A54" s="133">
        <v>41364</v>
      </c>
      <c r="B54">
        <v>16502.400000000001</v>
      </c>
    </row>
    <row r="55" spans="1:5">
      <c r="A55" s="133">
        <v>41455</v>
      </c>
      <c r="B55">
        <v>16619.2</v>
      </c>
    </row>
    <row r="56" spans="1:5">
      <c r="A56" s="133">
        <v>41547</v>
      </c>
      <c r="B56">
        <v>16872.3</v>
      </c>
    </row>
    <row r="57" spans="1:5">
      <c r="A57" s="133">
        <v>41639</v>
      </c>
      <c r="B57">
        <v>17078.3</v>
      </c>
    </row>
    <row r="58" spans="1:5">
      <c r="A58" s="133">
        <v>41729</v>
      </c>
      <c r="B58">
        <v>17044</v>
      </c>
    </row>
    <row r="59" spans="1:5">
      <c r="A59" s="133">
        <v>41820</v>
      </c>
      <c r="B59">
        <v>17328.2</v>
      </c>
    </row>
    <row r="60" spans="1:5">
      <c r="A60" s="133">
        <v>41912</v>
      </c>
      <c r="B60">
        <v>17599.8</v>
      </c>
    </row>
    <row r="61" spans="1:5">
      <c r="A61" s="133">
        <v>42004</v>
      </c>
      <c r="B61">
        <v>17703.7</v>
      </c>
    </row>
    <row r="62" spans="1:5">
      <c r="A62" s="133">
        <v>42094</v>
      </c>
      <c r="B62">
        <v>17665</v>
      </c>
      <c r="E62" s="133"/>
    </row>
    <row r="63" spans="1:5">
      <c r="A63" s="133">
        <v>42185</v>
      </c>
      <c r="B63">
        <v>17913.7</v>
      </c>
      <c r="E63" s="133"/>
    </row>
    <row r="64" spans="1:5">
      <c r="A64" s="133">
        <v>42277</v>
      </c>
      <c r="B64">
        <v>18060.2</v>
      </c>
    </row>
    <row r="65" spans="1:2">
      <c r="A65" s="133">
        <v>42369</v>
      </c>
      <c r="B65">
        <v>18164.8</v>
      </c>
    </row>
    <row r="66" spans="1:2">
      <c r="A66" s="133">
        <v>42460</v>
      </c>
      <c r="B66">
        <v>18229.5</v>
      </c>
    </row>
    <row r="67" spans="1:2">
      <c r="A67" s="133">
        <v>42551</v>
      </c>
      <c r="B67">
        <v>18450.099999999999</v>
      </c>
    </row>
    <row r="68" spans="1:2">
      <c r="A68" s="133">
        <v>42643</v>
      </c>
      <c r="B68">
        <v>18651.2</v>
      </c>
    </row>
    <row r="69" spans="1:2">
      <c r="A69" s="133">
        <v>42735</v>
      </c>
      <c r="B69">
        <v>18869.400000000001</v>
      </c>
    </row>
    <row r="70" spans="1:2">
      <c r="A70" s="133">
        <v>42825</v>
      </c>
      <c r="B70">
        <v>19007.3</v>
      </c>
    </row>
    <row r="71" spans="1:2">
      <c r="A71" s="133"/>
    </row>
    <row r="72" spans="1:2">
      <c r="A72" s="13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4.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defaultRowHeight="14.2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
  <sheetViews>
    <sheetView workbookViewId="0"/>
  </sheetViews>
  <sheetFormatPr defaultRowHeight="14.25"/>
  <cols>
    <col min="1" max="5" width="6.265625" bestFit="1" customWidth="1"/>
    <col min="6" max="7" width="11" bestFit="1" customWidth="1"/>
    <col min="8" max="8" width="6.1328125" bestFit="1" customWidth="1"/>
    <col min="9" max="10" width="11" bestFit="1" customWidth="1"/>
    <col min="11" max="11" width="6.1328125" bestFit="1" customWidth="1"/>
    <col min="12" max="13" width="11" bestFit="1" customWidth="1"/>
    <col min="14" max="14" width="6.1328125" bestFit="1" customWidth="1"/>
    <col min="15" max="16" width="11" bestFit="1" customWidth="1"/>
    <col min="17" max="17" width="6.1328125" bestFit="1" customWidth="1"/>
    <col min="18" max="19" width="11" bestFit="1" customWidth="1"/>
    <col min="20" max="20" width="6.1328125" bestFit="1" customWidth="1"/>
    <col min="21" max="22" width="11" bestFit="1" customWidth="1"/>
    <col min="23" max="23" width="6.1328125" bestFit="1" customWidth="1"/>
    <col min="24" max="25" width="11" bestFit="1" customWidth="1"/>
    <col min="26" max="26" width="6.1328125" bestFit="1" customWidth="1"/>
    <col min="27" max="28" width="11" bestFit="1" customWidth="1"/>
    <col min="29" max="29" width="6.13281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44</vt:i4>
      </vt:variant>
    </vt:vector>
  </HeadingPairs>
  <TitlesOfParts>
    <vt:vector size="59" baseType="lpstr">
      <vt:lpstr>Valuation Model</vt:lpstr>
      <vt:lpstr>Company Analysis</vt:lpstr>
      <vt:lpstr>Graphing Data</vt:lpstr>
      <vt:lpstr>Histogram Data</vt:lpstr>
      <vt:lpstr>GDP Data</vt:lpstr>
      <vt:lpstr>Disclaimer</vt:lpstr>
      <vt:lpstr>Revenue History</vt:lpstr>
      <vt:lpstr>Revenue Chart</vt:lpstr>
      <vt:lpstr>Profit History</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2017-06-06T04:07:03Z</dcterms:modified>
</cp:coreProperties>
</file>