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2.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3.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BMY - Bristol Meyers Squibb/"/>
    </mc:Choice>
  </mc:AlternateContent>
  <bookViews>
    <workbookView xWindow="480" yWindow="0" windowWidth="18690" windowHeight="15" tabRatio="825" activeTab="2"/>
  </bookViews>
  <sheets>
    <sheet name="Valuation Model" sheetId="1" r:id="rId1"/>
    <sheet name="Company Analysis" sheetId="19" r:id="rId2"/>
    <sheet name="Revenue Breakdown Chart" sheetId="35" r:id="rId3"/>
    <sheet name="Pipeline Info" sheetId="31" r:id="rId4"/>
    <sheet name="Med-Term OCP Chart" sheetId="34" r:id="rId5"/>
    <sheet name="BMY OCP" sheetId="33" r:id="rId6"/>
    <sheet name="Aggregate OCP Comparison Chart" sheetId="36" r:id="rId7"/>
    <sheet name="Graphing Data" sheetId="21" r:id="rId8"/>
    <sheet name="Revenue History" sheetId="29" r:id="rId9"/>
    <sheet name="Revenue Chart" sheetId="22" r:id="rId10"/>
    <sheet name="Profit History" sheetId="30" r:id="rId11"/>
    <sheet name="Profit Chart" sheetId="23" r:id="rId12"/>
    <sheet name="ECF to OCP Chart" sheetId="25" r:id="rId13"/>
    <sheet name="ECF Breakdown Chart" sheetId="26" r:id="rId14"/>
    <sheet name="FCFO Chart" sheetId="27" r:id="rId15"/>
    <sheet name="Med-Term FCFO Chart" sheetId="32" r:id="rId16"/>
    <sheet name="Investment Efficacy Chart" sheetId="28" r:id="rId17"/>
    <sheet name="Valuation Histogram" sheetId="16" r:id="rId18"/>
    <sheet name="Histogram Data" sheetId="17" r:id="rId19"/>
    <sheet name="GDP Data" sheetId="20" r:id="rId20"/>
    <sheet name="Disclaimer" sheetId="18" r:id="rId21"/>
    <sheet name="PSW_Sheet" sheetId="11" state="veryHidden" r:id="rId22"/>
    <sheet name="_SSC" sheetId="12" state="veryHidden" r:id="rId23"/>
    <sheet name="_Options" sheetId="13" state="veryHidden" r:id="rId24"/>
  </sheets>
  <externalReferences>
    <externalReference r:id="rId25"/>
    <externalReference r:id="rId26"/>
    <externalReference r:id="rId27"/>
    <externalReference r:id="rId28"/>
    <externalReference r:id="rId29"/>
    <externalReference r:id="rId30"/>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8"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1027"/>
</workbook>
</file>

<file path=xl/calcChain.xml><?xml version="1.0" encoding="utf-8"?>
<calcChain xmlns="http://schemas.openxmlformats.org/spreadsheetml/2006/main">
  <c r="B41" i="33" l="1"/>
  <c r="D41" i="33"/>
  <c r="C41" i="33"/>
  <c r="C29" i="33"/>
  <c r="D29" i="33" s="1"/>
  <c r="R60" i="21"/>
  <c r="S60" i="21" s="1"/>
  <c r="T60" i="21" s="1"/>
  <c r="U60" i="21" s="1"/>
  <c r="Q60" i="21"/>
  <c r="S59" i="21"/>
  <c r="T59" i="21" s="1"/>
  <c r="U59" i="21" s="1"/>
  <c r="R59" i="21"/>
  <c r="Q59" i="21"/>
  <c r="P60" i="21"/>
  <c r="P59" i="21"/>
  <c r="P58" i="21"/>
  <c r="M58" i="21"/>
  <c r="N58" i="21"/>
  <c r="O58" i="21"/>
  <c r="L58" i="21"/>
  <c r="K58" i="21"/>
  <c r="Q57" i="21"/>
  <c r="R57" i="21" s="1"/>
  <c r="S57" i="21" s="1"/>
  <c r="T57" i="21" s="1"/>
  <c r="U57" i="21" s="1"/>
  <c r="Q56" i="21"/>
  <c r="R56" i="21" s="1"/>
  <c r="S56" i="21" s="1"/>
  <c r="T56" i="21" s="1"/>
  <c r="U56" i="21" s="1"/>
  <c r="P57" i="21"/>
  <c r="P56" i="21"/>
  <c r="M55" i="21"/>
  <c r="N55" i="21"/>
  <c r="O55" i="21"/>
  <c r="P55" i="21"/>
  <c r="L55" i="21"/>
  <c r="K55" i="21"/>
  <c r="C54" i="21"/>
  <c r="D54" i="21"/>
  <c r="E54" i="21"/>
  <c r="F54" i="21"/>
  <c r="G54" i="21"/>
  <c r="H54" i="21"/>
  <c r="I54" i="21"/>
  <c r="J54" i="21"/>
  <c r="K54" i="21"/>
  <c r="B54" i="21"/>
  <c r="M42" i="31"/>
  <c r="N42" i="31"/>
  <c r="O42" i="31"/>
  <c r="P42" i="31"/>
  <c r="Q42" i="31"/>
  <c r="R42" i="31"/>
  <c r="S42" i="31"/>
  <c r="T42" i="31"/>
  <c r="M43" i="31"/>
  <c r="N43" i="31"/>
  <c r="O43" i="31"/>
  <c r="P43" i="31"/>
  <c r="Q43" i="31"/>
  <c r="R43" i="31"/>
  <c r="S43" i="31"/>
  <c r="T43" i="31"/>
  <c r="M44" i="31"/>
  <c r="N44" i="31"/>
  <c r="O44" i="31"/>
  <c r="P44" i="31"/>
  <c r="Q44" i="31"/>
  <c r="R44" i="31"/>
  <c r="S44" i="31"/>
  <c r="T44" i="31"/>
  <c r="M21" i="31"/>
  <c r="N21" i="31"/>
  <c r="O21" i="31"/>
  <c r="P21" i="31"/>
  <c r="Q21" i="31"/>
  <c r="R21" i="31"/>
  <c r="S21" i="31"/>
  <c r="T21" i="31"/>
  <c r="M22" i="31"/>
  <c r="N22" i="31"/>
  <c r="O22" i="31"/>
  <c r="P22" i="31"/>
  <c r="Q22" i="31"/>
  <c r="R22" i="31"/>
  <c r="S22" i="31"/>
  <c r="T22" i="31"/>
  <c r="M23" i="31"/>
  <c r="N23" i="31"/>
  <c r="O23" i="31"/>
  <c r="P23" i="31"/>
  <c r="Q23" i="31"/>
  <c r="R23" i="31"/>
  <c r="S23" i="31"/>
  <c r="T23" i="31"/>
  <c r="M10" i="31"/>
  <c r="N10" i="31"/>
  <c r="O10" i="31"/>
  <c r="P10" i="31"/>
  <c r="Q10" i="31"/>
  <c r="R10" i="31"/>
  <c r="S10" i="31"/>
  <c r="T10" i="31"/>
  <c r="M11" i="31"/>
  <c r="N11" i="31"/>
  <c r="O11" i="31"/>
  <c r="P11" i="31"/>
  <c r="Q11" i="31"/>
  <c r="R11" i="31"/>
  <c r="S11" i="31"/>
  <c r="T11" i="31"/>
  <c r="M12" i="31"/>
  <c r="N12" i="31"/>
  <c r="O12" i="31"/>
  <c r="P12" i="31"/>
  <c r="Q12" i="31"/>
  <c r="R12" i="31"/>
  <c r="S12" i="31"/>
  <c r="T12" i="31"/>
  <c r="M51" i="31"/>
  <c r="N51" i="31"/>
  <c r="O51" i="31"/>
  <c r="P51" i="31"/>
  <c r="Q51" i="31"/>
  <c r="R51" i="31"/>
  <c r="S51" i="31"/>
  <c r="T51" i="31"/>
  <c r="M52" i="31"/>
  <c r="N52" i="31"/>
  <c r="O52" i="31"/>
  <c r="P52" i="31"/>
  <c r="Q52" i="31"/>
  <c r="R52" i="31"/>
  <c r="S52" i="31"/>
  <c r="T52" i="31"/>
  <c r="M53" i="31"/>
  <c r="N53" i="31"/>
  <c r="O53" i="31"/>
  <c r="P53" i="31"/>
  <c r="Q53" i="31"/>
  <c r="R53" i="31"/>
  <c r="S53" i="31"/>
  <c r="T53" i="31"/>
  <c r="N50" i="31"/>
  <c r="O50" i="31"/>
  <c r="P50" i="31"/>
  <c r="Q50" i="31"/>
  <c r="R50" i="31"/>
  <c r="S50" i="31"/>
  <c r="T50" i="31"/>
  <c r="M50" i="31"/>
  <c r="L53" i="31"/>
  <c r="K53" i="31"/>
  <c r="J53" i="31"/>
  <c r="I53" i="31"/>
  <c r="H53" i="31"/>
  <c r="L52" i="31"/>
  <c r="K52" i="31"/>
  <c r="J52" i="31"/>
  <c r="I52" i="31"/>
  <c r="H52" i="31"/>
  <c r="G52" i="31"/>
  <c r="F52" i="31"/>
  <c r="L51" i="31"/>
  <c r="K51" i="31"/>
  <c r="J51" i="31"/>
  <c r="I51" i="31"/>
  <c r="H51" i="31"/>
  <c r="G51" i="31"/>
  <c r="F51" i="31"/>
  <c r="E51" i="31"/>
  <c r="D51" i="31"/>
  <c r="L44" i="31"/>
  <c r="K44" i="31"/>
  <c r="J44" i="31"/>
  <c r="I44" i="31"/>
  <c r="L43" i="31"/>
  <c r="K43" i="31"/>
  <c r="J43" i="31"/>
  <c r="I43" i="31"/>
  <c r="H43" i="31"/>
  <c r="F43" i="31"/>
  <c r="L42" i="31"/>
  <c r="K42" i="31"/>
  <c r="J42" i="31"/>
  <c r="I42" i="31"/>
  <c r="H42" i="31"/>
  <c r="G42" i="31"/>
  <c r="F42" i="31"/>
  <c r="E42" i="31"/>
  <c r="I32" i="31"/>
  <c r="F32" i="31"/>
  <c r="I31" i="31"/>
  <c r="H31" i="31"/>
  <c r="G31" i="31"/>
  <c r="L22" i="31"/>
  <c r="L21" i="31"/>
  <c r="K21" i="31"/>
  <c r="J21" i="31"/>
  <c r="I12" i="31"/>
  <c r="J12" i="31"/>
  <c r="K12" i="31"/>
  <c r="L12" i="31"/>
  <c r="H12" i="31"/>
  <c r="H11" i="31"/>
  <c r="I11" i="31"/>
  <c r="J11" i="31"/>
  <c r="K11" i="31"/>
  <c r="L11" i="31"/>
  <c r="F11" i="31"/>
  <c r="G11" i="31"/>
  <c r="E10" i="31"/>
  <c r="F10" i="31"/>
  <c r="G10" i="31"/>
  <c r="H10" i="31"/>
  <c r="I10" i="31"/>
  <c r="J10" i="31"/>
  <c r="K10" i="31"/>
  <c r="L10" i="31"/>
  <c r="D10" i="31"/>
  <c r="D50" i="31"/>
  <c r="E50" i="31"/>
  <c r="F50" i="31"/>
  <c r="G50" i="31"/>
  <c r="H50" i="31"/>
  <c r="I50" i="31"/>
  <c r="J50" i="31"/>
  <c r="K50" i="31"/>
  <c r="L50" i="31"/>
  <c r="C50" i="31"/>
  <c r="G30" i="31"/>
  <c r="H30" i="31"/>
  <c r="I30" i="31"/>
  <c r="J30" i="31"/>
  <c r="K30" i="31"/>
  <c r="L30" i="31"/>
  <c r="M30" i="31"/>
  <c r="N30" i="31"/>
  <c r="O30" i="31"/>
  <c r="P30" i="31"/>
  <c r="Q30" i="31"/>
  <c r="R30" i="31"/>
  <c r="S30" i="31"/>
  <c r="T30" i="31"/>
  <c r="C30" i="31"/>
  <c r="D30" i="31"/>
  <c r="H33" i="31" s="1"/>
  <c r="E30" i="31"/>
  <c r="H32" i="31" s="1"/>
  <c r="F30" i="31"/>
  <c r="A30" i="31"/>
  <c r="F41" i="31"/>
  <c r="G41" i="31"/>
  <c r="H41" i="31"/>
  <c r="I41" i="31"/>
  <c r="J41" i="31"/>
  <c r="K41" i="31"/>
  <c r="L41" i="31"/>
  <c r="M41" i="31"/>
  <c r="M46" i="31" s="1"/>
  <c r="N41" i="31"/>
  <c r="N46" i="31" s="1"/>
  <c r="O41" i="31"/>
  <c r="O46" i="31" s="1"/>
  <c r="P41" i="31"/>
  <c r="P46" i="31" s="1"/>
  <c r="Q41" i="31"/>
  <c r="Q46" i="31" s="1"/>
  <c r="R41" i="31"/>
  <c r="R46" i="31" s="1"/>
  <c r="S41" i="31"/>
  <c r="S46" i="31" s="1"/>
  <c r="T41" i="31"/>
  <c r="T46" i="31" s="1"/>
  <c r="C41" i="31"/>
  <c r="D41" i="31"/>
  <c r="H44" i="31" s="1"/>
  <c r="E41" i="31"/>
  <c r="C9" i="31"/>
  <c r="D9" i="31"/>
  <c r="E9" i="31"/>
  <c r="F9" i="31"/>
  <c r="G9" i="31"/>
  <c r="H9" i="31"/>
  <c r="I9" i="31"/>
  <c r="I46" i="31" s="1"/>
  <c r="I48" i="31" s="1"/>
  <c r="J9" i="31"/>
  <c r="K9" i="31"/>
  <c r="K46" i="31" s="1"/>
  <c r="L9" i="31"/>
  <c r="M9" i="31"/>
  <c r="N9" i="31"/>
  <c r="O9" i="31"/>
  <c r="P9" i="31"/>
  <c r="Q9" i="31"/>
  <c r="R9" i="31"/>
  <c r="S9" i="31"/>
  <c r="T9" i="31"/>
  <c r="C20" i="31"/>
  <c r="D20" i="31"/>
  <c r="E20" i="31"/>
  <c r="G22" i="31" s="1"/>
  <c r="F20" i="31"/>
  <c r="G20" i="31"/>
  <c r="I22" i="31" s="1"/>
  <c r="H20" i="31"/>
  <c r="J20" i="31"/>
  <c r="K20" i="31"/>
  <c r="L20" i="31"/>
  <c r="M20" i="31"/>
  <c r="N20" i="31"/>
  <c r="O20" i="31"/>
  <c r="P20" i="31"/>
  <c r="Q20" i="31"/>
  <c r="R20" i="31"/>
  <c r="S20" i="31"/>
  <c r="T20" i="31"/>
  <c r="I20" i="31"/>
  <c r="A41" i="31"/>
  <c r="A20" i="31"/>
  <c r="A9" i="31"/>
  <c r="G43" i="31" l="1"/>
  <c r="I33" i="31"/>
  <c r="D42" i="31"/>
  <c r="L23" i="31"/>
  <c r="H23" i="31"/>
  <c r="E21" i="31"/>
  <c r="F31" i="31"/>
  <c r="G32" i="31"/>
  <c r="F22" i="31"/>
  <c r="I21" i="31"/>
  <c r="H22" i="31"/>
  <c r="F21" i="31"/>
  <c r="K22" i="31"/>
  <c r="J23" i="31"/>
  <c r="J22" i="31"/>
  <c r="G21" i="31"/>
  <c r="K23" i="31"/>
  <c r="I23" i="31"/>
  <c r="D21" i="31"/>
  <c r="H21" i="31"/>
  <c r="G46" i="31"/>
  <c r="G48" i="31" s="1"/>
  <c r="F46" i="31"/>
  <c r="F48" i="31" s="1"/>
  <c r="E46" i="31"/>
  <c r="E48" i="31" s="1"/>
  <c r="H46" i="31"/>
  <c r="H48" i="31" s="1"/>
  <c r="L46" i="31"/>
  <c r="D46" i="31"/>
  <c r="D48" i="31" s="1"/>
  <c r="J46" i="31"/>
  <c r="J48" i="31" s="1"/>
  <c r="C46" i="31"/>
  <c r="C48" i="31" s="1"/>
  <c r="B20" i="19"/>
  <c r="D25" i="19"/>
  <c r="C25" i="19"/>
  <c r="B25" i="19"/>
  <c r="E25" i="19"/>
  <c r="D20" i="19"/>
  <c r="C20" i="19"/>
  <c r="F25" i="19"/>
  <c r="G25" i="19"/>
  <c r="H25" i="19"/>
  <c r="I25" i="19"/>
  <c r="J25" i="19"/>
  <c r="K25" i="19"/>
  <c r="C26" i="21" l="1"/>
  <c r="D26" i="21"/>
  <c r="E26" i="21"/>
  <c r="F26" i="21"/>
  <c r="G26" i="21"/>
  <c r="H26" i="21"/>
  <c r="I26" i="21"/>
  <c r="J26" i="21"/>
  <c r="K26" i="21"/>
  <c r="B26" i="21"/>
  <c r="G3" i="1" l="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L49"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L46" i="21" s="1"/>
  <c r="K7" i="21"/>
  <c r="K6" i="21"/>
  <c r="N3" i="21"/>
  <c r="M11" i="21"/>
  <c r="M31" i="21" s="1"/>
  <c r="M46"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B28" i="19" l="1"/>
  <c r="B19" i="21" s="1"/>
  <c r="F28" i="19"/>
  <c r="J28" i="19"/>
  <c r="J19" i="21" s="1"/>
  <c r="C28" i="19"/>
  <c r="C19" i="21" s="1"/>
  <c r="K28" i="19"/>
  <c r="K19" i="21" s="1"/>
  <c r="G28" i="19"/>
  <c r="G19" i="21" s="1"/>
  <c r="D22" i="21"/>
  <c r="D28" i="19"/>
  <c r="H22" i="21"/>
  <c r="H28" i="19"/>
  <c r="H19" i="21" s="1"/>
  <c r="E22" i="21"/>
  <c r="E28" i="19"/>
  <c r="E32" i="19" s="1"/>
  <c r="E30" i="21" s="1"/>
  <c r="I22" i="21"/>
  <c r="I28" i="19"/>
  <c r="M12" i="21"/>
  <c r="M32" i="21" s="1"/>
  <c r="M49" i="21" s="1"/>
  <c r="O4" i="21"/>
  <c r="N12" i="21"/>
  <c r="N32" i="21" s="1"/>
  <c r="N49" i="21" s="1"/>
  <c r="O3" i="21"/>
  <c r="N11" i="21"/>
  <c r="N31" i="21" s="1"/>
  <c r="N46" i="21" s="1"/>
  <c r="L29" i="21"/>
  <c r="L9" i="21"/>
  <c r="M1" i="21"/>
  <c r="C40" i="19"/>
  <c r="B22" i="21"/>
  <c r="F19"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6" i="17"/>
  <c r="H9" i="17"/>
  <c r="H7" i="17"/>
  <c r="G7" i="17"/>
  <c r="G6" i="17"/>
  <c r="G9" i="17"/>
  <c r="G8" i="17"/>
  <c r="G11" i="17"/>
  <c r="G10" i="17"/>
  <c r="G12" i="17"/>
  <c r="G5" i="17"/>
  <c r="H5" i="17"/>
  <c r="C2" i="1"/>
  <c r="H8" i="17"/>
  <c r="H10" i="17"/>
  <c r="H11" i="17"/>
  <c r="H12" i="17"/>
  <c r="J7" i="17"/>
  <c r="E33" i="21" l="1"/>
  <c r="E45" i="21"/>
  <c r="B32" i="19"/>
  <c r="B29" i="19"/>
  <c r="G29" i="19"/>
  <c r="F32" i="19"/>
  <c r="F30" i="21" s="1"/>
  <c r="G32" i="19"/>
  <c r="G33" i="19" s="1"/>
  <c r="C32" i="19"/>
  <c r="C33" i="19" s="1"/>
  <c r="F29" i="19"/>
  <c r="K14" i="21"/>
  <c r="J32" i="19"/>
  <c r="J30" i="21" s="1"/>
  <c r="K29" i="19"/>
  <c r="K32" i="19"/>
  <c r="K30" i="21" s="1"/>
  <c r="H32" i="19"/>
  <c r="H30" i="21" s="1"/>
  <c r="C29" i="19"/>
  <c r="J29" i="19"/>
  <c r="G40" i="21"/>
  <c r="J40" i="21"/>
  <c r="B33" i="19"/>
  <c r="B30" i="21"/>
  <c r="D40" i="21"/>
  <c r="K40" i="21"/>
  <c r="P3" i="21"/>
  <c r="P11" i="21" s="1"/>
  <c r="P31" i="21" s="1"/>
  <c r="P46" i="21" s="1"/>
  <c r="O11" i="21"/>
  <c r="O31" i="21" s="1"/>
  <c r="O46" i="21" s="1"/>
  <c r="P4" i="21"/>
  <c r="P12" i="21" s="1"/>
  <c r="P32" i="21" s="1"/>
  <c r="P49" i="21" s="1"/>
  <c r="O12" i="21"/>
  <c r="O32" i="21" s="1"/>
  <c r="O49" i="21" s="1"/>
  <c r="C40" i="21"/>
  <c r="C39" i="21"/>
  <c r="D39" i="21" s="1"/>
  <c r="N1" i="21"/>
  <c r="M29" i="21"/>
  <c r="M9" i="21"/>
  <c r="I29" i="19"/>
  <c r="I19" i="21"/>
  <c r="F13" i="21"/>
  <c r="F18" i="21"/>
  <c r="E29" i="19"/>
  <c r="E19" i="21"/>
  <c r="I32" i="19"/>
  <c r="I30"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11" i="17"/>
  <c r="E7" i="17"/>
  <c r="E8" i="17"/>
  <c r="E12" i="17"/>
  <c r="E10" i="17"/>
  <c r="E9" i="17"/>
  <c r="E6" i="17"/>
  <c r="E5" i="17"/>
  <c r="J8" i="17"/>
  <c r="I33" i="21" l="1"/>
  <c r="I45" i="21"/>
  <c r="H33" i="21"/>
  <c r="H45" i="21"/>
  <c r="F33" i="21"/>
  <c r="F45" i="21"/>
  <c r="P51" i="21"/>
  <c r="Q51" i="21"/>
  <c r="R51" i="21" s="1"/>
  <c r="S51" i="21" s="1"/>
  <c r="T51" i="21" s="1"/>
  <c r="U51" i="21" s="1"/>
  <c r="B66" i="21" s="1"/>
  <c r="P50" i="21"/>
  <c r="Q50" i="21"/>
  <c r="R50" i="21" s="1"/>
  <c r="S50" i="21" s="1"/>
  <c r="T50" i="21" s="1"/>
  <c r="U50" i="21" s="1"/>
  <c r="K33" i="21"/>
  <c r="K34" i="21" s="1"/>
  <c r="K45" i="21"/>
  <c r="B33" i="21"/>
  <c r="B45" i="21"/>
  <c r="Q47" i="21"/>
  <c r="R47" i="21" s="1"/>
  <c r="S47" i="21" s="1"/>
  <c r="T47" i="21" s="1"/>
  <c r="U47" i="21" s="1"/>
  <c r="P48" i="21"/>
  <c r="Q48" i="21"/>
  <c r="R48" i="21" s="1"/>
  <c r="S48" i="21" s="1"/>
  <c r="T48" i="21" s="1"/>
  <c r="U48" i="21" s="1"/>
  <c r="B65" i="21" s="1"/>
  <c r="P47" i="21"/>
  <c r="J33" i="21"/>
  <c r="J45" i="21"/>
  <c r="C34" i="19"/>
  <c r="D34" i="19"/>
  <c r="C30" i="21"/>
  <c r="E34" i="19"/>
  <c r="F33" i="19"/>
  <c r="H34" i="19"/>
  <c r="G30" i="21"/>
  <c r="G34" i="19"/>
  <c r="G35" i="19"/>
  <c r="J33" i="19"/>
  <c r="H33" i="19"/>
  <c r="K35" i="19"/>
  <c r="J35" i="19"/>
  <c r="H35" i="19"/>
  <c r="H36" i="19"/>
  <c r="K33" i="19"/>
  <c r="E35" i="19"/>
  <c r="K34" i="19"/>
  <c r="J34" i="19"/>
  <c r="K35" i="21"/>
  <c r="F35" i="19"/>
  <c r="D30" i="21"/>
  <c r="I35" i="19"/>
  <c r="I36" i="19"/>
  <c r="G36" i="19"/>
  <c r="I34" i="19"/>
  <c r="J36" i="19"/>
  <c r="K36" i="19"/>
  <c r="I33" i="19"/>
  <c r="O1" i="21"/>
  <c r="N29" i="21"/>
  <c r="N9" i="21"/>
  <c r="E39" i="21"/>
  <c r="F39" i="21" s="1"/>
  <c r="G39" i="21" s="1"/>
  <c r="H39" i="21" s="1"/>
  <c r="I39" i="21" s="1"/>
  <c r="J39" i="21" s="1"/>
  <c r="K39" i="21" s="1"/>
  <c r="D33" i="19"/>
  <c r="J9" i="17"/>
  <c r="C33" i="21" l="1"/>
  <c r="C45" i="21"/>
  <c r="B64" i="21" s="1"/>
  <c r="D33" i="21"/>
  <c r="D45" i="21"/>
  <c r="K49" i="21"/>
  <c r="K46" i="21"/>
  <c r="G33" i="21"/>
  <c r="G45" i="21"/>
  <c r="P1" i="21"/>
  <c r="Q1" i="21" s="1"/>
  <c r="R1" i="21" s="1"/>
  <c r="S1" i="21" s="1"/>
  <c r="T1" i="21" s="1"/>
  <c r="U1" i="21" s="1"/>
  <c r="O29" i="21"/>
  <c r="O9" i="21"/>
  <c r="J10" i="17"/>
  <c r="C66" i="21" l="1"/>
  <c r="C65" i="21"/>
  <c r="P29" i="2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9" i="17" s="1"/>
  <c r="I7" i="1"/>
  <c r="B11" i="17" s="1"/>
  <c r="I6" i="1"/>
  <c r="B7" i="17" s="1"/>
  <c r="I2" i="1"/>
  <c r="B5" i="17" s="1"/>
  <c r="I4" i="1"/>
  <c r="B6" i="17" s="1"/>
  <c r="I5" i="1"/>
  <c r="B10" i="17" s="1"/>
  <c r="I3" i="1"/>
  <c r="B8"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11" i="17" s="1"/>
  <c r="K5" i="1"/>
  <c r="C10" i="17" s="1"/>
  <c r="G128" i="1"/>
  <c r="G129" i="1"/>
  <c r="G107" i="1"/>
  <c r="G106" i="1"/>
  <c r="G62" i="1"/>
  <c r="G66" i="1" s="1"/>
  <c r="G67" i="1" s="1"/>
  <c r="K2" i="1" s="1"/>
  <c r="C5" i="17" s="1"/>
  <c r="G85" i="1"/>
  <c r="G84" i="1"/>
  <c r="G74" i="1"/>
  <c r="G73" i="1"/>
  <c r="G132" i="1" l="1"/>
  <c r="G133" i="1" s="1"/>
  <c r="G110" i="1"/>
  <c r="G111" i="1" s="1"/>
  <c r="G88" i="1"/>
  <c r="G89" i="1" s="1"/>
  <c r="G77" i="1"/>
  <c r="G78" i="1" s="1"/>
  <c r="K8" i="1" l="1"/>
  <c r="C9" i="17" s="1"/>
  <c r="K6" i="1"/>
  <c r="C7" i="17" s="1"/>
  <c r="K4" i="1"/>
  <c r="C6" i="17" s="1"/>
  <c r="K3" i="1"/>
  <c r="C8" i="17" s="1"/>
  <c r="F29" i="1"/>
  <c r="B49" i="1" s="1"/>
  <c r="B50" i="1" s="1"/>
  <c r="D29" i="1"/>
  <c r="D43" i="1" s="1"/>
  <c r="C29" i="1"/>
  <c r="C43" i="1" s="1"/>
  <c r="B29" i="1"/>
  <c r="B43" i="1" s="1"/>
  <c r="E29" i="1"/>
  <c r="E43" i="1" s="1"/>
  <c r="B2" i="17" l="1"/>
  <c r="B1" i="17"/>
  <c r="K5" i="17" s="1"/>
  <c r="L17" i="1"/>
  <c r="F43" i="1"/>
  <c r="C21" i="1" s="1"/>
  <c r="K55" i="17" l="1"/>
  <c r="N55" i="17" s="1"/>
  <c r="O55" i="17" s="1"/>
  <c r="K53" i="17"/>
  <c r="N53" i="17" s="1"/>
  <c r="O53" i="17" s="1"/>
  <c r="K49" i="17"/>
  <c r="N49" i="17" s="1"/>
  <c r="O49" i="17" s="1"/>
  <c r="K45" i="17"/>
  <c r="N45" i="17" s="1"/>
  <c r="O45" i="17" s="1"/>
  <c r="K47" i="17"/>
  <c r="N47" i="17" s="1"/>
  <c r="O47" i="17" s="1"/>
  <c r="K51" i="17"/>
  <c r="N51" i="17" s="1"/>
  <c r="O51" i="17" s="1"/>
  <c r="K43" i="17"/>
  <c r="N43" i="17" s="1"/>
  <c r="O43" i="17" s="1"/>
  <c r="K41" i="17"/>
  <c r="N41" i="17" s="1"/>
  <c r="O41" i="17" s="1"/>
  <c r="K37" i="17"/>
  <c r="N37" i="17" s="1"/>
  <c r="O37" i="17" s="1"/>
  <c r="K39" i="17"/>
  <c r="N39" i="17" s="1"/>
  <c r="O39" i="17" s="1"/>
  <c r="K35" i="17"/>
  <c r="N35" i="17" s="1"/>
  <c r="O35" i="17" s="1"/>
  <c r="K33" i="17"/>
  <c r="N33" i="17" s="1"/>
  <c r="O33" i="17" s="1"/>
  <c r="K29" i="17"/>
  <c r="N29" i="17" s="1"/>
  <c r="O29" i="17" s="1"/>
  <c r="K25" i="17"/>
  <c r="N25" i="17" s="1"/>
  <c r="O25" i="17" s="1"/>
  <c r="K52" i="17"/>
  <c r="N52" i="17" s="1"/>
  <c r="O52" i="17" s="1"/>
  <c r="K48" i="17"/>
  <c r="N48" i="17" s="1"/>
  <c r="O48" i="17" s="1"/>
  <c r="K44" i="17"/>
  <c r="N44" i="17" s="1"/>
  <c r="O44" i="17" s="1"/>
  <c r="K40" i="17"/>
  <c r="N40" i="17" s="1"/>
  <c r="O40" i="17" s="1"/>
  <c r="K36" i="17"/>
  <c r="N36" i="17" s="1"/>
  <c r="O36" i="17" s="1"/>
  <c r="K32" i="17"/>
  <c r="N32" i="17" s="1"/>
  <c r="O32" i="17" s="1"/>
  <c r="K28" i="17"/>
  <c r="N28" i="17" s="1"/>
  <c r="O28" i="17" s="1"/>
  <c r="K24" i="17"/>
  <c r="N24" i="17" s="1"/>
  <c r="O24" i="17" s="1"/>
  <c r="K27" i="17"/>
  <c r="N27" i="17" s="1"/>
  <c r="O27" i="17" s="1"/>
  <c r="K23" i="17"/>
  <c r="N23" i="17" s="1"/>
  <c r="O23" i="17" s="1"/>
  <c r="K31" i="17"/>
  <c r="N31" i="17" s="1"/>
  <c r="O31" i="17" s="1"/>
  <c r="K54" i="17"/>
  <c r="N54" i="17" s="1"/>
  <c r="O54" i="17" s="1"/>
  <c r="K50" i="17"/>
  <c r="N50" i="17" s="1"/>
  <c r="O50" i="17" s="1"/>
  <c r="K46" i="17"/>
  <c r="N46" i="17" s="1"/>
  <c r="O46" i="17" s="1"/>
  <c r="K42" i="17"/>
  <c r="N42" i="17" s="1"/>
  <c r="O42" i="17" s="1"/>
  <c r="K38" i="17"/>
  <c r="N38" i="17" s="1"/>
  <c r="O38" i="17" s="1"/>
  <c r="K34" i="17"/>
  <c r="N34" i="17" s="1"/>
  <c r="O34" i="17" s="1"/>
  <c r="K30" i="17"/>
  <c r="N30" i="17" s="1"/>
  <c r="O30" i="17" s="1"/>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D5" i="17" l="1"/>
  <c r="D12" i="17"/>
  <c r="D6" i="17"/>
  <c r="D10" i="17"/>
  <c r="D9" i="17"/>
  <c r="D11" i="17"/>
  <c r="D8" i="17"/>
  <c r="D7" i="17"/>
  <c r="F21" i="1"/>
  <c r="L18" i="1" s="1"/>
  <c r="L35" i="17" l="1"/>
  <c r="L25" i="17"/>
  <c r="M35" i="17"/>
  <c r="M51" i="17"/>
  <c r="L45" i="17"/>
  <c r="L14" i="17"/>
  <c r="M6" i="17"/>
  <c r="L27" i="17"/>
  <c r="M8" i="17"/>
  <c r="M50" i="17"/>
  <c r="M46" i="17"/>
  <c r="L36" i="17"/>
  <c r="L40" i="17"/>
  <c r="L16" i="17"/>
  <c r="L10" i="17"/>
  <c r="M53" i="17"/>
  <c r="L44" i="17"/>
  <c r="M15" i="17"/>
  <c r="M32" i="17"/>
  <c r="M30" i="17"/>
  <c r="L51" i="17"/>
  <c r="L8" i="17"/>
  <c r="L26" i="17"/>
  <c r="L42" i="17"/>
  <c r="M13" i="17"/>
  <c r="L47" i="17"/>
  <c r="L43" i="17"/>
  <c r="M7" i="17"/>
  <c r="L48" i="17"/>
  <c r="L37" i="17"/>
  <c r="L15" i="17"/>
  <c r="L24" i="17"/>
  <c r="M48" i="17"/>
  <c r="L11" i="17"/>
  <c r="M5" i="17"/>
  <c r="M28" i="17"/>
  <c r="M31" i="17"/>
  <c r="L17" i="17"/>
  <c r="M11" i="17"/>
  <c r="L23" i="17"/>
  <c r="L55" i="17"/>
  <c r="M19" i="17"/>
  <c r="M10" i="17"/>
  <c r="L49" i="17"/>
  <c r="M17" i="17"/>
  <c r="M44" i="17"/>
  <c r="M39" i="17"/>
  <c r="L54" i="17"/>
  <c r="L21" i="17"/>
  <c r="M38" i="17"/>
  <c r="M47" i="17"/>
  <c r="L19" i="17"/>
  <c r="M21" i="17"/>
  <c r="L38" i="17"/>
  <c r="M45" i="17"/>
  <c r="L53" i="17"/>
  <c r="L13" i="17"/>
  <c r="M54" i="17"/>
  <c r="L5" i="17"/>
  <c r="L9" i="17"/>
  <c r="M43" i="17"/>
  <c r="M14" i="17"/>
  <c r="M37" i="17"/>
  <c r="L50" i="17"/>
  <c r="L33" i="17"/>
  <c r="L30" i="17" s="1"/>
  <c r="L12" i="17"/>
  <c r="L39" i="17"/>
  <c r="L7" i="17"/>
  <c r="M22" i="17"/>
  <c r="L28" i="17"/>
  <c r="M29" i="17"/>
  <c r="M24" i="17"/>
  <c r="L46" i="17"/>
  <c r="M12" i="17"/>
  <c r="M23" i="17"/>
  <c r="M26" i="17"/>
  <c r="M40" i="17"/>
  <c r="M49" i="17"/>
  <c r="L32" i="17"/>
  <c r="M52" i="17"/>
  <c r="M16" i="17"/>
  <c r="M27" i="17"/>
  <c r="L18" i="17"/>
  <c r="M20" i="17"/>
  <c r="L41" i="17"/>
  <c r="M9" i="17"/>
  <c r="L22" i="17"/>
  <c r="M34" i="17"/>
  <c r="M36" i="17"/>
  <c r="L20" i="17"/>
  <c r="L31" i="17"/>
  <c r="M18" i="17"/>
  <c r="M33" i="17"/>
  <c r="M41" i="17"/>
  <c r="L52" i="17"/>
  <c r="L34" i="17"/>
  <c r="M25" i="17"/>
  <c r="M55" i="17"/>
  <c r="L6" i="17"/>
  <c r="L29" i="17"/>
  <c r="M42" i="17"/>
  <c r="D22" i="1"/>
  <c r="C22" i="1"/>
  <c r="E22" i="1"/>
  <c r="B22" i="1"/>
  <c r="I12" i="1"/>
</calcChain>
</file>

<file path=xl/comments1.xml><?xml version="1.0" encoding="utf-8"?>
<comments xmlns="http://schemas.openxmlformats.org/spreadsheetml/2006/main">
  <authors>
    <author>Erik Kobayashi-Solomon</author>
  </authors>
  <commentList>
    <comment ref="I1" authorId="0" shapeId="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text>
        <r>
          <rPr>
            <b/>
            <sz val="9"/>
            <color indexed="81"/>
            <rFont val="Tahoma"/>
            <family val="2"/>
          </rPr>
          <t>Erik Kobayashi-Solomon:</t>
        </r>
        <r>
          <rPr>
            <sz val="9"/>
            <color indexed="81"/>
            <rFont val="Tahoma"/>
            <family val="2"/>
          </rPr>
          <t xml:space="preserve">
We usually recommend 10% for a large cap firm and 12% for a small cap one.</t>
        </r>
      </text>
    </comment>
    <comment ref="A8" authorId="0" shapeId="0">
      <text>
        <r>
          <rPr>
            <b/>
            <sz val="9"/>
            <color indexed="81"/>
            <rFont val="Tahoma"/>
            <family val="2"/>
          </rPr>
          <t>Erik Kobayashi-Solomon:</t>
        </r>
        <r>
          <rPr>
            <sz val="9"/>
            <color indexed="81"/>
            <rFont val="Tahoma"/>
            <family val="2"/>
          </rPr>
          <t xml:space="preserve">
These are the best and worst revenue growth rates that can be achieved with the level of Net Expansionary Growth Investments listed below.</t>
        </r>
      </text>
    </comment>
    <comment ref="A13" authorId="0" shapeId="0">
      <text>
        <r>
          <rPr>
            <b/>
            <sz val="9"/>
            <color indexed="81"/>
            <rFont val="Tahoma"/>
            <family val="2"/>
          </rPr>
          <t>Erik Kobayashi-Solomon:</t>
        </r>
        <r>
          <rPr>
            <sz val="9"/>
            <color indexed="81"/>
            <rFont val="Tahoma"/>
            <family val="2"/>
          </rPr>
          <t xml:space="preserve">
These represent any assets or liabilities whose full value are not represented on the firm's balance sheet. An asset example would be property that can be sold for more than its book value (the value should be added to the valuation). A liability example would be an off-balance sheet obligation a-la Enron's Special Purpose Vehicles (the value should be deducted from the valuation).</t>
        </r>
      </text>
    </comment>
    <comment ref="A16" authorId="0" shapeId="0">
      <text>
        <r>
          <rPr>
            <b/>
            <sz val="9"/>
            <color indexed="81"/>
            <rFont val="Tahoma"/>
            <family val="2"/>
          </rPr>
          <t>Erik Kobayashi-Solomon:</t>
        </r>
        <r>
          <rPr>
            <sz val="9"/>
            <color indexed="81"/>
            <rFont val="Tahoma"/>
            <family val="2"/>
          </rPr>
          <t xml:space="preserve">
This is the length of the period directly following the five years of the explicit forecast period. This can be anywhere from 0 years (for a mature firm in a mature industry) to 15 years (for a young company in a new field).</t>
        </r>
      </text>
    </comment>
  </commentList>
</comments>
</file>

<file path=xl/comments2.xml><?xml version="1.0" encoding="utf-8"?>
<comments xmlns="http://schemas.openxmlformats.org/spreadsheetml/2006/main">
  <authors>
    <author>Erik Kobayashi-Solomon</author>
  </authors>
  <commentList>
    <comment ref="A10" authorId="0" shapeId="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text>
        <r>
          <rPr>
            <b/>
            <sz val="9"/>
            <color indexed="81"/>
            <rFont val="Tahoma"/>
            <family val="2"/>
          </rPr>
          <t>Erik Kobayashi-Solomon:</t>
        </r>
        <r>
          <rPr>
            <sz val="9"/>
            <color indexed="81"/>
            <rFont val="Tahoma"/>
            <family val="2"/>
          </rPr>
          <t xml:space="preserve">
Enter as a positive value.</t>
        </r>
      </text>
    </comment>
    <comment ref="A21" authorId="0" shapeId="0">
      <text>
        <r>
          <rPr>
            <b/>
            <sz val="9"/>
            <color indexed="81"/>
            <rFont val="Tahoma"/>
            <family val="2"/>
          </rPr>
          <t>Erik Kobayashi-Solomon:</t>
        </r>
        <r>
          <rPr>
            <sz val="9"/>
            <color indexed="81"/>
            <rFont val="Tahoma"/>
            <family val="2"/>
          </rPr>
          <t xml:space="preserve">
Enter as a negative value.</t>
        </r>
      </text>
    </comment>
    <comment ref="A25" authorId="0" shapeId="0">
      <text>
        <r>
          <rPr>
            <b/>
            <sz val="9"/>
            <color indexed="81"/>
            <rFont val="Tahoma"/>
            <family val="2"/>
          </rPr>
          <t>Erik Kobayashi-Solomon:</t>
        </r>
        <r>
          <rPr>
            <sz val="9"/>
            <color indexed="81"/>
            <rFont val="Tahoma"/>
            <family val="2"/>
          </rPr>
          <t xml:space="preserve">
Make sure that you get the units right on this.</t>
        </r>
      </text>
    </comment>
  </commentList>
</comments>
</file>

<file path=xl/sharedStrings.xml><?xml version="1.0" encoding="utf-8"?>
<sst xmlns="http://schemas.openxmlformats.org/spreadsheetml/2006/main" count="465" uniqueCount="252">
  <si>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</si>
  <si>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</si>
  <si>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</si>
  <si>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</si>
  <si>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</si>
  <si>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</si>
  <si>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</si>
  <si>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</si>
  <si>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</si>
  <si>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</si>
  <si>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</si>
  <si>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</si>
  <si>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</si>
  <si>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</si>
  <si>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</si>
  <si>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</si>
  <si>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</si>
  <si>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</si>
  <si>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</si>
  <si>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</si>
  <si>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</si>
  <si>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</si>
  <si>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</si>
  <si>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</si>
  <si>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</si>
  <si>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</si>
  <si>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</si>
  <si>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</si>
  <si>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</si>
  <si>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</si>
  <si>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</si>
  <si>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</si>
  <si>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</si>
  <si>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</si>
  <si>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</si>
  <si>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</si>
  <si>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</si>
  <si>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</si>
  <si>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</si>
  <si>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</si>
  <si>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</si>
  <si>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</si>
  <si>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</si>
  <si>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</si>
  <si>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</si>
  <si>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</si>
  <si>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</si>
  <si>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</si>
  <si>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</si>
  <si>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</si>
  <si>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</si>
  <si>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</si>
  <si>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</si>
  <si>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</si>
  <si>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</si>
  <si>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</si>
  <si>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</si>
  <si>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</si>
  <si>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</si>
  <si>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</si>
  <si>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</si>
  <si>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</si>
  <si>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</si>
  <si>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</si>
  <si>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</si>
  <si>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</si>
  <si>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</si>
  <si>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</si>
  <si>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</si>
  <si>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</si>
  <si>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</si>
  <si>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</si>
  <si>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</si>
  <si>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</si>
  <si>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</si>
  <si>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</si>
  <si>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</si>
  <si>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</si>
  <si>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</si>
  <si>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</si>
  <si>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</si>
  <si>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</si>
  <si>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</si>
  <si>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</si>
  <si>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</si>
  <si>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</si>
  <si>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</si>
  <si>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</si>
  <si>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</si>
  <si>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</si>
  <si>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</si>
  <si>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</si>
  <si>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</si>
  <si>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</si>
  <si>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</si>
  <si>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</si>
  <si>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</si>
  <si>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</si>
  <si>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</si>
  <si>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</si>
  <si>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</si>
  <si>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</si>
  <si>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</si>
  <si>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</si>
  <si>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</si>
  <si>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</si>
  <si>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</si>
  <si>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</si>
  <si>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</si>
  <si>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</si>
  <si>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</si>
  <si>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</si>
  <si>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</si>
  <si>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</si>
  <si>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</si>
  <si>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</si>
  <si>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</si>
  <si>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</si>
  <si>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</si>
  <si>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</si>
  <si>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</si>
  <si>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</si>
  <si>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</si>
  <si>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</si>
  <si>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</si>
  <si>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</si>
  <si>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</si>
  <si>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</si>
  <si>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</si>
  <si>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</si>
  <si>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</si>
  <si>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</si>
  <si>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</si>
  <si>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</si>
  <si>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</si>
  <si>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</si>
  <si>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</si>
  <si>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</si>
  <si>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</si>
  <si>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</si>
  <si>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</si>
  <si>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</si>
  <si>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</si>
  <si>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</si>
  <si>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</si>
  <si>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</si>
  <si>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</si>
  <si>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</si>
  <si>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</si>
  <si>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</si>
  <si>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</si>
  <si>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</si>
  <si>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</si>
  <si>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</si>
  <si>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</si>
  <si>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</si>
  <si>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</si>
  <si>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</si>
  <si>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</si>
  <si>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</si>
  <si>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</si>
  <si>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</si>
  <si>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</si>
  <si>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</si>
  <si>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</si>
  <si>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</si>
  <si>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</si>
  <si>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</si>
  <si>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</si>
  <si>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</si>
  <si>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</si>
  <si>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</si>
  <si>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</si>
  <si>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</si>
  <si>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</si>
  <si>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</si>
  <si>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</si>
  <si>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</si>
  <si>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</si>
  <si>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</si>
  <si>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</si>
  <si>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</si>
  <si>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</si>
  <si>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</si>
  <si>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</si>
  <si>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</si>
  <si>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</si>
  <si>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</si>
  <si>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</si>
  <si>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</si>
  <si>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</si>
  <si>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Bristol-Meyers Squibb</t>
  </si>
  <si>
    <t>BMY</t>
  </si>
  <si>
    <t>Marketed Products</t>
  </si>
  <si>
    <t>Virology</t>
  </si>
  <si>
    <t>Notes</t>
  </si>
  <si>
    <t>Baraclude</t>
  </si>
  <si>
    <t>Hep B, patent expired 2016 in EU and Jap, 2014 in US</t>
  </si>
  <si>
    <t>Hep C Franchise</t>
  </si>
  <si>
    <t>Hep C, patent ex 2027/28</t>
  </si>
  <si>
    <t>Reyataz</t>
  </si>
  <si>
    <t>HIV, patent expires 2017</t>
  </si>
  <si>
    <t>Sustiva</t>
  </si>
  <si>
    <t>HIV; patent ex 2017</t>
  </si>
  <si>
    <t>Atripla</t>
  </si>
  <si>
    <t>HIV; JV w/ Gilead</t>
  </si>
  <si>
    <t>Evotaz (Reyataz/Cobicistat)</t>
  </si>
  <si>
    <t>HIV; single pill combo treatment; Gilead</t>
  </si>
  <si>
    <t>Oncology</t>
  </si>
  <si>
    <t>Empliciti</t>
  </si>
  <si>
    <t>Multiple myeloma; patent ex 2026</t>
  </si>
  <si>
    <t>Erbitux</t>
  </si>
  <si>
    <t>Opdivo</t>
  </si>
  <si>
    <t>Melanoma, neck, lung, kidney, blood cancer; Ono sells in Japan, SK and Taiwan; patent 2026</t>
  </si>
  <si>
    <t>Sprycel</t>
  </si>
  <si>
    <t>Leukemia; Partner w/ Otsuka in US/EU; patent ex 2020-1</t>
  </si>
  <si>
    <t>Yervoy</t>
  </si>
  <si>
    <t>Melanoma; patent ex 2025</t>
  </si>
  <si>
    <t>Antipsycotic; Turned over to Otsuka to market</t>
  </si>
  <si>
    <t>Rheumatoid arthritis; patent expires 2017 in EU</t>
  </si>
  <si>
    <t>Atrial fibrillation; prevent blood clots; Partner w/ Pfizer; patent ex 2022 in EU</t>
  </si>
  <si>
    <t>Mature Products and all other</t>
  </si>
  <si>
    <t>Off-patent products</t>
  </si>
  <si>
    <t>Other</t>
  </si>
  <si>
    <t>Abilify (Neuroscience)</t>
  </si>
  <si>
    <t>Orencia (Immunocscience)</t>
  </si>
  <si>
    <t>Eliquis (Cardiovascular)</t>
  </si>
  <si>
    <t>Plavix (Cardiovascular)</t>
  </si>
  <si>
    <t>Bydureon</t>
  </si>
  <si>
    <t>Byetta</t>
  </si>
  <si>
    <t>Forxiga/Xigduo</t>
  </si>
  <si>
    <t>Onglyza/Kombiglyze</t>
  </si>
  <si>
    <t>Total Revenues</t>
  </si>
  <si>
    <t>Marketed Total</t>
  </si>
  <si>
    <t>Avapro / Avalide (Cardiovascular)</t>
  </si>
  <si>
    <t>Metabolics / Diabetes</t>
  </si>
  <si>
    <t>Historical</t>
  </si>
  <si>
    <t>Best-Case (Investing)</t>
  </si>
  <si>
    <t>Worst-Case (Investing)</t>
  </si>
  <si>
    <t>Worst-Case (Implicit)</t>
  </si>
  <si>
    <t>Best-Case (Short-Term)</t>
  </si>
  <si>
    <t>Best-Case (Medium-Term)</t>
  </si>
  <si>
    <t>Worst-Case (Medium-Term)</t>
  </si>
  <si>
    <t>Best-Case</t>
  </si>
  <si>
    <t>Worst Case</t>
  </si>
  <si>
    <t>Inc/Dec</t>
  </si>
  <si>
    <t>Aggregate 10-Year FCFO</t>
  </si>
  <si>
    <t>!!!ALL PIPELINE PROJECTIONS COME FROM SELL-SIDE RESEARCH!!!</t>
  </si>
  <si>
    <t>Best-Case OCP</t>
  </si>
  <si>
    <t>Worst-Case OCP</t>
  </si>
  <si>
    <t>Year</t>
  </si>
  <si>
    <t>Historical OCP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</si>
</sst>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quot;e&quot;"/>
  </numFmts>
  <fonts count="58">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sz val="9"/>
      <name val="Geneva"/>
    </font>
    <font>
      <b/>
      <u/>
      <sz val="10"/>
      <name val="Arial"/>
      <family val="2"/>
    </font>
    <font>
      <b/>
      <sz val="10"/>
      <name val="Arial"/>
      <family val="2"/>
    </font>
    <font>
      <b/>
      <u/>
      <sz val="10"/>
      <color rgb="FF0049AA"/>
      <name val="Arial"/>
      <family val="2"/>
    </font>
    <font>
      <b/>
      <sz val="10"/>
      <color rgb="FF0049AA"/>
      <name val="Arial"/>
      <family val="2"/>
    </font>
  </fonts>
  <fills count="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s>
  <borders count="24">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s>
  <cellStyleXfs count="131">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xf numFmtId="0" fontId="53" fillId="0" borderId="0"/>
    <xf numFmtId="43" fontId="53" fillId="0" borderId="0" applyFont="0" applyFill="0" applyBorder="0" applyAlignment="0" applyProtection="0"/>
    <xf numFmtId="9" fontId="53" fillId="0" borderId="0" applyFont="0" applyFill="0" applyBorder="0" applyAlignment="0" applyProtection="0"/>
    <xf numFmtId="44" fontId="53" fillId="0" borderId="0" applyFont="0" applyFill="0" applyBorder="0" applyAlignment="0" applyProtection="0"/>
  </cellStyleXfs>
  <cellXfs count="179">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5" fontId="0" fillId="2" borderId="0" xfId="1" applyNumberFormat="1" applyFont="1" applyFill="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9" fontId="0" fillId="2" borderId="4" xfId="0" applyNumberForma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0" fontId="54" fillId="0" borderId="0" xfId="127" applyFont="1"/>
    <xf numFmtId="0" fontId="14" fillId="0" borderId="0" xfId="127" applyFont="1"/>
    <xf numFmtId="165" fontId="14" fillId="0" borderId="0" xfId="128" applyNumberFormat="1" applyFont="1"/>
    <xf numFmtId="0" fontId="14" fillId="0" borderId="1" xfId="127" applyFont="1" applyBorder="1"/>
    <xf numFmtId="165" fontId="14" fillId="0" borderId="1" xfId="128" applyNumberFormat="1" applyFont="1" applyBorder="1"/>
    <xf numFmtId="208" fontId="56" fillId="0" borderId="0" xfId="127" applyNumberFormat="1" applyFont="1"/>
    <xf numFmtId="0" fontId="14" fillId="0" borderId="0" xfId="127" applyFont="1" applyBorder="1"/>
    <xf numFmtId="165" fontId="14" fillId="0" borderId="0" xfId="128" applyNumberFormat="1" applyFont="1" applyBorder="1"/>
    <xf numFmtId="9" fontId="14" fillId="0" borderId="0" xfId="3" applyFont="1" applyBorder="1"/>
    <xf numFmtId="0" fontId="14" fillId="0" borderId="0" xfId="127" applyFont="1" applyBorder="1" applyAlignment="1">
      <alignment horizontal="left" indent="1"/>
    </xf>
    <xf numFmtId="0" fontId="14" fillId="0" borderId="2" xfId="127" applyFont="1" applyBorder="1"/>
    <xf numFmtId="165" fontId="14" fillId="0" borderId="2" xfId="128" applyNumberFormat="1" applyFont="1" applyBorder="1"/>
    <xf numFmtId="165" fontId="14" fillId="0" borderId="1" xfId="127" applyNumberFormat="1" applyFont="1" applyBorder="1"/>
    <xf numFmtId="0" fontId="55" fillId="0" borderId="1" xfId="127" applyFont="1" applyBorder="1"/>
    <xf numFmtId="165" fontId="14" fillId="0" borderId="2" xfId="127" applyNumberFormat="1" applyFont="1" applyBorder="1"/>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57" fillId="0" borderId="0" xfId="127" applyFont="1" applyAlignment="1">
      <alignment horizontal="center"/>
    </xf>
  </cellXfs>
  <cellStyles count="131">
    <cellStyle name="$(0)" xfId="8"/>
    <cellStyle name="(0)" xfId="9"/>
    <cellStyle name="(0.0%)" xfId="10"/>
    <cellStyle name="75" xfId="11"/>
    <cellStyle name="AcNote" xfId="12"/>
    <cellStyle name="ÅëÈ­ [0]_±âÅ¸" xfId="13"/>
    <cellStyle name="ÅëÈ­_±âÅ¸" xfId="14"/>
    <cellStyle name="args.style" xfId="15"/>
    <cellStyle name="ÄÞ¸¶ [0]_±âÅ¸" xfId="16"/>
    <cellStyle name="ÄÞ¸¶_±âÅ¸" xfId="17"/>
    <cellStyle name="Body" xfId="18"/>
    <cellStyle name="Ç¥ÁØ_¿¬°£´©°è¿¹»ó" xfId="19"/>
    <cellStyle name="Calc Currency (0)" xfId="20"/>
    <cellStyle name="Calc Currency (2)" xfId="21"/>
    <cellStyle name="Calc Percent (0)" xfId="22"/>
    <cellStyle name="Calc Percent (1)" xfId="23"/>
    <cellStyle name="Calc Percent (2)" xfId="24"/>
    <cellStyle name="Calc Units (0)" xfId="25"/>
    <cellStyle name="Calc Units (1)" xfId="26"/>
    <cellStyle name="Calc Units (2)" xfId="27"/>
    <cellStyle name="Comma" xfId="1" builtinId="3"/>
    <cellStyle name="Comma  - Style1" xfId="28"/>
    <cellStyle name="Comma  - Style2" xfId="29"/>
    <cellStyle name="Comma  - Style3" xfId="30"/>
    <cellStyle name="Comma  - Style4" xfId="31"/>
    <cellStyle name="Comma  - Style5" xfId="32"/>
    <cellStyle name="Comma  - Style6" xfId="33"/>
    <cellStyle name="Comma  - Style7" xfId="34"/>
    <cellStyle name="Comma  - Style8" xfId="35"/>
    <cellStyle name="Comma [00]" xfId="36"/>
    <cellStyle name="Comma 2" xfId="6"/>
    <cellStyle name="Comma 3" xfId="128"/>
    <cellStyle name="Comma0" xfId="37"/>
    <cellStyle name="Copied" xfId="38"/>
    <cellStyle name="Currency" xfId="2" builtinId="4"/>
    <cellStyle name="Currency [00]" xfId="39"/>
    <cellStyle name="Currency 2" xfId="40"/>
    <cellStyle name="Currency 3" xfId="130"/>
    <cellStyle name="Currency M*" xfId="41"/>
    <cellStyle name="Currency0" xfId="42"/>
    <cellStyle name="Currwncy [0]_laroux_1¿ùÈ¸ºñ³»¿ª (2)_±¸¹Ì´ëÃ¥" xfId="43"/>
    <cellStyle name="Date" xfId="44"/>
    <cellStyle name="Date Short" xfId="45"/>
    <cellStyle name="Date_BRANCHWISE FOR BDTEAM FY 07-08(BEFORE AUDIT)" xfId="46"/>
    <cellStyle name="DELTA" xfId="47"/>
    <cellStyle name="Dollar" xfId="48"/>
    <cellStyle name="Dollar0Decimals" xfId="49"/>
    <cellStyle name="Dollar2Decimals" xfId="50"/>
    <cellStyle name="Enter Currency (0)" xfId="51"/>
    <cellStyle name="Enter Currency (2)" xfId="52"/>
    <cellStyle name="Enter Units (0)" xfId="53"/>
    <cellStyle name="Enter Units (1)" xfId="54"/>
    <cellStyle name="Enter Units (2)" xfId="55"/>
    <cellStyle name="Entered" xfId="56"/>
    <cellStyle name="Euro" xfId="57"/>
    <cellStyle name="Fixed" xfId="58"/>
    <cellStyle name="Formula" xfId="59"/>
    <cellStyle name="Grey" xfId="60"/>
    <cellStyle name="Header" xfId="61"/>
    <cellStyle name="Header1" xfId="62"/>
    <cellStyle name="Header2" xfId="63"/>
    <cellStyle name="HEADINGS" xfId="64"/>
    <cellStyle name="HEADINGSTOP" xfId="65"/>
    <cellStyle name="Hypertextový odkaz" xfId="66"/>
    <cellStyle name="Input [yellow]" xfId="67"/>
    <cellStyle name="Inputs" xfId="68"/>
    <cellStyle name="Link Currency (0)" xfId="69"/>
    <cellStyle name="Link Currency (2)" xfId="70"/>
    <cellStyle name="Link Units (0)" xfId="71"/>
    <cellStyle name="Link Units (1)" xfId="72"/>
    <cellStyle name="Link Units (2)" xfId="73"/>
    <cellStyle name="Multiple" xfId="74"/>
    <cellStyle name="Name" xfId="75"/>
    <cellStyle name="New Times Roman" xfId="76"/>
    <cellStyle name="NewAcct" xfId="77"/>
    <cellStyle name="no dec" xfId="78"/>
    <cellStyle name="Normal" xfId="0" builtinId="0"/>
    <cellStyle name="Normal - Style1" xfId="79"/>
    <cellStyle name="Normal 2" xfId="5"/>
    <cellStyle name="Normal 3" xfId="80"/>
    <cellStyle name="Normal 4" xfId="81"/>
    <cellStyle name="Normal 5" xfId="82"/>
    <cellStyle name="Normal 6" xfId="83"/>
    <cellStyle name="Normal 6 2" xfId="84"/>
    <cellStyle name="Normal 6 3" xfId="4"/>
    <cellStyle name="Normal 7" xfId="127"/>
    <cellStyle name="per.style" xfId="85"/>
    <cellStyle name="Percent" xfId="3" builtinId="5"/>
    <cellStyle name="Percent [0]" xfId="86"/>
    <cellStyle name="Percent [00]" xfId="87"/>
    <cellStyle name="Percent [2]" xfId="88"/>
    <cellStyle name="Percent 2" xfId="7"/>
    <cellStyle name="Percent 3" xfId="129"/>
    <cellStyle name="Plain2Decimals" xfId="89"/>
    <cellStyle name="PlainDollar" xfId="90"/>
    <cellStyle name="PlainDollarBoldwBorders" xfId="91"/>
    <cellStyle name="PlainDollardBLUndLine" xfId="92"/>
    <cellStyle name="PlainDollarSS" xfId="93"/>
    <cellStyle name="PlainDollarUndLine" xfId="94"/>
    <cellStyle name="Popis" xfId="95"/>
    <cellStyle name="PrePop Currency (0)" xfId="96"/>
    <cellStyle name="PrePop Currency (2)" xfId="97"/>
    <cellStyle name="PrePop Units (0)" xfId="98"/>
    <cellStyle name="PrePop Units (1)" xfId="99"/>
    <cellStyle name="PrePop Units (2)" xfId="100"/>
    <cellStyle name="R(0)" xfId="101"/>
    <cellStyle name="regstoresfromspecstores" xfId="102"/>
    <cellStyle name="RevList" xfId="103"/>
    <cellStyle name="Row head" xfId="104"/>
    <cellStyle name="SCH1" xfId="105"/>
    <cellStyle name="ScratchPad" xfId="106"/>
    <cellStyle name="SHADEDSTORES" xfId="107"/>
    <cellStyle name="Sledovaný hypertextový odkaz" xfId="108"/>
    <cellStyle name="specstores" xfId="109"/>
    <cellStyle name="SSComma0" xfId="110"/>
    <cellStyle name="SSComma2" xfId="111"/>
    <cellStyle name="SSDecs3" xfId="112"/>
    <cellStyle name="SSDflt" xfId="113"/>
    <cellStyle name="SSDfltPct" xfId="114"/>
    <cellStyle name="SSDfltPct0" xfId="115"/>
    <cellStyle name="SSFixed2" xfId="116"/>
    <cellStyle name="Standard_Balance Sheet" xfId="117"/>
    <cellStyle name="Subtotal" xfId="118"/>
    <cellStyle name="Text Indent A" xfId="119"/>
    <cellStyle name="Text Indent B" xfId="120"/>
    <cellStyle name="Text Indent C" xfId="121"/>
    <cellStyle name="桁区切り [0.00]_PERSONAL" xfId="122"/>
    <cellStyle name="桁区切り_PERSONAL" xfId="123"/>
    <cellStyle name="標準_PERSONAL" xfId="124"/>
    <cellStyle name="通貨 [0.00]_PERSONAL" xfId="125"/>
    <cellStyle name="通貨_PERSONAL" xfId="126"/>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8.xml"/><Relationship Id="rId18" Type="http://schemas.openxmlformats.org/officeDocument/2006/relationships/chartsheet" Target="chartsheets/sheet13.xml"/><Relationship Id="rId26" Type="http://schemas.openxmlformats.org/officeDocument/2006/relationships/externalLink" Target="externalLinks/externalLink2.xml"/><Relationship Id="rId3" Type="http://schemas.openxmlformats.org/officeDocument/2006/relationships/chartsheet" Target="chartsheets/sheet1.xml"/><Relationship Id="rId21" Type="http://schemas.openxmlformats.org/officeDocument/2006/relationships/worksheet" Target="worksheets/sheet8.xml"/><Relationship Id="rId34" Type="http://schemas.openxmlformats.org/officeDocument/2006/relationships/calcChain" Target="calcChain.xml"/><Relationship Id="rId7" Type="http://schemas.openxmlformats.org/officeDocument/2006/relationships/chartsheet" Target="chartsheets/sheet3.xml"/><Relationship Id="rId12" Type="http://schemas.openxmlformats.org/officeDocument/2006/relationships/chartsheet" Target="chartsheets/sheet7.xml"/><Relationship Id="rId17" Type="http://schemas.openxmlformats.org/officeDocument/2006/relationships/chartsheet" Target="chartsheets/sheet12.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1.xml"/><Relationship Id="rId20" Type="http://schemas.openxmlformats.org/officeDocument/2006/relationships/worksheet" Target="worksheets/sheet7.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6.xml"/><Relationship Id="rId24" Type="http://schemas.openxmlformats.org/officeDocument/2006/relationships/worksheet" Target="worksheets/sheet11.xml"/><Relationship Id="rId32"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0.xml"/><Relationship Id="rId23" Type="http://schemas.openxmlformats.org/officeDocument/2006/relationships/worksheet" Target="worksheets/sheet10.xml"/><Relationship Id="rId28" Type="http://schemas.openxmlformats.org/officeDocument/2006/relationships/externalLink" Target="externalLinks/externalLink4.xml"/><Relationship Id="rId10" Type="http://schemas.openxmlformats.org/officeDocument/2006/relationships/chartsheet" Target="chartsheets/sheet5.xml"/><Relationship Id="rId19" Type="http://schemas.openxmlformats.org/officeDocument/2006/relationships/worksheet" Target="worksheets/sheet6.xml"/><Relationship Id="rId31" Type="http://schemas.openxmlformats.org/officeDocument/2006/relationships/theme" Target="theme/theme1.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chartsheet" Target="chartsheets/sheet9.xml"/><Relationship Id="rId22" Type="http://schemas.openxmlformats.org/officeDocument/2006/relationships/worksheet" Target="worksheets/sheet9.xml"/><Relationship Id="rId27" Type="http://schemas.openxmlformats.org/officeDocument/2006/relationships/externalLink" Target="externalLinks/externalLink3.xml"/><Relationship Id="rId30"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en-US"/>
              <a:t>Bristol-Myers Squibb Revenue Breakdown</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areaChart>
        <c:grouping val="stacked"/>
        <c:varyColors val="0"/>
        <c:ser>
          <c:idx val="0"/>
          <c:order val="0"/>
          <c:tx>
            <c:strRef>
              <c:f>'Pipeline Info'!$A$9</c:f>
              <c:strCache>
                <c:ptCount val="1"/>
                <c:pt idx="0">
                  <c:v>Total Virology</c:v>
                </c:pt>
              </c:strCache>
            </c:strRef>
          </c:tx>
          <c:spPr>
            <a:solidFill>
              <a:srgbClr val="00B050"/>
            </a:solidFill>
            <a:ln>
              <a:noFill/>
            </a:ln>
            <a:effectLst/>
          </c:spPr>
          <c:cat>
            <c:numRef>
              <c:f>'Pipeline Info'!$C$1:$L$1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'Pipeline Info'!$C$9:$L$9</c:f>
              <c:numCache>
                <c:formatCode>_(* #,##0_);_(* \(#,##0\);_(* "-"??_);_(@_)</c:formatCode>
                <c:ptCount val="10"/>
                <c:pt idx="0">
                  <c:v>2355</c:v>
                </c:pt>
                <c:pt idx="1">
                  <c:v>2982</c:v>
                </c:pt>
                <c:pt idx="2">
                  <c:v>3412</c:v>
                </c:pt>
                <c:pt idx="3">
                  <c:v>3778</c:v>
                </c:pt>
                <c:pt idx="4">
                  <c:v>4250</c:v>
                </c:pt>
                <c:pt idx="5">
                  <c:v>4436</c:v>
                </c:pt>
                <c:pt idx="6">
                  <c:v>4692</c:v>
                </c:pt>
                <c:pt idx="7">
                  <c:v>4503</c:v>
                </c:pt>
                <c:pt idx="8">
                  <c:v>6386</c:v>
                </c:pt>
                <c:pt idx="9">
                  <c:v>4747</c:v>
                </c:pt>
              </c:numCache>
            </c:numRef>
          </c:val>
          <c:extLst>
            <c:ext xmlns:c16="http://schemas.microsoft.com/office/drawing/2014/chart" uri="{C3380CC4-5D6E-409C-BE32-E72D297353CC}">
              <c16:uniqueId val="{00000000-CE76-428C-B375-39B78E041F01}"/>
            </c:ext>
          </c:extLst>
        </c:ser>
        <c:ser>
          <c:idx val="1"/>
          <c:order val="1"/>
          <c:tx>
            <c:strRef>
              <c:f>'Pipeline Info'!$A$20</c:f>
              <c:strCache>
                <c:ptCount val="1"/>
                <c:pt idx="0">
                  <c:v>Total Oncology</c:v>
                </c:pt>
              </c:strCache>
            </c:strRef>
          </c:tx>
          <c:spPr>
            <a:solidFill>
              <a:srgbClr val="0049AA"/>
            </a:solidFill>
            <a:ln>
              <a:noFill/>
            </a:ln>
            <a:effectLst/>
          </c:spPr>
          <c:cat>
            <c:numRef>
              <c:f>'Pipeline Info'!$C$1:$L$1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'Pipeline Info'!$C$20:$L$20</c:f>
              <c:numCache>
                <c:formatCode>_(* #,##0_);_(* \(#,##0\);_(* "-"??_);_(@_)</c:formatCode>
                <c:ptCount val="10"/>
                <c:pt idx="0">
                  <c:v>850</c:v>
                </c:pt>
                <c:pt idx="1">
                  <c:v>1059</c:v>
                </c:pt>
                <c:pt idx="2">
                  <c:v>1104</c:v>
                </c:pt>
                <c:pt idx="3">
                  <c:v>1238</c:v>
                </c:pt>
                <c:pt idx="4">
                  <c:v>1854</c:v>
                </c:pt>
                <c:pt idx="5">
                  <c:v>2427</c:v>
                </c:pt>
                <c:pt idx="6">
                  <c:v>2936</c:v>
                </c:pt>
                <c:pt idx="7">
                  <c:v>3530</c:v>
                </c:pt>
                <c:pt idx="8">
                  <c:v>4192</c:v>
                </c:pt>
                <c:pt idx="9">
                  <c:v>6801</c:v>
                </c:pt>
              </c:numCache>
            </c:numRef>
          </c:val>
          <c:extLst>
            <c:ext xmlns:c16="http://schemas.microsoft.com/office/drawing/2014/chart" uri="{C3380CC4-5D6E-409C-BE32-E72D297353CC}">
              <c16:uniqueId val="{00000001-CE76-428C-B375-39B78E041F01}"/>
            </c:ext>
          </c:extLst>
        </c:ser>
        <c:ser>
          <c:idx val="2"/>
          <c:order val="2"/>
          <c:tx>
            <c:strRef>
              <c:f>'Pipeline Info'!$A$30</c:f>
              <c:strCache>
                <c:ptCount val="1"/>
                <c:pt idx="0">
                  <c:v>Total Metabolics / Diabetes</c:v>
                </c:pt>
              </c:strCache>
            </c:strRef>
          </c:tx>
          <c:spPr>
            <a:solidFill>
              <a:schemeClr val="tx2">
                <a:lumMod val="20000"/>
                <a:lumOff val="80000"/>
              </a:schemeClr>
            </a:solidFill>
            <a:ln>
              <a:noFill/>
            </a:ln>
            <a:effectLst/>
          </c:spPr>
          <c:cat>
            <c:numRef>
              <c:f>'Pipeline Info'!$C$1:$L$1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'Pipeline Info'!$C$30:$L$30</c:f>
              <c:numCache>
                <c:formatCode>_(* #,##0_);_(* \(#,##0\);_(* "-"??_);_(@_)</c:formatCode>
                <c:ptCount val="10"/>
                <c:pt idx="0">
                  <c:v>0</c:v>
                </c:pt>
                <c:pt idx="1">
                  <c:v>0</c:v>
                </c:pt>
                <c:pt idx="2">
                  <c:v>24</c:v>
                </c:pt>
                <c:pt idx="3">
                  <c:v>158</c:v>
                </c:pt>
                <c:pt idx="4">
                  <c:v>473</c:v>
                </c:pt>
                <c:pt idx="5">
                  <c:v>936</c:v>
                </c:pt>
                <c:pt idx="6">
                  <c:v>1598</c:v>
                </c:pt>
                <c:pt idx="7">
                  <c:v>0</c:v>
                </c:pt>
                <c:pt idx="8">
                  <c:v>0</c:v>
                </c:pt>
                <c:pt idx="9">
                  <c:v>0</c:v>
                </c:pt>
              </c:numCache>
            </c:numRef>
          </c:val>
          <c:extLst>
            <c:ext xmlns:c16="http://schemas.microsoft.com/office/drawing/2014/chart" uri="{C3380CC4-5D6E-409C-BE32-E72D297353CC}">
              <c16:uniqueId val="{00000002-CE76-428C-B375-39B78E041F01}"/>
            </c:ext>
          </c:extLst>
        </c:ser>
        <c:ser>
          <c:idx val="3"/>
          <c:order val="3"/>
          <c:tx>
            <c:strRef>
              <c:f>'Pipeline Info'!$A$41</c:f>
              <c:strCache>
                <c:ptCount val="1"/>
                <c:pt idx="0">
                  <c:v>Total Other</c:v>
                </c:pt>
              </c:strCache>
            </c:strRef>
          </c:tx>
          <c:spPr>
            <a:solidFill>
              <a:srgbClr val="575A5D"/>
            </a:solidFill>
            <a:ln>
              <a:noFill/>
            </a:ln>
            <a:effectLst/>
          </c:spPr>
          <c:cat>
            <c:numRef>
              <c:f>'Pipeline Info'!$C$1:$L$1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'Pipeline Info'!$C$41:$L$41</c:f>
              <c:numCache>
                <c:formatCode>_(* #,##0_);_(* \(#,##0\);_(* "-"??_);_(@_)</c:formatCode>
                <c:ptCount val="10"/>
                <c:pt idx="0">
                  <c:v>7850</c:v>
                </c:pt>
                <c:pt idx="1">
                  <c:v>9487</c:v>
                </c:pt>
                <c:pt idx="2">
                  <c:v>10623</c:v>
                </c:pt>
                <c:pt idx="3">
                  <c:v>11140</c:v>
                </c:pt>
                <c:pt idx="4">
                  <c:v>11714</c:v>
                </c:pt>
                <c:pt idx="5">
                  <c:v>7055</c:v>
                </c:pt>
                <c:pt idx="6">
                  <c:v>4368</c:v>
                </c:pt>
                <c:pt idx="7">
                  <c:v>4446</c:v>
                </c:pt>
                <c:pt idx="8">
                  <c:v>4491</c:v>
                </c:pt>
                <c:pt idx="9">
                  <c:v>5736</c:v>
                </c:pt>
              </c:numCache>
            </c:numRef>
          </c:val>
          <c:extLst>
            <c:ext xmlns:c16="http://schemas.microsoft.com/office/drawing/2014/chart" uri="{C3380CC4-5D6E-409C-BE32-E72D297353CC}">
              <c16:uniqueId val="{00000003-CE76-428C-B375-39B78E041F01}"/>
            </c:ext>
          </c:extLst>
        </c:ser>
        <c:ser>
          <c:idx val="4"/>
          <c:order val="4"/>
          <c:tx>
            <c:strRef>
              <c:f>'Pipeline Info'!$A$48</c:f>
              <c:strCache>
                <c:ptCount val="1"/>
                <c:pt idx="0">
                  <c:v>Mature Products and all other</c:v>
                </c:pt>
              </c:strCache>
            </c:strRef>
          </c:tx>
          <c:spPr>
            <a:solidFill>
              <a:schemeClr val="tx2">
                <a:lumMod val="40000"/>
                <a:lumOff val="60000"/>
              </a:schemeClr>
            </a:solidFill>
            <a:ln>
              <a:noFill/>
            </a:ln>
            <a:effectLst/>
          </c:spPr>
          <c:cat>
            <c:numRef>
              <c:f>'Pipeline Info'!$C$1:$L$1</c:f>
              <c:numCache>
                <c:formatCode>General</c:formatCode>
                <c:ptCount val="10"/>
                <c:pt idx="0">
                  <c:v>2007</c:v>
                </c:pt>
                <c:pt idx="1">
                  <c:v>2008</c:v>
                </c:pt>
                <c:pt idx="2">
                  <c:v>2009</c:v>
                </c:pt>
                <c:pt idx="3">
                  <c:v>2010</c:v>
                </c:pt>
                <c:pt idx="4">
                  <c:v>2011</c:v>
                </c:pt>
                <c:pt idx="5">
                  <c:v>2012</c:v>
                </c:pt>
                <c:pt idx="6">
                  <c:v>2013</c:v>
                </c:pt>
                <c:pt idx="7">
                  <c:v>2014</c:v>
                </c:pt>
                <c:pt idx="8">
                  <c:v>2015</c:v>
                </c:pt>
                <c:pt idx="9">
                  <c:v>2016</c:v>
                </c:pt>
              </c:numCache>
            </c:numRef>
          </c:cat>
          <c:val>
            <c:numRef>
              <c:f>'Pipeline Info'!$C$48:$L$48</c:f>
              <c:numCache>
                <c:formatCode>_(* #,##0_);_(* \(#,##0\);_(* "-"??_);_(@_)</c:formatCode>
                <c:ptCount val="10"/>
                <c:pt idx="0">
                  <c:v>8293</c:v>
                </c:pt>
                <c:pt idx="1">
                  <c:v>4187</c:v>
                </c:pt>
                <c:pt idx="2">
                  <c:v>3645</c:v>
                </c:pt>
                <c:pt idx="3">
                  <c:v>3170</c:v>
                </c:pt>
                <c:pt idx="4">
                  <c:v>2953</c:v>
                </c:pt>
                <c:pt idx="5">
                  <c:v>2767</c:v>
                </c:pt>
                <c:pt idx="6">
                  <c:v>2791</c:v>
                </c:pt>
                <c:pt idx="7">
                  <c:v>3400</c:v>
                </c:pt>
                <c:pt idx="8">
                  <c:v>2571</c:v>
                </c:pt>
                <c:pt idx="9">
                  <c:v>2143</c:v>
                </c:pt>
              </c:numCache>
            </c:numRef>
          </c:val>
          <c:extLst>
            <c:ext xmlns:c16="http://schemas.microsoft.com/office/drawing/2014/chart" uri="{C3380CC4-5D6E-409C-BE32-E72D297353CC}">
              <c16:uniqueId val="{00000004-CE76-428C-B375-39B78E041F01}"/>
            </c:ext>
          </c:extLst>
        </c:ser>
        <c:dLbls>
          <c:showLegendKey val="0"/>
          <c:showVal val="0"/>
          <c:showCatName val="0"/>
          <c:showSerName val="0"/>
          <c:showPercent val="0"/>
          <c:showBubbleSize val="0"/>
        </c:dLbls>
        <c:axId val="573043952"/>
        <c:axId val="573047232"/>
      </c:areaChart>
      <c:catAx>
        <c:axId val="57304395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573047232"/>
        <c:crosses val="autoZero"/>
        <c:auto val="1"/>
        <c:lblAlgn val="ctr"/>
        <c:lblOffset val="100"/>
        <c:noMultiLvlLbl val="0"/>
      </c:catAx>
      <c:valAx>
        <c:axId val="573047232"/>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crossAx val="573043952"/>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Arial Narrow" panose="020B060602020203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2114.3210103580682</c:v>
                </c:pt>
                <c:pt idx="1">
                  <c:v>7347.342948221285</c:v>
                </c:pt>
                <c:pt idx="2">
                  <c:v>1063.7036234128836</c:v>
                </c:pt>
                <c:pt idx="3">
                  <c:v>3180.2837411907794</c:v>
                </c:pt>
                <c:pt idx="4">
                  <c:v>3987.6023269828784</c:v>
                </c:pt>
                <c:pt idx="5">
                  <c:v>-1323.5382819999995</c:v>
                </c:pt>
                <c:pt idx="6">
                  <c:v>2530.4110476195037</c:v>
                </c:pt>
                <c:pt idx="7">
                  <c:v>5569.8220321432436</c:v>
                </c:pt>
                <c:pt idx="8">
                  <c:v>209.76075119037819</c:v>
                </c:pt>
                <c:pt idx="9">
                  <c:v>2253.3622614287742</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2788.0464779999998</c:v>
                </c:pt>
                <c:pt idx="11" formatCode="_(* #,##0_);_(* \(#,##0\);_(* &quot;-&quot;??_);_(@_)">
                  <c:v>2788.0464779999998</c:v>
                </c:pt>
                <c:pt idx="12" formatCode="_(* #,##0_);_(* \(#,##0\);_(* &quot;-&quot;??_);_(@_)">
                  <c:v>2704.4050836599995</c:v>
                </c:pt>
                <c:pt idx="13" formatCode="_(* #,##0_);_(* \(#,##0\);_(* &quot;-&quot;??_);_(@_)">
                  <c:v>2623.2729311501998</c:v>
                </c:pt>
                <c:pt idx="14" formatCode="_(* #,##0_);_(* \(#,##0\);_(* &quot;-&quot;??_);_(@_)">
                  <c:v>2544.5747432156936</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3769.6150800000005</c:v>
                </c:pt>
                <c:pt idx="11" formatCode="_(* #,##0_);_(* \(#,##0\);_(* &quot;-&quot;??_);_(@_)">
                  <c:v>3882.7035324000003</c:v>
                </c:pt>
                <c:pt idx="12" formatCode="_(* #,##0_);_(* \(#,##0\);_(* &quot;-&quot;??_);_(@_)">
                  <c:v>4115.6657443440008</c:v>
                </c:pt>
                <c:pt idx="13" formatCode="_(* #,##0_);_(* \(#,##0\);_(* &quot;-&quot;??_);_(@_)">
                  <c:v>4362.6056890046402</c:v>
                </c:pt>
                <c:pt idx="14" formatCode="_(* #,##0_);_(* \(#,##0\);_(* &quot;-&quot;??_);_(@_)">
                  <c:v>4624.3620303449188</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Data'!$B$33:$P$33</c:f>
              <c:numCache>
                <c:formatCode>0%</c:formatCode>
                <c:ptCount val="15"/>
                <c:pt idx="0">
                  <c:v>0.1092785306159845</c:v>
                </c:pt>
                <c:pt idx="1">
                  <c:v>0.41475263608361757</c:v>
                </c:pt>
                <c:pt idx="2">
                  <c:v>5.6555913622548047E-2</c:v>
                </c:pt>
                <c:pt idx="3">
                  <c:v>0.16322540244255693</c:v>
                </c:pt>
                <c:pt idx="4">
                  <c:v>0.18770487323398977</c:v>
                </c:pt>
                <c:pt idx="5">
                  <c:v>-7.5111417172691652E-2</c:v>
                </c:pt>
                <c:pt idx="6">
                  <c:v>0.15443460772776954</c:v>
                </c:pt>
                <c:pt idx="7">
                  <c:v>0.35076654903603777</c:v>
                </c:pt>
                <c:pt idx="8">
                  <c:v>1.266671202840448E-2</c:v>
                </c:pt>
                <c:pt idx="9">
                  <c:v>0.11599126274920339</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Data'!$B$35:$P$35</c:f>
              <c:numCache>
                <c:formatCode>General</c:formatCode>
                <c:ptCount val="15"/>
                <c:pt idx="9" formatCode="0%">
                  <c:v>0.11599126274920339</c:v>
                </c:pt>
                <c:pt idx="10" formatCode="0.0%">
                  <c:v>0.14280000000000001</c:v>
                </c:pt>
                <c:pt idx="11" formatCode="0.0%">
                  <c:v>0.14280000000000001</c:v>
                </c:pt>
                <c:pt idx="12" formatCode="0.0%">
                  <c:v>0.14280000000000001</c:v>
                </c:pt>
                <c:pt idx="13" formatCode="0.0%">
                  <c:v>0.14280000000000001</c:v>
                </c:pt>
                <c:pt idx="14" formatCode="0.0%">
                  <c:v>0.14280000000000001</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Data'!$B$34:$P$34</c:f>
              <c:numCache>
                <c:formatCode>General</c:formatCode>
                <c:ptCount val="15"/>
                <c:pt idx="9" formatCode="0%">
                  <c:v>0.11599126274920339</c:v>
                </c:pt>
                <c:pt idx="10" formatCode="0.0%">
                  <c:v>0.18479999999999999</c:v>
                </c:pt>
                <c:pt idx="11" formatCode="0.0%">
                  <c:v>0.18479999999999999</c:v>
                </c:pt>
                <c:pt idx="12" formatCode="0.0%">
                  <c:v>0.18479999999999999</c:v>
                </c:pt>
                <c:pt idx="13" formatCode="0.0%">
                  <c:v>0.18479999999999999</c:v>
                </c:pt>
                <c:pt idx="14" formatCode="0.0%">
                  <c:v>0.18479999999999999</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r>
              <a:rPr lang="en-US" sz="1600"/>
              <a:t>Historical FCFO vs. Short- and Medium-Term FCFO Projections</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0"/>
          <c:order val="0"/>
          <c:tx>
            <c:strRef>
              <c:f>'Graphing Data'!$A$44</c:f>
              <c:strCache>
                <c:ptCount val="1"/>
                <c:pt idx="0">
                  <c:v>FCFO</c:v>
                </c:pt>
              </c:strCache>
            </c:strRef>
          </c:tx>
          <c:spPr>
            <a:ln w="28575" cap="rnd">
              <a:solidFill>
                <a:schemeClr val="accent1"/>
              </a:solidFill>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Data'!$B$44:$U$44</c:f>
              <c:numCache>
                <c:formatCode>General</c:formatCode>
                <c:ptCount val="20"/>
              </c:numCache>
            </c:numRef>
          </c:val>
          <c:smooth val="0"/>
          <c:extLst>
            <c:ext xmlns:c16="http://schemas.microsoft.com/office/drawing/2014/chart" uri="{C3380CC4-5D6E-409C-BE32-E72D297353CC}">
              <c16:uniqueId val="{00000000-389D-40FE-8950-50ADBC203B77}"/>
            </c:ext>
          </c:extLst>
        </c:ser>
        <c:ser>
          <c:idx val="1"/>
          <c:order val="1"/>
          <c:tx>
            <c:strRef>
              <c:f>'Graphing Data'!$A$45</c:f>
              <c:strCache>
                <c:ptCount val="1"/>
                <c:pt idx="0">
                  <c:v>Historical</c:v>
                </c:pt>
              </c:strCache>
            </c:strRef>
          </c:tx>
          <c:spPr>
            <a:ln w="28575" cap="rnd">
              <a:solidFill>
                <a:srgbClr val="0049AA"/>
              </a:solidFill>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Data'!$B$45:$U$45</c:f>
              <c:numCache>
                <c:formatCode>_(* #,##0_);_(* \(#,##0\);_(* "-"??_);_(@_)</c:formatCode>
                <c:ptCount val="20"/>
                <c:pt idx="0">
                  <c:v>2114.3210103580682</c:v>
                </c:pt>
                <c:pt idx="1">
                  <c:v>7347.342948221285</c:v>
                </c:pt>
                <c:pt idx="2">
                  <c:v>1063.7036234128836</c:v>
                </c:pt>
                <c:pt idx="3">
                  <c:v>3180.2837411907794</c:v>
                </c:pt>
                <c:pt idx="4">
                  <c:v>3987.6023269828784</c:v>
                </c:pt>
                <c:pt idx="5">
                  <c:v>-1323.5382819999995</c:v>
                </c:pt>
                <c:pt idx="6">
                  <c:v>2530.4110476195037</c:v>
                </c:pt>
                <c:pt idx="7">
                  <c:v>5569.8220321432436</c:v>
                </c:pt>
                <c:pt idx="8">
                  <c:v>209.76075119037819</c:v>
                </c:pt>
                <c:pt idx="9">
                  <c:v>2253.3622614287742</c:v>
                </c:pt>
              </c:numCache>
            </c:numRef>
          </c:val>
          <c:smooth val="0"/>
          <c:extLst>
            <c:ext xmlns:c16="http://schemas.microsoft.com/office/drawing/2014/chart" uri="{C3380CC4-5D6E-409C-BE32-E72D297353CC}">
              <c16:uniqueId val="{00000001-389D-40FE-8950-50ADBC203B77}"/>
            </c:ext>
          </c:extLst>
        </c:ser>
        <c:ser>
          <c:idx val="2"/>
          <c:order val="2"/>
          <c:tx>
            <c:strRef>
              <c:f>'Graphing Data'!$A$46</c:f>
              <c:strCache>
                <c:ptCount val="1"/>
                <c:pt idx="0">
                  <c:v>Best-Case (Short-Term)</c:v>
                </c:pt>
              </c:strCache>
            </c:strRef>
          </c:tx>
          <c:spPr>
            <a:ln w="28575" cap="rnd">
              <a:solidFill>
                <a:srgbClr val="0049AA"/>
              </a:solidFill>
              <a:prstDash val="dash"/>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Data'!$B$46:$U$46</c:f>
              <c:numCache>
                <c:formatCode>General</c:formatCode>
                <c:ptCount val="20"/>
                <c:pt idx="9" formatCode="_(* #,##0_);_(* \(#,##0\);_(* &quot;-&quot;??_);_(@_)">
                  <c:v>2253.3622614287742</c:v>
                </c:pt>
                <c:pt idx="10" formatCode="_(* #,##0_);_(* \(#,##0\);_(* &quot;-&quot;??_);_(@_)">
                  <c:v>3769.6150800000005</c:v>
                </c:pt>
                <c:pt idx="11" formatCode="_(* #,##0_);_(* \(#,##0\);_(* &quot;-&quot;??_);_(@_)">
                  <c:v>3882.7035324000003</c:v>
                </c:pt>
                <c:pt idx="12" formatCode="_(* #,##0_);_(* \(#,##0\);_(* &quot;-&quot;??_);_(@_)">
                  <c:v>4115.6657443440008</c:v>
                </c:pt>
                <c:pt idx="13" formatCode="_(* #,##0_);_(* \(#,##0\);_(* &quot;-&quot;??_);_(@_)">
                  <c:v>4362.6056890046402</c:v>
                </c:pt>
                <c:pt idx="14" formatCode="_(* #,##0_);_(* \(#,##0\);_(* &quot;-&quot;??_);_(@_)">
                  <c:v>4624.3620303449188</c:v>
                </c:pt>
              </c:numCache>
            </c:numRef>
          </c:val>
          <c:smooth val="0"/>
          <c:extLst>
            <c:ext xmlns:c16="http://schemas.microsoft.com/office/drawing/2014/chart" uri="{C3380CC4-5D6E-409C-BE32-E72D297353CC}">
              <c16:uniqueId val="{00000002-389D-40FE-8950-50ADBC203B77}"/>
            </c:ext>
          </c:extLst>
        </c:ser>
        <c:ser>
          <c:idx val="3"/>
          <c:order val="3"/>
          <c:tx>
            <c:strRef>
              <c:f>'Graphing Data'!$A$47</c:f>
              <c:strCache>
                <c:ptCount val="1"/>
                <c:pt idx="0">
                  <c:v>Best-Case (Medium-Term)</c:v>
                </c:pt>
              </c:strCache>
            </c:strRef>
          </c:tx>
          <c:spPr>
            <a:ln w="28575" cap="rnd">
              <a:solidFill>
                <a:srgbClr val="0049AA"/>
              </a:solidFill>
              <a:prstDash val="dash"/>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Data'!$B$47:$U$47</c:f>
              <c:numCache>
                <c:formatCode>General</c:formatCode>
                <c:ptCount val="20"/>
                <c:pt idx="14" formatCode="_(* #,##0_);_(* \(#,##0\);_(* &quot;-&quot;??_);_(@_)">
                  <c:v>4624.3620303449188</c:v>
                </c:pt>
                <c:pt idx="15" formatCode="_(* #,##0_);_(* \(#,##0\);_(* &quot;-&quot;??_);_(@_)">
                  <c:v>5086.7982333794107</c:v>
                </c:pt>
                <c:pt idx="16" formatCode="_(* #,##0_);_(* \(#,##0\);_(* &quot;-&quot;??_);_(@_)">
                  <c:v>5595.478056717352</c:v>
                </c:pt>
                <c:pt idx="17" formatCode="_(* #,##0_);_(* \(#,##0\);_(* &quot;-&quot;??_);_(@_)">
                  <c:v>6155.0258623890877</c:v>
                </c:pt>
                <c:pt idx="18" formatCode="_(* #,##0_);_(* \(#,##0\);_(* &quot;-&quot;??_);_(@_)">
                  <c:v>6770.528448627997</c:v>
                </c:pt>
                <c:pt idx="19" formatCode="_(* #,##0_);_(* \(#,##0\);_(* &quot;-&quot;??_);_(@_)">
                  <c:v>7447.5812934907972</c:v>
                </c:pt>
              </c:numCache>
            </c:numRef>
          </c:val>
          <c:smooth val="0"/>
          <c:extLst>
            <c:ext xmlns:c16="http://schemas.microsoft.com/office/drawing/2014/chart" uri="{C3380CC4-5D6E-409C-BE32-E72D297353CC}">
              <c16:uniqueId val="{00000003-389D-40FE-8950-50ADBC203B77}"/>
            </c:ext>
          </c:extLst>
        </c:ser>
        <c:ser>
          <c:idx val="4"/>
          <c:order val="4"/>
          <c:tx>
            <c:strRef>
              <c:f>'Graphing Data'!$A$48</c:f>
              <c:strCache>
                <c:ptCount val="1"/>
                <c:pt idx="0">
                  <c:v>Worst-Case (Medium-Term)</c:v>
                </c:pt>
              </c:strCache>
            </c:strRef>
          </c:tx>
          <c:spPr>
            <a:ln w="28575" cap="rnd">
              <a:solidFill>
                <a:srgbClr val="0049AA"/>
              </a:solidFill>
              <a:prstDash val="sysDot"/>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Data'!$B$48:$U$48</c:f>
              <c:numCache>
                <c:formatCode>General</c:formatCode>
                <c:ptCount val="20"/>
                <c:pt idx="14" formatCode="_(* #,##0_);_(* \(#,##0\);_(* &quot;-&quot;??_);_(@_)">
                  <c:v>4624.3620303449188</c:v>
                </c:pt>
                <c:pt idx="15" formatCode="_(* #,##0_);_(* \(#,##0\);_(* &quot;-&quot;??_);_(@_)">
                  <c:v>4161.9258273104269</c:v>
                </c:pt>
                <c:pt idx="16" formatCode="_(* #,##0_);_(* \(#,##0\);_(* &quot;-&quot;??_);_(@_)">
                  <c:v>3745.7332445793845</c:v>
                </c:pt>
                <c:pt idx="17" formatCode="_(* #,##0_);_(* \(#,##0\);_(* &quot;-&quot;??_);_(@_)">
                  <c:v>3371.1599201214462</c:v>
                </c:pt>
                <c:pt idx="18" formatCode="_(* #,##0_);_(* \(#,##0\);_(* &quot;-&quot;??_);_(@_)">
                  <c:v>3034.0439281093018</c:v>
                </c:pt>
                <c:pt idx="19" formatCode="_(* #,##0_);_(* \(#,##0\);_(* &quot;-&quot;??_);_(@_)">
                  <c:v>2730.6395352983718</c:v>
                </c:pt>
              </c:numCache>
            </c:numRef>
          </c:val>
          <c:smooth val="0"/>
          <c:extLst>
            <c:ext xmlns:c16="http://schemas.microsoft.com/office/drawing/2014/chart" uri="{C3380CC4-5D6E-409C-BE32-E72D297353CC}">
              <c16:uniqueId val="{00000004-389D-40FE-8950-50ADBC203B77}"/>
            </c:ext>
          </c:extLst>
        </c:ser>
        <c:ser>
          <c:idx val="5"/>
          <c:order val="5"/>
          <c:tx>
            <c:strRef>
              <c:f>'Graphing Data'!$A$49</c:f>
              <c:strCache>
                <c:ptCount val="1"/>
                <c:pt idx="0">
                  <c:v>Worst-Case (Implicit)</c:v>
                </c:pt>
              </c:strCache>
            </c:strRef>
          </c:tx>
          <c:spPr>
            <a:ln w="28575" cap="rnd">
              <a:solidFill>
                <a:srgbClr val="FFC000"/>
              </a:solidFill>
              <a:prstDash val="sysDot"/>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Data'!$B$49:$U$49</c:f>
              <c:numCache>
                <c:formatCode>General</c:formatCode>
                <c:ptCount val="20"/>
                <c:pt idx="9" formatCode="_(* #,##0_);_(* \(#,##0\);_(* &quot;-&quot;??_);_(@_)">
                  <c:v>2253.3622614287742</c:v>
                </c:pt>
                <c:pt idx="10" formatCode="_(* #,##0_);_(* \(#,##0\);_(* &quot;-&quot;??_);_(@_)">
                  <c:v>2788.0464779999998</c:v>
                </c:pt>
                <c:pt idx="11" formatCode="_(* #,##0_);_(* \(#,##0\);_(* &quot;-&quot;??_);_(@_)">
                  <c:v>2788.0464779999998</c:v>
                </c:pt>
                <c:pt idx="12" formatCode="_(* #,##0_);_(* \(#,##0\);_(* &quot;-&quot;??_);_(@_)">
                  <c:v>2704.4050836599995</c:v>
                </c:pt>
                <c:pt idx="13" formatCode="_(* #,##0_);_(* \(#,##0\);_(* &quot;-&quot;??_);_(@_)">
                  <c:v>2623.2729311501998</c:v>
                </c:pt>
                <c:pt idx="14" formatCode="_(* #,##0_);_(* \(#,##0\);_(* &quot;-&quot;??_);_(@_)">
                  <c:v>2544.5747432156936</c:v>
                </c:pt>
              </c:numCache>
            </c:numRef>
          </c:val>
          <c:smooth val="0"/>
          <c:extLst>
            <c:ext xmlns:c16="http://schemas.microsoft.com/office/drawing/2014/chart" uri="{C3380CC4-5D6E-409C-BE32-E72D297353CC}">
              <c16:uniqueId val="{00000005-389D-40FE-8950-50ADBC203B77}"/>
            </c:ext>
          </c:extLst>
        </c:ser>
        <c:ser>
          <c:idx val="6"/>
          <c:order val="6"/>
          <c:tx>
            <c:strRef>
              <c:f>'Graphing Data'!$A$50</c:f>
              <c:strCache>
                <c:ptCount val="1"/>
                <c:pt idx="0">
                  <c:v>Best-Case (Investing)</c:v>
                </c:pt>
              </c:strCache>
            </c:strRef>
          </c:tx>
          <c:spPr>
            <a:ln w="28575" cap="rnd">
              <a:solidFill>
                <a:srgbClr val="FFC000"/>
              </a:solidFill>
              <a:prstDash val="dash"/>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Data'!$B$50:$U$50</c:f>
              <c:numCache>
                <c:formatCode>General</c:formatCode>
                <c:ptCount val="20"/>
                <c:pt idx="14" formatCode="_(* #,##0_);_(* \(#,##0\);_(* &quot;-&quot;??_);_(@_)">
                  <c:v>2544.5747432156936</c:v>
                </c:pt>
                <c:pt idx="15" formatCode="_(* #,##0_);_(* \(#,##0\);_(* &quot;-&quot;??_);_(@_)">
                  <c:v>2799.032217537263</c:v>
                </c:pt>
                <c:pt idx="16" formatCode="_(* #,##0_);_(* \(#,##0\);_(* &quot;-&quot;??_);_(@_)">
                  <c:v>3078.9354392909895</c:v>
                </c:pt>
                <c:pt idx="17" formatCode="_(* #,##0_);_(* \(#,##0\);_(* &quot;-&quot;??_);_(@_)">
                  <c:v>3386.828983220089</c:v>
                </c:pt>
                <c:pt idx="18" formatCode="_(* #,##0_);_(* \(#,##0\);_(* &quot;-&quot;??_);_(@_)">
                  <c:v>3725.5118815420983</c:v>
                </c:pt>
                <c:pt idx="19" formatCode="_(* #,##0_);_(* \(#,##0\);_(* &quot;-&quot;??_);_(@_)">
                  <c:v>4098.063069696308</c:v>
                </c:pt>
              </c:numCache>
            </c:numRef>
          </c:val>
          <c:smooth val="0"/>
          <c:extLst>
            <c:ext xmlns:c16="http://schemas.microsoft.com/office/drawing/2014/chart" uri="{C3380CC4-5D6E-409C-BE32-E72D297353CC}">
              <c16:uniqueId val="{00000006-389D-40FE-8950-50ADBC203B77}"/>
            </c:ext>
          </c:extLst>
        </c:ser>
        <c:ser>
          <c:idx val="7"/>
          <c:order val="7"/>
          <c:tx>
            <c:strRef>
              <c:f>'Graphing Data'!$A$51</c:f>
              <c:strCache>
                <c:ptCount val="1"/>
                <c:pt idx="0">
                  <c:v>Worst-Case (Investing)</c:v>
                </c:pt>
              </c:strCache>
            </c:strRef>
          </c:tx>
          <c:spPr>
            <a:ln w="28575" cap="rnd">
              <a:solidFill>
                <a:srgbClr val="FFC000"/>
              </a:solidFill>
              <a:prstDash val="sysDot"/>
              <a:round/>
            </a:ln>
            <a:effectLst/>
          </c:spPr>
          <c:marker>
            <c:symbol val="none"/>
          </c:marker>
          <c:cat>
            <c:numRef>
              <c:f>'Graphing Data'!$B$1:$U$1</c:f>
              <c:numCache>
                <c:formatCode>yyyy</c:formatCode>
                <c:ptCount val="20"/>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pt idx="15">
                  <c:v>44925</c:v>
                </c:pt>
                <c:pt idx="16">
                  <c:v>45290</c:v>
                </c:pt>
                <c:pt idx="17">
                  <c:v>45655</c:v>
                </c:pt>
                <c:pt idx="18">
                  <c:v>46020</c:v>
                </c:pt>
                <c:pt idx="19">
                  <c:v>46385</c:v>
                </c:pt>
              </c:numCache>
            </c:numRef>
          </c:cat>
          <c:val>
            <c:numRef>
              <c:f>'Graphing Data'!$B$51:$U$51</c:f>
              <c:numCache>
                <c:formatCode>General</c:formatCode>
                <c:ptCount val="20"/>
                <c:pt idx="14" formatCode="_(* #,##0_);_(* \(#,##0\);_(* &quot;-&quot;??_);_(@_)">
                  <c:v>2544.5747432156936</c:v>
                </c:pt>
                <c:pt idx="15" formatCode="_(* #,##0_);_(* \(#,##0\);_(* &quot;-&quot;??_);_(@_)">
                  <c:v>2290.1172688941242</c:v>
                </c:pt>
                <c:pt idx="16" formatCode="_(* #,##0_);_(* \(#,##0\);_(* &quot;-&quot;??_);_(@_)">
                  <c:v>2061.1055420047119</c:v>
                </c:pt>
                <c:pt idx="17" formatCode="_(* #,##0_);_(* \(#,##0\);_(* &quot;-&quot;??_);_(@_)">
                  <c:v>1854.9949878042407</c:v>
                </c:pt>
                <c:pt idx="18" formatCode="_(* #,##0_);_(* \(#,##0\);_(* &quot;-&quot;??_);_(@_)">
                  <c:v>1669.4954890238166</c:v>
                </c:pt>
                <c:pt idx="19" formatCode="_(* #,##0_);_(* \(#,##0\);_(* &quot;-&quot;??_);_(@_)">
                  <c:v>1502.545940121435</c:v>
                </c:pt>
              </c:numCache>
            </c:numRef>
          </c:val>
          <c:smooth val="0"/>
          <c:extLst>
            <c:ext xmlns:c16="http://schemas.microsoft.com/office/drawing/2014/chart" uri="{C3380CC4-5D6E-409C-BE32-E72D297353CC}">
              <c16:uniqueId val="{00000007-389D-40FE-8950-50ADBC203B77}"/>
            </c:ext>
          </c:extLst>
        </c:ser>
        <c:dLbls>
          <c:showLegendKey val="0"/>
          <c:showVal val="0"/>
          <c:showCatName val="0"/>
          <c:showSerName val="0"/>
          <c:showPercent val="0"/>
          <c:showBubbleSize val="0"/>
        </c:dLbls>
        <c:smooth val="0"/>
        <c:axId val="573873464"/>
        <c:axId val="573874448"/>
      </c:lineChart>
      <c:dateAx>
        <c:axId val="573873464"/>
        <c:scaling>
          <c:orientation val="minMax"/>
        </c:scaling>
        <c:delete val="0"/>
        <c:axPos val="b"/>
        <c:numFmt formatCode="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573874448"/>
        <c:crosses val="autoZero"/>
        <c:auto val="1"/>
        <c:lblOffset val="100"/>
        <c:baseTimeUnit val="years"/>
      </c:dateAx>
      <c:valAx>
        <c:axId val="5738744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573873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Narrow" panose="020B0606020202030204" pitchFamily="34" charset="0"/>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BMY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BMY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2224.5947999999999</c:v>
                </c:pt>
                <c:pt idx="1">
                  <c:v>2203.3786167814837</c:v>
                </c:pt>
                <c:pt idx="2">
                  <c:v>2205.8924543362828</c:v>
                </c:pt>
                <c:pt idx="3">
                  <c:v>2306.4005257290673</c:v>
                </c:pt>
                <c:pt idx="4">
                  <c:v>2390.4626478175628</c:v>
                </c:pt>
                <c:pt idx="5">
                  <c:v>2473.3284255275698</c:v>
                </c:pt>
                <c:pt idx="6">
                  <c:v>2586.2693922968006</c:v>
                </c:pt>
                <c:pt idx="7">
                  <c:v>2680.9774649938736</c:v>
                </c:pt>
                <c:pt idx="8">
                  <c:v>2675.1168918992512</c:v>
                </c:pt>
                <c:pt idx="9">
                  <c:v>2675.1168918992512</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BMY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Data'!$B$40:$K$40</c:f>
              <c:numCache>
                <c:formatCode>0%</c:formatCode>
                <c:ptCount val="10"/>
                <c:pt idx="1">
                  <c:v>0.30876435709483641</c:v>
                </c:pt>
                <c:pt idx="2">
                  <c:v>0.15403790614372315</c:v>
                </c:pt>
                <c:pt idx="3">
                  <c:v>0.11502330510892134</c:v>
                </c:pt>
                <c:pt idx="4">
                  <c:v>4.574144847501449E-2</c:v>
                </c:pt>
                <c:pt idx="5">
                  <c:v>0.45533092855378987</c:v>
                </c:pt>
                <c:pt idx="6">
                  <c:v>-0.60224514254203876</c:v>
                </c:pt>
                <c:pt idx="7">
                  <c:v>-7.0214043435830042E-2</c:v>
                </c:pt>
                <c:pt idx="8">
                  <c:v>-0.45504092300746057</c:v>
                </c:pt>
                <c:pt idx="9">
                  <c:v>0.69280095036177691</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BMY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Data'!$B$41:$K$41</c:f>
              <c:numCache>
                <c:formatCode>0%</c:formatCode>
                <c:ptCount val="10"/>
                <c:pt idx="3">
                  <c:v>0.1828899676492004</c:v>
                </c:pt>
                <c:pt idx="4">
                  <c:v>0.10111586388417337</c:v>
                </c:pt>
                <c:pt idx="5">
                  <c:v>0.21630736033859232</c:v>
                </c:pt>
                <c:pt idx="6">
                  <c:v>-0.11617278148544563</c:v>
                </c:pt>
                <c:pt idx="7">
                  <c:v>-0.15373304779396413</c:v>
                </c:pt>
                <c:pt idx="8">
                  <c:v>-0.43602309759712032</c:v>
                </c:pt>
                <c:pt idx="9">
                  <c:v>-5.617349312258757E-2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Bristol-Meyers Squibb (BMY)</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1.32</c:v>
                </c:pt>
                <c:pt idx="2">
                  <c:v>2.64</c:v>
                </c:pt>
                <c:pt idx="3">
                  <c:v>3.96</c:v>
                </c:pt>
                <c:pt idx="4">
                  <c:v>5.28</c:v>
                </c:pt>
                <c:pt idx="5">
                  <c:v>6.6000000000000005</c:v>
                </c:pt>
                <c:pt idx="6">
                  <c:v>7.9200000000000008</c:v>
                </c:pt>
                <c:pt idx="7">
                  <c:v>9.24</c:v>
                </c:pt>
                <c:pt idx="8">
                  <c:v>10.56</c:v>
                </c:pt>
                <c:pt idx="9">
                  <c:v>11.879999999999999</c:v>
                </c:pt>
                <c:pt idx="10">
                  <c:v>13.2</c:v>
                </c:pt>
                <c:pt idx="11">
                  <c:v>14.519999999999998</c:v>
                </c:pt>
                <c:pt idx="12">
                  <c:v>15.839999999999998</c:v>
                </c:pt>
                <c:pt idx="13">
                  <c:v>17.159999999999997</c:v>
                </c:pt>
                <c:pt idx="14">
                  <c:v>18.479999999999997</c:v>
                </c:pt>
                <c:pt idx="15">
                  <c:v>19.8</c:v>
                </c:pt>
                <c:pt idx="16">
                  <c:v>21.12</c:v>
                </c:pt>
                <c:pt idx="17">
                  <c:v>22.44</c:v>
                </c:pt>
                <c:pt idx="18">
                  <c:v>23.76</c:v>
                </c:pt>
                <c:pt idx="19">
                  <c:v>25.080000000000005</c:v>
                </c:pt>
                <c:pt idx="20">
                  <c:v>26.400000000000006</c:v>
                </c:pt>
                <c:pt idx="21">
                  <c:v>27.720000000000006</c:v>
                </c:pt>
                <c:pt idx="22">
                  <c:v>29.040000000000006</c:v>
                </c:pt>
                <c:pt idx="23">
                  <c:v>30.36000000000001</c:v>
                </c:pt>
                <c:pt idx="24">
                  <c:v>31.68000000000001</c:v>
                </c:pt>
                <c:pt idx="25">
                  <c:v>33.000000000000007</c:v>
                </c:pt>
                <c:pt idx="26">
                  <c:v>34.320000000000007</c:v>
                </c:pt>
                <c:pt idx="27">
                  <c:v>35.640000000000008</c:v>
                </c:pt>
                <c:pt idx="28">
                  <c:v>36.960000000000008</c:v>
                </c:pt>
                <c:pt idx="29">
                  <c:v>38.280000000000015</c:v>
                </c:pt>
                <c:pt idx="30">
                  <c:v>39.600000000000016</c:v>
                </c:pt>
                <c:pt idx="31">
                  <c:v>40.920000000000016</c:v>
                </c:pt>
                <c:pt idx="32">
                  <c:v>42.240000000000016</c:v>
                </c:pt>
                <c:pt idx="33">
                  <c:v>43.560000000000016</c:v>
                </c:pt>
                <c:pt idx="34">
                  <c:v>44.880000000000017</c:v>
                </c:pt>
                <c:pt idx="35">
                  <c:v>46.200000000000017</c:v>
                </c:pt>
                <c:pt idx="36">
                  <c:v>47.520000000000017</c:v>
                </c:pt>
                <c:pt idx="37">
                  <c:v>48.840000000000025</c:v>
                </c:pt>
                <c:pt idx="38">
                  <c:v>50.160000000000025</c:v>
                </c:pt>
                <c:pt idx="39">
                  <c:v>51.480000000000025</c:v>
                </c:pt>
                <c:pt idx="40">
                  <c:v>52.800000000000026</c:v>
                </c:pt>
                <c:pt idx="41">
                  <c:v>54.120000000000026</c:v>
                </c:pt>
                <c:pt idx="42">
                  <c:v>55.440000000000026</c:v>
                </c:pt>
                <c:pt idx="43">
                  <c:v>56.760000000000026</c:v>
                </c:pt>
                <c:pt idx="44">
                  <c:v>58.080000000000027</c:v>
                </c:pt>
                <c:pt idx="45">
                  <c:v>59.400000000000034</c:v>
                </c:pt>
                <c:pt idx="46">
                  <c:v>60.720000000000034</c:v>
                </c:pt>
                <c:pt idx="47">
                  <c:v>62.040000000000035</c:v>
                </c:pt>
                <c:pt idx="48">
                  <c:v>63.360000000000035</c:v>
                </c:pt>
                <c:pt idx="49">
                  <c:v>64.680000000000035</c:v>
                </c:pt>
                <c:pt idx="50">
                  <c:v>66.000000000000028</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6.25E-2</c:v>
                </c:pt>
                <c:pt idx="13">
                  <c:v>0</c:v>
                </c:pt>
                <c:pt idx="14">
                  <c:v>0</c:v>
                </c:pt>
                <c:pt idx="15">
                  <c:v>0</c:v>
                </c:pt>
                <c:pt idx="16">
                  <c:v>6.25E-2</c:v>
                </c:pt>
                <c:pt idx="17">
                  <c:v>6.25E-2</c:v>
                </c:pt>
                <c:pt idx="18">
                  <c:v>0</c:v>
                </c:pt>
                <c:pt idx="19">
                  <c:v>0</c:v>
                </c:pt>
                <c:pt idx="20">
                  <c:v>0</c:v>
                </c:pt>
                <c:pt idx="21">
                  <c:v>6.25E-2</c:v>
                </c:pt>
                <c:pt idx="22">
                  <c:v>0</c:v>
                </c:pt>
                <c:pt idx="23">
                  <c:v>6.25E-2</c:v>
                </c:pt>
                <c:pt idx="24">
                  <c:v>0</c:v>
                </c:pt>
                <c:pt idx="25">
                  <c:v>0</c:v>
                </c:pt>
                <c:pt idx="26">
                  <c:v>0</c:v>
                </c:pt>
                <c:pt idx="27">
                  <c:v>0</c:v>
                </c:pt>
                <c:pt idx="28">
                  <c:v>0</c:v>
                </c:pt>
                <c:pt idx="29">
                  <c:v>0</c:v>
                </c:pt>
                <c:pt idx="30">
                  <c:v>0</c:v>
                </c:pt>
                <c:pt idx="31">
                  <c:v>6.25E-2</c:v>
                </c:pt>
                <c:pt idx="32">
                  <c:v>0</c:v>
                </c:pt>
                <c:pt idx="33">
                  <c:v>6.25E-2</c:v>
                </c:pt>
                <c:pt idx="34">
                  <c:v>0</c:v>
                </c:pt>
                <c:pt idx="35">
                  <c:v>0</c:v>
                </c:pt>
                <c:pt idx="36">
                  <c:v>0</c:v>
                </c:pt>
                <c:pt idx="37">
                  <c:v>0</c:v>
                </c:pt>
                <c:pt idx="38">
                  <c:v>0</c:v>
                </c:pt>
                <c:pt idx="39">
                  <c:v>0</c:v>
                </c:pt>
                <c:pt idx="40">
                  <c:v>0</c:v>
                </c:pt>
                <c:pt idx="41">
                  <c:v>0</c:v>
                </c:pt>
                <c:pt idx="42">
                  <c:v>6.25E-2</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1.32</c:v>
                </c:pt>
                <c:pt idx="2">
                  <c:v>2.64</c:v>
                </c:pt>
                <c:pt idx="3">
                  <c:v>3.96</c:v>
                </c:pt>
                <c:pt idx="4">
                  <c:v>5.28</c:v>
                </c:pt>
                <c:pt idx="5">
                  <c:v>6.6000000000000005</c:v>
                </c:pt>
                <c:pt idx="6">
                  <c:v>7.9200000000000008</c:v>
                </c:pt>
                <c:pt idx="7">
                  <c:v>9.24</c:v>
                </c:pt>
                <c:pt idx="8">
                  <c:v>10.56</c:v>
                </c:pt>
                <c:pt idx="9">
                  <c:v>11.879999999999999</c:v>
                </c:pt>
                <c:pt idx="10">
                  <c:v>13.2</c:v>
                </c:pt>
                <c:pt idx="11">
                  <c:v>14.519999999999998</c:v>
                </c:pt>
                <c:pt idx="12">
                  <c:v>15.839999999999998</c:v>
                </c:pt>
                <c:pt idx="13">
                  <c:v>17.159999999999997</c:v>
                </c:pt>
                <c:pt idx="14">
                  <c:v>18.479999999999997</c:v>
                </c:pt>
                <c:pt idx="15">
                  <c:v>19.8</c:v>
                </c:pt>
                <c:pt idx="16">
                  <c:v>21.12</c:v>
                </c:pt>
                <c:pt idx="17">
                  <c:v>22.44</c:v>
                </c:pt>
                <c:pt idx="18">
                  <c:v>23.76</c:v>
                </c:pt>
                <c:pt idx="19">
                  <c:v>25.080000000000005</c:v>
                </c:pt>
                <c:pt idx="20">
                  <c:v>26.400000000000006</c:v>
                </c:pt>
                <c:pt idx="21">
                  <c:v>27.720000000000006</c:v>
                </c:pt>
                <c:pt idx="22">
                  <c:v>29.040000000000006</c:v>
                </c:pt>
                <c:pt idx="23">
                  <c:v>30.36000000000001</c:v>
                </c:pt>
                <c:pt idx="24">
                  <c:v>31.68000000000001</c:v>
                </c:pt>
                <c:pt idx="25">
                  <c:v>33.000000000000007</c:v>
                </c:pt>
                <c:pt idx="26">
                  <c:v>34.320000000000007</c:v>
                </c:pt>
                <c:pt idx="27">
                  <c:v>35.640000000000008</c:v>
                </c:pt>
                <c:pt idx="28">
                  <c:v>36.960000000000008</c:v>
                </c:pt>
                <c:pt idx="29">
                  <c:v>38.280000000000015</c:v>
                </c:pt>
                <c:pt idx="30">
                  <c:v>39.600000000000016</c:v>
                </c:pt>
                <c:pt idx="31">
                  <c:v>40.920000000000016</c:v>
                </c:pt>
                <c:pt idx="32">
                  <c:v>42.240000000000016</c:v>
                </c:pt>
                <c:pt idx="33">
                  <c:v>43.560000000000016</c:v>
                </c:pt>
                <c:pt idx="34">
                  <c:v>44.880000000000017</c:v>
                </c:pt>
                <c:pt idx="35">
                  <c:v>46.200000000000017</c:v>
                </c:pt>
                <c:pt idx="36">
                  <c:v>47.520000000000017</c:v>
                </c:pt>
                <c:pt idx="37">
                  <c:v>48.840000000000025</c:v>
                </c:pt>
                <c:pt idx="38">
                  <c:v>50.160000000000025</c:v>
                </c:pt>
                <c:pt idx="39">
                  <c:v>51.480000000000025</c:v>
                </c:pt>
                <c:pt idx="40">
                  <c:v>52.800000000000026</c:v>
                </c:pt>
                <c:pt idx="41">
                  <c:v>54.120000000000026</c:v>
                </c:pt>
                <c:pt idx="42">
                  <c:v>55.440000000000026</c:v>
                </c:pt>
                <c:pt idx="43">
                  <c:v>56.760000000000026</c:v>
                </c:pt>
                <c:pt idx="44">
                  <c:v>58.080000000000027</c:v>
                </c:pt>
                <c:pt idx="45">
                  <c:v>59.400000000000034</c:v>
                </c:pt>
                <c:pt idx="46">
                  <c:v>60.720000000000034</c:v>
                </c:pt>
                <c:pt idx="47">
                  <c:v>62.040000000000035</c:v>
                </c:pt>
                <c:pt idx="48">
                  <c:v>63.360000000000035</c:v>
                </c:pt>
                <c:pt idx="49">
                  <c:v>64.680000000000035</c:v>
                </c:pt>
                <c:pt idx="50">
                  <c:v>66.000000000000028</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7.8256953798583577E-253</c:v>
                </c:pt>
                <c:pt idx="1">
                  <c:v>3.246884452450332E-48</c:v>
                </c:pt>
                <c:pt idx="2">
                  <c:v>2.0263456074106413E-32</c:v>
                </c:pt>
                <c:pt idx="3">
                  <c:v>1.1705835050078754E-24</c:v>
                </c:pt>
                <c:pt idx="4">
                  <c:v>8.0780448171924552E-20</c:v>
                </c:pt>
                <c:pt idx="5">
                  <c:v>1.8933649768440238E-16</c:v>
                </c:pt>
                <c:pt idx="6">
                  <c:v>6.0460886492973991E-14</c:v>
                </c:pt>
                <c:pt idx="7">
                  <c:v>5.2930726393008486E-12</c:v>
                </c:pt>
                <c:pt idx="8">
                  <c:v>1.8895825719942958E-10</c:v>
                </c:pt>
                <c:pt idx="9">
                  <c:v>3.5142958159537424E-9</c:v>
                </c:pt>
                <c:pt idx="10">
                  <c:v>3.9985290081772498E-8</c:v>
                </c:pt>
                <c:pt idx="11">
                  <c:v>3.1082058254364906E-7</c:v>
                </c:pt>
                <c:pt idx="12">
                  <c:v>1.7859877272033063E-6</c:v>
                </c:pt>
                <c:pt idx="13">
                  <c:v>8.0382428750793113E-6</c:v>
                </c:pt>
                <c:pt idx="14">
                  <c:v>2.9602158312980603E-5</c:v>
                </c:pt>
                <c:pt idx="15">
                  <c:v>9.2250876305666234E-5</c:v>
                </c:pt>
                <c:pt idx="16">
                  <c:v>2.4977868715506037E-4</c:v>
                </c:pt>
                <c:pt idx="17">
                  <c:v>6.0006832504792547E-4</c:v>
                </c:pt>
                <c:pt idx="18">
                  <c:v>1.3009877775906251E-3</c:v>
                </c:pt>
                <c:pt idx="19">
                  <c:v>2.5810350748077418E-3</c:v>
                </c:pt>
                <c:pt idx="20">
                  <c:v>4.7395472584832983E-3</c:v>
                </c:pt>
                <c:pt idx="21">
                  <c:v>8.1330013116586754E-3</c:v>
                </c:pt>
                <c:pt idx="22">
                  <c:v>1.3146986046690892E-2</c:v>
                </c:pt>
                <c:pt idx="23">
                  <c:v>2.0156833943580397E-2</c:v>
                </c:pt>
                <c:pt idx="24">
                  <c:v>2.9482629264457928E-2</c:v>
                </c:pt>
                <c:pt idx="25">
                  <c:v>4.134563816914337E-2</c:v>
                </c:pt>
                <c:pt idx="26">
                  <c:v>5.5832928865711742E-2</c:v>
                </c:pt>
                <c:pt idx="27">
                  <c:v>7.2875323498566832E-2</c:v>
                </c:pt>
                <c:pt idx="28">
                  <c:v>9.2241396637434636E-2</c:v>
                </c:pt>
                <c:pt idx="29">
                  <c:v>0.11354763123943727</c:v>
                </c:pt>
                <c:pt idx="30">
                  <c:v>0.13628258765632989</c:v>
                </c:pt>
                <c:pt idx="31">
                  <c:v>0.15984136784043521</c:v>
                </c:pt>
                <c:pt idx="32">
                  <c:v>0.18356588731978962</c:v>
                </c:pt>
                <c:pt idx="33">
                  <c:v>0.20678644818257999</c:v>
                </c:pt>
                <c:pt idx="34">
                  <c:v>0.22886067004217686</c:v>
                </c:pt>
                <c:pt idx="35">
                  <c:v>0.24920676649858309</c:v>
                </c:pt>
                <c:pt idx="36">
                  <c:v>0.26732923897187272</c:v>
                </c:pt>
                <c:pt idx="37">
                  <c:v>0.28283612211500986</c:v>
                </c:pt>
                <c:pt idx="38">
                  <c:v>0.29544783239541389</c:v>
                </c:pt>
                <c:pt idx="39">
                  <c:v>0.30499837536587127</c:v>
                </c:pt>
                <c:pt idx="40">
                  <c:v>0.3114301358752164</c:v>
                </c:pt>
                <c:pt idx="41">
                  <c:v>0.3147837219059656</c:v>
                </c:pt>
                <c:pt idx="42">
                  <c:v>0.31518439154700723</c:v>
                </c:pt>
                <c:pt idx="43">
                  <c:v>0.31282650886864477</c:v>
                </c:pt>
                <c:pt idx="44">
                  <c:v>0.30795729482745116</c:v>
                </c:pt>
                <c:pt idx="45">
                  <c:v>0.30086090617603778</c:v>
                </c:pt>
                <c:pt idx="46">
                  <c:v>0.29184362351626764</c:v>
                </c:pt>
                <c:pt idx="47">
                  <c:v>0.28122068515696508</c:v>
                </c:pt>
                <c:pt idx="48">
                  <c:v>0.26930508378902912</c:v>
                </c:pt>
                <c:pt idx="49">
                  <c:v>0.25639845815381562</c:v>
                </c:pt>
                <c:pt idx="50">
                  <c:v>0.24278406585045328</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600"/>
              <a:t>Bristol-Myers Squibb OCP</a:t>
            </a:r>
          </a:p>
          <a:p>
            <a:pPr>
              <a:defRPr sz="1800"/>
            </a:pPr>
            <a:r>
              <a:rPr lang="en-US" sz="1200"/>
              <a:t>Historical vs. Projected</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lineChart>
        <c:grouping val="standard"/>
        <c:varyColors val="0"/>
        <c:ser>
          <c:idx val="1"/>
          <c:order val="0"/>
          <c:tx>
            <c:strRef>
              <c:f>'BMY OCP'!$B$1</c:f>
              <c:strCache>
                <c:ptCount val="1"/>
                <c:pt idx="0">
                  <c:v>Historical OCP</c:v>
                </c:pt>
              </c:strCache>
            </c:strRef>
          </c:tx>
          <c:spPr>
            <a:ln w="28575" cap="rnd">
              <a:solidFill>
                <a:srgbClr val="0049AA"/>
              </a:solidFill>
              <a:round/>
            </a:ln>
            <a:effectLst/>
          </c:spPr>
          <c:marker>
            <c:symbol val="none"/>
          </c:marker>
          <c:cat>
            <c:numRef>
              <c:f>'BMY OCP'!$A$2:$A$39</c:f>
              <c:numCache>
                <c:formatCode>General</c:formatCode>
                <c:ptCount val="38"/>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pt idx="33">
                  <c:v>2022</c:v>
                </c:pt>
                <c:pt idx="34">
                  <c:v>2023</c:v>
                </c:pt>
                <c:pt idx="35">
                  <c:v>2024</c:v>
                </c:pt>
                <c:pt idx="36">
                  <c:v>2025</c:v>
                </c:pt>
                <c:pt idx="37">
                  <c:v>2026</c:v>
                </c:pt>
              </c:numCache>
            </c:numRef>
          </c:cat>
          <c:val>
            <c:numRef>
              <c:f>'BMY OCP'!$B$2:$B$39</c:f>
              <c:numCache>
                <c:formatCode>_(* #,##0_);_(* \(#,##0\);_(* "-"??_);_(@_)</c:formatCode>
                <c:ptCount val="38"/>
                <c:pt idx="0">
                  <c:v>984.8913</c:v>
                </c:pt>
                <c:pt idx="1">
                  <c:v>1493.1006</c:v>
                </c:pt>
                <c:pt idx="2">
                  <c:v>1581.4618</c:v>
                </c:pt>
                <c:pt idx="3">
                  <c:v>1724.4429</c:v>
                </c:pt>
                <c:pt idx="4">
                  <c:v>2263.5349000000001</c:v>
                </c:pt>
                <c:pt idx="5">
                  <c:v>1964.2263</c:v>
                </c:pt>
                <c:pt idx="6">
                  <c:v>2039.6279999999999</c:v>
                </c:pt>
                <c:pt idx="7">
                  <c:v>2104.7561999999998</c:v>
                </c:pt>
                <c:pt idx="8">
                  <c:v>1874.9387999999999</c:v>
                </c:pt>
                <c:pt idx="9">
                  <c:v>3146.9256</c:v>
                </c:pt>
                <c:pt idx="10">
                  <c:v>3527.7984000000001</c:v>
                </c:pt>
                <c:pt idx="11">
                  <c:v>3880.7345</c:v>
                </c:pt>
                <c:pt idx="12">
                  <c:v>4662.7035999999998</c:v>
                </c:pt>
                <c:pt idx="13">
                  <c:v>192.52979999999999</c:v>
                </c:pt>
                <c:pt idx="14">
                  <c:v>2708.1707000000001</c:v>
                </c:pt>
                <c:pt idx="15">
                  <c:v>2237.4065999999998</c:v>
                </c:pt>
                <c:pt idx="16">
                  <c:v>875.2681</c:v>
                </c:pt>
                <c:pt idx="17">
                  <c:v>1132.4476999999999</c:v>
                </c:pt>
                <c:pt idx="18">
                  <c:v>2224.5947999999999</c:v>
                </c:pt>
                <c:pt idx="19">
                  <c:v>2890.2541999999999</c:v>
                </c:pt>
                <c:pt idx="20">
                  <c:v>3338.7604000000001</c:v>
                </c:pt>
                <c:pt idx="21">
                  <c:v>3874.9211</c:v>
                </c:pt>
                <c:pt idx="22">
                  <c:v>4193.3960999999999</c:v>
                </c:pt>
                <c:pt idx="23">
                  <c:v>6248.1437999999998</c:v>
                </c:pt>
                <c:pt idx="24">
                  <c:v>2770.5419999999999</c:v>
                </c:pt>
                <c:pt idx="25">
                  <c:v>2677.4670999999998</c:v>
                </c:pt>
                <c:pt idx="26">
                  <c:v>1453.2571</c:v>
                </c:pt>
                <c:pt idx="27">
                  <c:v>2460.0749999999998</c:v>
                </c:pt>
              </c:numCache>
            </c:numRef>
          </c:val>
          <c:smooth val="0"/>
          <c:extLst>
            <c:ext xmlns:c16="http://schemas.microsoft.com/office/drawing/2014/chart" uri="{C3380CC4-5D6E-409C-BE32-E72D297353CC}">
              <c16:uniqueId val="{00000000-C4D9-42B3-A8AE-0FE8B5932652}"/>
            </c:ext>
          </c:extLst>
        </c:ser>
        <c:ser>
          <c:idx val="2"/>
          <c:order val="1"/>
          <c:tx>
            <c:strRef>
              <c:f>'BMY OCP'!$C$1</c:f>
              <c:strCache>
                <c:ptCount val="1"/>
                <c:pt idx="0">
                  <c:v>Best-Case OCP</c:v>
                </c:pt>
              </c:strCache>
            </c:strRef>
          </c:tx>
          <c:spPr>
            <a:ln w="28575" cap="rnd">
              <a:solidFill>
                <a:srgbClr val="0049AA"/>
              </a:solidFill>
              <a:prstDash val="dash"/>
              <a:round/>
            </a:ln>
            <a:effectLst/>
          </c:spPr>
          <c:marker>
            <c:symbol val="none"/>
          </c:marker>
          <c:cat>
            <c:numRef>
              <c:f>'BMY OCP'!$A$2:$A$39</c:f>
              <c:numCache>
                <c:formatCode>General</c:formatCode>
                <c:ptCount val="38"/>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pt idx="33">
                  <c:v>2022</c:v>
                </c:pt>
                <c:pt idx="34">
                  <c:v>2023</c:v>
                </c:pt>
                <c:pt idx="35">
                  <c:v>2024</c:v>
                </c:pt>
                <c:pt idx="36">
                  <c:v>2025</c:v>
                </c:pt>
                <c:pt idx="37">
                  <c:v>2026</c:v>
                </c:pt>
              </c:numCache>
            </c:numRef>
          </c:cat>
          <c:val>
            <c:numRef>
              <c:f>'BMY OCP'!$C$2:$C$39</c:f>
              <c:numCache>
                <c:formatCode>_(* #,##0_);_(* \(#,##0\);_(* "-"??_);_(@_)</c:formatCode>
                <c:ptCount val="38"/>
                <c:pt idx="27">
                  <c:v>2460.0749999999998</c:v>
                </c:pt>
                <c:pt idx="28">
                  <c:v>4487.6370000000006</c:v>
                </c:pt>
                <c:pt idx="29">
                  <c:v>4622.2661100000005</c:v>
                </c:pt>
                <c:pt idx="30">
                  <c:v>4899.6020766000011</c:v>
                </c:pt>
                <c:pt idx="31">
                  <c:v>5193.5782011960009</c:v>
                </c:pt>
                <c:pt idx="32">
                  <c:v>5505.1928932677611</c:v>
                </c:pt>
                <c:pt idx="33">
                  <c:v>6055.7121825945378</c:v>
                </c:pt>
                <c:pt idx="34">
                  <c:v>6661.2834008539921</c:v>
                </c:pt>
                <c:pt idx="35">
                  <c:v>7327.4117409393921</c:v>
                </c:pt>
                <c:pt idx="36">
                  <c:v>8060.1529150333317</c:v>
                </c:pt>
                <c:pt idx="37">
                  <c:v>8866.1682065366658</c:v>
                </c:pt>
              </c:numCache>
            </c:numRef>
          </c:val>
          <c:smooth val="0"/>
          <c:extLst>
            <c:ext xmlns:c16="http://schemas.microsoft.com/office/drawing/2014/chart" uri="{C3380CC4-5D6E-409C-BE32-E72D297353CC}">
              <c16:uniqueId val="{00000001-C4D9-42B3-A8AE-0FE8B5932652}"/>
            </c:ext>
          </c:extLst>
        </c:ser>
        <c:ser>
          <c:idx val="3"/>
          <c:order val="2"/>
          <c:tx>
            <c:strRef>
              <c:f>'BMY OCP'!$D$1</c:f>
              <c:strCache>
                <c:ptCount val="1"/>
                <c:pt idx="0">
                  <c:v>Worst-Case OCP</c:v>
                </c:pt>
              </c:strCache>
            </c:strRef>
          </c:tx>
          <c:spPr>
            <a:ln w="28575" cap="rnd">
              <a:solidFill>
                <a:srgbClr val="FFC000"/>
              </a:solidFill>
              <a:prstDash val="sysDot"/>
              <a:round/>
            </a:ln>
            <a:effectLst/>
          </c:spPr>
          <c:marker>
            <c:symbol val="none"/>
          </c:marker>
          <c:cat>
            <c:numRef>
              <c:f>'BMY OCP'!$A$2:$A$39</c:f>
              <c:numCache>
                <c:formatCode>General</c:formatCode>
                <c:ptCount val="38"/>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pt idx="32">
                  <c:v>2021</c:v>
                </c:pt>
                <c:pt idx="33">
                  <c:v>2022</c:v>
                </c:pt>
                <c:pt idx="34">
                  <c:v>2023</c:v>
                </c:pt>
                <c:pt idx="35">
                  <c:v>2024</c:v>
                </c:pt>
                <c:pt idx="36">
                  <c:v>2025</c:v>
                </c:pt>
                <c:pt idx="37">
                  <c:v>2026</c:v>
                </c:pt>
              </c:numCache>
            </c:numRef>
          </c:cat>
          <c:val>
            <c:numRef>
              <c:f>'BMY OCP'!$D$2:$D$39</c:f>
              <c:numCache>
                <c:formatCode>_(* #,##0_);_(* \(#,##0\);_(* "-"??_);_(@_)</c:formatCode>
                <c:ptCount val="38"/>
                <c:pt idx="27">
                  <c:v>2460.0749999999998</c:v>
                </c:pt>
                <c:pt idx="28">
                  <c:v>3319.10295</c:v>
                </c:pt>
                <c:pt idx="29">
                  <c:v>3319.10295</c:v>
                </c:pt>
                <c:pt idx="30">
                  <c:v>3219.5298614999997</c:v>
                </c:pt>
                <c:pt idx="31">
                  <c:v>3122.9439656549998</c:v>
                </c:pt>
                <c:pt idx="32">
                  <c:v>3029.2556466853498</c:v>
                </c:pt>
                <c:pt idx="33">
                  <c:v>2726.3300820168147</c:v>
                </c:pt>
                <c:pt idx="34">
                  <c:v>2453.6970738151331</c:v>
                </c:pt>
                <c:pt idx="35">
                  <c:v>2208.3273664336198</c:v>
                </c:pt>
                <c:pt idx="36">
                  <c:v>1987.4946297902579</c:v>
                </c:pt>
                <c:pt idx="37">
                  <c:v>1788.7451668112321</c:v>
                </c:pt>
              </c:numCache>
            </c:numRef>
          </c:val>
          <c:smooth val="0"/>
          <c:extLst>
            <c:ext xmlns:c16="http://schemas.microsoft.com/office/drawing/2014/chart" uri="{C3380CC4-5D6E-409C-BE32-E72D297353CC}">
              <c16:uniqueId val="{00000002-C4D9-42B3-A8AE-0FE8B5932652}"/>
            </c:ext>
          </c:extLst>
        </c:ser>
        <c:dLbls>
          <c:showLegendKey val="0"/>
          <c:showVal val="0"/>
          <c:showCatName val="0"/>
          <c:showSerName val="0"/>
          <c:showPercent val="0"/>
          <c:showBubbleSize val="0"/>
        </c:dLbls>
        <c:smooth val="0"/>
        <c:axId val="675215360"/>
        <c:axId val="675212408"/>
      </c:lineChart>
      <c:catAx>
        <c:axId val="675215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75212408"/>
        <c:crosses val="autoZero"/>
        <c:auto val="1"/>
        <c:lblAlgn val="ctr"/>
        <c:lblOffset val="100"/>
        <c:tickLblSkip val="2"/>
        <c:noMultiLvlLbl val="0"/>
      </c:catAx>
      <c:valAx>
        <c:axId val="6752124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752153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Data'!$B$63</c:f>
              <c:strCache>
                <c:ptCount val="1"/>
                <c:pt idx="0">
                  <c:v>Aggregate 10-Year FCFO</c:v>
                </c:pt>
              </c:strCache>
            </c:strRef>
          </c:tx>
          <c:spPr>
            <a:solidFill>
              <a:schemeClr val="accent1"/>
            </a:solidFill>
            <a:ln>
              <a:noFill/>
            </a:ln>
            <a:effectLst/>
          </c:spPr>
          <c:invertIfNegative val="0"/>
          <c:dPt>
            <c:idx val="0"/>
            <c:invertIfNegative val="0"/>
            <c:bubble3D val="0"/>
            <c:spPr>
              <a:solidFill>
                <a:srgbClr val="0049AA"/>
              </a:solidFill>
              <a:ln>
                <a:noFill/>
              </a:ln>
              <a:effectLst/>
            </c:spPr>
            <c:extLst>
              <c:ext xmlns:c16="http://schemas.microsoft.com/office/drawing/2014/chart" uri="{C3380CC4-5D6E-409C-BE32-E72D297353CC}">
                <c16:uniqueId val="{00000001-2E48-4912-8710-C20F1B2279B1}"/>
              </c:ext>
            </c:extLst>
          </c:dPt>
          <c:dPt>
            <c:idx val="1"/>
            <c:invertIfNegative val="0"/>
            <c:bubble3D val="0"/>
            <c:spPr>
              <a:solidFill>
                <a:srgbClr val="0049AA">
                  <a:alpha val="50000"/>
                </a:srgbClr>
              </a:solidFill>
              <a:ln>
                <a:noFill/>
              </a:ln>
              <a:effectLst/>
            </c:spPr>
            <c:extLst>
              <c:ext xmlns:c16="http://schemas.microsoft.com/office/drawing/2014/chart" uri="{C3380CC4-5D6E-409C-BE32-E72D297353CC}">
                <c16:uniqueId val="{00000003-2E48-4912-8710-C20F1B2279B1}"/>
              </c:ext>
            </c:extLst>
          </c:dPt>
          <c:dPt>
            <c:idx val="2"/>
            <c:invertIfNegative val="0"/>
            <c:bubble3D val="0"/>
            <c:spPr>
              <a:solidFill>
                <a:srgbClr val="FFC000">
                  <a:alpha val="50000"/>
                </a:srgbClr>
              </a:solidFill>
              <a:ln>
                <a:noFill/>
              </a:ln>
              <a:effectLst/>
            </c:spPr>
            <c:extLst>
              <c:ext xmlns:c16="http://schemas.microsoft.com/office/drawing/2014/chart" uri="{C3380CC4-5D6E-409C-BE32-E72D297353CC}">
                <c16:uniqueId val="{00000005-2E48-4912-8710-C20F1B2279B1}"/>
              </c:ext>
            </c:extLst>
          </c:dPt>
          <c:dLbls>
            <c:dLbl>
              <c:idx val="0"/>
              <c:tx>
                <c:rich>
                  <a:bodyPr/>
                  <a:lstStyle/>
                  <a:p>
                    <a:fld id="{9A8B7257-51FF-43C8-829C-2FB6B7AFC1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E48-4912-8710-C20F1B2279B1}"/>
                </c:ext>
              </c:extLst>
            </c:dLbl>
            <c:dLbl>
              <c:idx val="1"/>
              <c:tx>
                <c:rich>
                  <a:bodyPr/>
                  <a:lstStyle/>
                  <a:p>
                    <a:fld id="{36995E67-7E53-4989-B29E-ACC4304C87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E48-4912-8710-C20F1B2279B1}"/>
                </c:ext>
              </c:extLst>
            </c:dLbl>
            <c:dLbl>
              <c:idx val="2"/>
              <c:tx>
                <c:rich>
                  <a:bodyPr/>
                  <a:lstStyle/>
                  <a:p>
                    <a:fld id="{266960B8-13CA-4E7D-931B-3FC41BD391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E48-4912-8710-C20F1B2279B1}"/>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'Graphing Data'!$A$64:$A$66</c:f>
              <c:strCache>
                <c:ptCount val="3"/>
                <c:pt idx="0">
                  <c:v>Historical</c:v>
                </c:pt>
                <c:pt idx="1">
                  <c:v>Best-Case</c:v>
                </c:pt>
                <c:pt idx="2">
                  <c:v>Worst Case</c:v>
                </c:pt>
              </c:strCache>
            </c:strRef>
          </c:cat>
          <c:val>
            <c:numRef>
              <c:f>'Graphing Data'!$B$64:$B$66</c:f>
              <c:numCache>
                <c:formatCode>_(* #,##0_);_(* \(#,##0\);_(* "-"??_);_(@_)</c:formatCode>
                <c:ptCount val="3"/>
                <c:pt idx="0">
                  <c:v>26933.071460547792</c:v>
                </c:pt>
                <c:pt idx="1">
                  <c:v>37798.454531512492</c:v>
                </c:pt>
                <c:pt idx="2">
                  <c:v>22826.604941874215</c:v>
                </c:pt>
              </c:numCache>
            </c:numRef>
          </c:val>
          <c:extLst>
            <c:ext xmlns:c15="http://schemas.microsoft.com/office/drawing/2012/chart" uri="{02D57815-91ED-43cb-92C2-25804820EDAC}">
              <c15:datalabelsRange>
                <c15:f>'Graphing Data'!$C$64:$C$66</c15:f>
                <c15:dlblRangeCache>
                  <c:ptCount val="3"/>
                  <c:pt idx="1">
                    <c:v>40%</c:v>
                  </c:pt>
                  <c:pt idx="2">
                    <c:v>-15%</c:v>
                  </c:pt>
                </c15:dlblRangeCache>
              </c15:datalabelsRange>
            </c:ext>
            <c:ext xmlns:c16="http://schemas.microsoft.com/office/drawing/2014/chart" uri="{C3380CC4-5D6E-409C-BE32-E72D297353CC}">
              <c16:uniqueId val="{00000006-2E48-4912-8710-C20F1B2279B1}"/>
            </c:ext>
          </c:extLst>
        </c:ser>
        <c:dLbls>
          <c:showLegendKey val="0"/>
          <c:showVal val="0"/>
          <c:showCatName val="0"/>
          <c:showSerName val="0"/>
          <c:showPercent val="0"/>
          <c:showBubbleSize val="0"/>
        </c:dLbls>
        <c:gapWidth val="219"/>
        <c:overlap val="-27"/>
        <c:axId val="676094360"/>
        <c:axId val="676095344"/>
      </c:barChart>
      <c:catAx>
        <c:axId val="676094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76095344"/>
        <c:crosses val="autoZero"/>
        <c:auto val="1"/>
        <c:lblAlgn val="ctr"/>
        <c:lblOffset val="100"/>
        <c:noMultiLvlLbl val="0"/>
      </c:catAx>
      <c:valAx>
        <c:axId val="676095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6760943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latin typeface="Arial Narrow" panose="020B060602020203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Data'!$B$1:$P$1</c15:sqref>
                  </c15:fullRef>
                </c:ext>
              </c:extLst>
              <c:f>'Graphing Data'!$B$1:$K$1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Data'!$B$2:$P$2</c15:sqref>
                  </c15:fullRef>
                </c:ext>
              </c:extLst>
              <c:f>'Graphing Data'!$B$2:$K$2</c:f>
              <c:numCache>
                <c:formatCode>_(* #,##0_);_(* \(#,##0\);_(* "-"??_);_(@_)</c:formatCode>
                <c:ptCount val="10"/>
                <c:pt idx="0">
                  <c:v>19348</c:v>
                </c:pt>
                <c:pt idx="1">
                  <c:v>17715</c:v>
                </c:pt>
                <c:pt idx="2">
                  <c:v>18808</c:v>
                </c:pt>
                <c:pt idx="3">
                  <c:v>19484</c:v>
                </c:pt>
                <c:pt idx="4">
                  <c:v>21244</c:v>
                </c:pt>
                <c:pt idx="5">
                  <c:v>17621</c:v>
                </c:pt>
                <c:pt idx="6">
                  <c:v>16385</c:v>
                </c:pt>
                <c:pt idx="7">
                  <c:v>15879</c:v>
                </c:pt>
                <c:pt idx="8">
                  <c:v>16560</c:v>
                </c:pt>
                <c:pt idx="9">
                  <c:v>19427</c:v>
                </c:pt>
              </c:numCache>
            </c:numRef>
          </c:val>
          <c:extLst>
            <c:ext xmlns:c16="http://schemas.microsoft.com/office/drawing/2014/chart" uri="{C3380CC4-5D6E-409C-BE32-E72D297353CC}">
              <c16:uniqueId val="{00000000-329B-4CEA-A7A9-524904ADECDF}"/>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Data'!$A$5</c:f>
              <c:strCache>
                <c:ptCount val="1"/>
                <c:pt idx="0">
                  <c:v>Percent Revenue Change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Data'!$B$1:$P$1</c15:sqref>
                  </c15:fullRef>
                </c:ext>
              </c:extLst>
              <c:f>'Graphing Data'!$B$1:$K$1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Data'!$B$5:$P$5</c15:sqref>
                  </c15:fullRef>
                </c:ext>
              </c:extLst>
              <c:f>'Graphing Data'!$B$5:$K$5</c:f>
              <c:numCache>
                <c:formatCode>0%</c:formatCode>
                <c:ptCount val="10"/>
                <c:pt idx="1">
                  <c:v>-8.4401488525945867E-2</c:v>
                </c:pt>
                <c:pt idx="2">
                  <c:v>6.1699125035280744E-2</c:v>
                </c:pt>
                <c:pt idx="3">
                  <c:v>3.5942152275627359E-2</c:v>
                </c:pt>
                <c:pt idx="4">
                  <c:v>9.0330527612400013E-2</c:v>
                </c:pt>
                <c:pt idx="5">
                  <c:v>-0.17054227075880246</c:v>
                </c:pt>
                <c:pt idx="6">
                  <c:v>-7.0143578684524144E-2</c:v>
                </c:pt>
                <c:pt idx="7">
                  <c:v>-3.0881904180653064E-2</c:v>
                </c:pt>
                <c:pt idx="8">
                  <c:v>4.2886831664462388E-2</c:v>
                </c:pt>
                <c:pt idx="9">
                  <c:v>0.1731280193236715</c:v>
                </c:pt>
              </c:numCache>
            </c:numRef>
          </c:val>
          <c:smooth val="0"/>
          <c:extLst>
            <c:ext xmlns:c16="http://schemas.microsoft.com/office/drawing/2014/chart" uri="{C3380CC4-5D6E-409C-BE32-E72D297353CC}">
              <c16:uniqueId val="{00000003-329B-4CEA-A7A9-524904ADECDF}"/>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Data'!$B$2:$P$2</c:f>
              <c:numCache>
                <c:formatCode>_(* #,##0_);_(* \(#,##0\);_(* "-"??_);_(@_)</c:formatCode>
                <c:ptCount val="15"/>
                <c:pt idx="0">
                  <c:v>19348</c:v>
                </c:pt>
                <c:pt idx="1">
                  <c:v>17715</c:v>
                </c:pt>
                <c:pt idx="2">
                  <c:v>18808</c:v>
                </c:pt>
                <c:pt idx="3">
                  <c:v>19484</c:v>
                </c:pt>
                <c:pt idx="4">
                  <c:v>21244</c:v>
                </c:pt>
                <c:pt idx="5">
                  <c:v>17621</c:v>
                </c:pt>
                <c:pt idx="6">
                  <c:v>16385</c:v>
                </c:pt>
                <c:pt idx="7">
                  <c:v>15879</c:v>
                </c:pt>
                <c:pt idx="8">
                  <c:v>16560</c:v>
                </c:pt>
                <c:pt idx="9">
                  <c:v>19427</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Data'!$B$3:$P$3</c:f>
              <c:numCache>
                <c:formatCode>General</c:formatCode>
                <c:ptCount val="15"/>
                <c:pt idx="10" formatCode="_(* #,##0_);_(* \(#,##0\);_(* &quot;-&quot;??_);_(@_)">
                  <c:v>20398.350000000002</c:v>
                </c:pt>
                <c:pt idx="11" formatCode="_(* #,##0_);_(* \(#,##0\);_(* &quot;-&quot;??_);_(@_)">
                  <c:v>21010.300500000001</c:v>
                </c:pt>
                <c:pt idx="12" formatCode="_(* #,##0_);_(* \(#,##0\);_(* &quot;-&quot;??_);_(@_)">
                  <c:v>22270.918530000003</c:v>
                </c:pt>
                <c:pt idx="13" formatCode="_(* #,##0_);_(* \(#,##0\);_(* &quot;-&quot;??_);_(@_)">
                  <c:v>23607.173641800004</c:v>
                </c:pt>
                <c:pt idx="14" formatCode="_(* #,##0_);_(* \(#,##0\);_(* &quot;-&quot;??_);_(@_)">
                  <c:v>25023.604060308004</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Data'!$B$4:$P$4</c:f>
              <c:numCache>
                <c:formatCode>General</c:formatCode>
                <c:ptCount val="15"/>
                <c:pt idx="10" formatCode="_(* #,##0_);_(* \(#,##0\);_(* &quot;-&quot;??_);_(@_)">
                  <c:v>19524.134999999998</c:v>
                </c:pt>
                <c:pt idx="11" formatCode="_(* #,##0_);_(* \(#,##0\);_(* &quot;-&quot;??_);_(@_)">
                  <c:v>19524.134999999998</c:v>
                </c:pt>
                <c:pt idx="12" formatCode="_(* #,##0_);_(* \(#,##0\);_(* &quot;-&quot;??_);_(@_)">
                  <c:v>18938.410949999998</c:v>
                </c:pt>
                <c:pt idx="13" formatCode="_(* #,##0_);_(* \(#,##0\);_(* &quot;-&quot;??_);_(@_)">
                  <c:v>18370.258621499997</c:v>
                </c:pt>
                <c:pt idx="14" formatCode="_(* #,##0_);_(* \(#,##0\);_(* &quot;-&quot;??_);_(@_)">
                  <c:v>17819.150862854996</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Data'!$B$5:$P$5</c:f>
              <c:numCache>
                <c:formatCode>0%</c:formatCode>
                <c:ptCount val="15"/>
                <c:pt idx="1">
                  <c:v>-8.4401488525945867E-2</c:v>
                </c:pt>
                <c:pt idx="2">
                  <c:v>6.1699125035280744E-2</c:v>
                </c:pt>
                <c:pt idx="3">
                  <c:v>3.5942152275627359E-2</c:v>
                </c:pt>
                <c:pt idx="4">
                  <c:v>9.0330527612400013E-2</c:v>
                </c:pt>
                <c:pt idx="5">
                  <c:v>-0.17054227075880246</c:v>
                </c:pt>
                <c:pt idx="6">
                  <c:v>-7.0143578684524144E-2</c:v>
                </c:pt>
                <c:pt idx="7">
                  <c:v>-3.0881904180653064E-2</c:v>
                </c:pt>
                <c:pt idx="8">
                  <c:v>4.2886831664462388E-2</c:v>
                </c:pt>
                <c:pt idx="9">
                  <c:v>0.1731280193236715</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Data'!$B$6:$P$6</c:f>
              <c:numCache>
                <c:formatCode>General</c:formatCode>
                <c:ptCount val="15"/>
                <c:pt idx="9" formatCode="0%">
                  <c:v>0.1731280193236715</c:v>
                </c:pt>
                <c:pt idx="10" formatCode="0%">
                  <c:v>0.05</c:v>
                </c:pt>
                <c:pt idx="11" formatCode="0%">
                  <c:v>0.03</c:v>
                </c:pt>
                <c:pt idx="12" formatCode="0%">
                  <c:v>0.06</c:v>
                </c:pt>
                <c:pt idx="13" formatCode="0%">
                  <c:v>0.06</c:v>
                </c:pt>
                <c:pt idx="14" formatCode="0%">
                  <c:v>0.06</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Data'!$B$7:$P$7</c:f>
              <c:numCache>
                <c:formatCode>General</c:formatCode>
                <c:ptCount val="15"/>
                <c:pt idx="9" formatCode="0%">
                  <c:v>0.1731280193236715</c:v>
                </c:pt>
                <c:pt idx="10" formatCode="0%">
                  <c:v>5.0000000000000001E-3</c:v>
                </c:pt>
                <c:pt idx="11" formatCode="0%">
                  <c:v>0</c:v>
                </c:pt>
                <c:pt idx="12" formatCode="0%">
                  <c:v>-0.03</c:v>
                </c:pt>
                <c:pt idx="13" formatCode="0%">
                  <c:v>-0.03</c:v>
                </c:pt>
                <c:pt idx="14" formatCode="0%">
                  <c:v>-0.03</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extLst>
                <c:ext xmlns:c15="http://schemas.microsoft.com/office/drawing/2012/chart" uri="{02D57815-91ED-43cb-92C2-25804820EDAC}">
                  <c15:fullRef>
                    <c15:sqref>'Graphing Data'!$B$9:$P$9</c15:sqref>
                  </c15:fullRef>
                </c:ext>
              </c:extLst>
              <c:f>'Graphing Data'!$B$9:$K$9</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Data'!$B$10:$P$10</c15:sqref>
                  </c15:fullRef>
                </c:ext>
              </c:extLst>
              <c:f>'Graphing Data'!$B$10:$K$10</c:f>
              <c:numCache>
                <c:formatCode>_(* #,##0_);_(* \(#,##0\);_(* "-"??_);_(@_)</c:formatCode>
                <c:ptCount val="10"/>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29CB-4F38-A42E-0A6391DCE6F5}"/>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1"/>
          <c:tx>
            <c:strRef>
              <c:f>'Graphing Data'!$A$13</c:f>
              <c:strCache>
                <c:ptCount val="1"/>
                <c:pt idx="0">
                  <c:v>OCP Margin (RHS)</c:v>
                </c:pt>
              </c:strCache>
            </c:strRef>
          </c:tx>
          <c:spPr>
            <a:ln w="19050" cap="rnd">
              <a:solidFill>
                <a:schemeClr val="tx1"/>
              </a:solidFill>
              <a:round/>
            </a:ln>
            <a:effectLst/>
          </c:spPr>
          <c:marker>
            <c:symbol val="none"/>
          </c:marker>
          <c:cat>
            <c:numRef>
              <c:extLst>
                <c:ext xmlns:c15="http://schemas.microsoft.com/office/drawing/2012/chart" uri="{02D57815-91ED-43cb-92C2-25804820EDAC}">
                  <c15:fullRef>
                    <c15:sqref>'Graphing Data'!$B$9:$P$9</c15:sqref>
                  </c15:fullRef>
                </c:ext>
              </c:extLst>
              <c:f>'Graphing Data'!$B$9:$K$9</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extLst>
                <c:ext xmlns:c15="http://schemas.microsoft.com/office/drawing/2012/chart" uri="{02D57815-91ED-43cb-92C2-25804820EDAC}">
                  <c15:fullRef>
                    <c15:sqref>'Graphing Data'!$B$13:$P$13</c15:sqref>
                  </c15:fullRef>
                </c:ext>
              </c:extLst>
              <c:f>'Graphing Data'!$B$13:$K$13</c:f>
              <c:numCache>
                <c:formatCode>0%</c:formatCode>
                <c:ptCount val="10"/>
                <c:pt idx="0">
                  <c:v>0.11497802356832747</c:v>
                </c:pt>
                <c:pt idx="1">
                  <c:v>0.16315293254304261</c:v>
                </c:pt>
                <c:pt idx="2">
                  <c:v>0.17751809868141216</c:v>
                </c:pt>
                <c:pt idx="3">
                  <c:v>0.19887708376103469</c:v>
                </c:pt>
                <c:pt idx="4">
                  <c:v>0.19739202127659575</c:v>
                </c:pt>
                <c:pt idx="5">
                  <c:v>0.35458508597695931</c:v>
                </c:pt>
                <c:pt idx="6">
                  <c:v>0.16909014342386328</c:v>
                </c:pt>
                <c:pt idx="7">
                  <c:v>0.16861685874425342</c:v>
                </c:pt>
                <c:pt idx="8">
                  <c:v>8.7757071256038655E-2</c:v>
                </c:pt>
                <c:pt idx="9">
                  <c:v>0.12663174962680804</c:v>
                </c:pt>
              </c:numCache>
            </c:numRef>
          </c:val>
          <c:smooth val="0"/>
          <c:extLst>
            <c:ext xmlns:c16="http://schemas.microsoft.com/office/drawing/2014/chart" uri="{C3380CC4-5D6E-409C-BE32-E72D297353CC}">
              <c16:uniqueId val="{00000003-29CB-4F38-A42E-0A6391DCE6F5}"/>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Data'!$B$10:$P$10</c:f>
              <c:numCache>
                <c:formatCode>_(* #,##0_);_(* \(#,##0\);_(* "-"??_);_(@_)</c:formatCode>
                <c:ptCount val="15"/>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Data'!$B$11:$P$11</c:f>
              <c:numCache>
                <c:formatCode>General</c:formatCode>
                <c:ptCount val="15"/>
                <c:pt idx="10" formatCode="_(* #,##0_);_(* \(#,##0\);_(* &quot;-&quot;??_);_(@_)">
                  <c:v>4487.6370000000006</c:v>
                </c:pt>
                <c:pt idx="11" formatCode="_(* #,##0_);_(* \(#,##0\);_(* &quot;-&quot;??_);_(@_)">
                  <c:v>4622.2661100000005</c:v>
                </c:pt>
                <c:pt idx="12" formatCode="_(* #,##0_);_(* \(#,##0\);_(* &quot;-&quot;??_);_(@_)">
                  <c:v>4899.6020766000011</c:v>
                </c:pt>
                <c:pt idx="13" formatCode="_(* #,##0_);_(* \(#,##0\);_(* &quot;-&quot;??_);_(@_)">
                  <c:v>5193.5782011960009</c:v>
                </c:pt>
                <c:pt idx="14" formatCode="_(* #,##0_);_(* \(#,##0\);_(* &quot;-&quot;??_);_(@_)">
                  <c:v>5505.1928932677611</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Data'!$B$12:$P$12</c:f>
              <c:numCache>
                <c:formatCode>General</c:formatCode>
                <c:ptCount val="15"/>
                <c:pt idx="10" formatCode="_(* #,##0_);_(* \(#,##0\);_(* &quot;-&quot;??_);_(@_)">
                  <c:v>3319.10295</c:v>
                </c:pt>
                <c:pt idx="11" formatCode="_(* #,##0_);_(* \(#,##0\);_(* &quot;-&quot;??_);_(@_)">
                  <c:v>3319.10295</c:v>
                </c:pt>
                <c:pt idx="12" formatCode="_(* #,##0_);_(* \(#,##0\);_(* &quot;-&quot;??_);_(@_)">
                  <c:v>3219.5298614999997</c:v>
                </c:pt>
                <c:pt idx="13" formatCode="_(* #,##0_);_(* \(#,##0\);_(* &quot;-&quot;??_);_(@_)">
                  <c:v>3122.9439656549998</c:v>
                </c:pt>
                <c:pt idx="14" formatCode="_(* #,##0_);_(* \(#,##0\);_(* &quot;-&quot;??_);_(@_)">
                  <c:v>3029.2556466853498</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Data'!$B$13:$P$13</c:f>
              <c:numCache>
                <c:formatCode>0%</c:formatCode>
                <c:ptCount val="15"/>
                <c:pt idx="0">
                  <c:v>0.11497802356832747</c:v>
                </c:pt>
                <c:pt idx="1">
                  <c:v>0.16315293254304261</c:v>
                </c:pt>
                <c:pt idx="2">
                  <c:v>0.17751809868141216</c:v>
                </c:pt>
                <c:pt idx="3">
                  <c:v>0.19887708376103469</c:v>
                </c:pt>
                <c:pt idx="4">
                  <c:v>0.19739202127659575</c:v>
                </c:pt>
                <c:pt idx="5">
                  <c:v>0.35458508597695931</c:v>
                </c:pt>
                <c:pt idx="6">
                  <c:v>0.16909014342386328</c:v>
                </c:pt>
                <c:pt idx="7">
                  <c:v>0.16861685874425342</c:v>
                </c:pt>
                <c:pt idx="8">
                  <c:v>8.7757071256038655E-2</c:v>
                </c:pt>
                <c:pt idx="9">
                  <c:v>0.12663174962680804</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Data'!$B$14:$P$14</c:f>
              <c:numCache>
                <c:formatCode>General</c:formatCode>
                <c:ptCount val="15"/>
                <c:pt idx="9" formatCode="0%">
                  <c:v>0.12663174962680804</c:v>
                </c:pt>
                <c:pt idx="10" formatCode="0%">
                  <c:v>0.22</c:v>
                </c:pt>
                <c:pt idx="11" formatCode="0%">
                  <c:v>0.22</c:v>
                </c:pt>
                <c:pt idx="12" formatCode="0%">
                  <c:v>0.22</c:v>
                </c:pt>
                <c:pt idx="13" formatCode="0%">
                  <c:v>0.22</c:v>
                </c:pt>
                <c:pt idx="14" formatCode="0%">
                  <c:v>0.22</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39447</c:v>
                </c:pt>
                <c:pt idx="1">
                  <c:v>39813</c:v>
                </c:pt>
                <c:pt idx="2">
                  <c:v>40178</c:v>
                </c:pt>
                <c:pt idx="3">
                  <c:v>40543</c:v>
                </c:pt>
                <c:pt idx="4">
                  <c:v>40908</c:v>
                </c:pt>
                <c:pt idx="5">
                  <c:v>41274</c:v>
                </c:pt>
                <c:pt idx="6">
                  <c:v>41639</c:v>
                </c:pt>
                <c:pt idx="7">
                  <c:v>42004</c:v>
                </c:pt>
                <c:pt idx="8">
                  <c:v>42369</c:v>
                </c:pt>
                <c:pt idx="9">
                  <c:v>42735</c:v>
                </c:pt>
                <c:pt idx="10">
                  <c:v>43100</c:v>
                </c:pt>
                <c:pt idx="11">
                  <c:v>43465</c:v>
                </c:pt>
                <c:pt idx="12">
                  <c:v>43830</c:v>
                </c:pt>
                <c:pt idx="13">
                  <c:v>44195</c:v>
                </c:pt>
                <c:pt idx="14">
                  <c:v>44560</c:v>
                </c:pt>
              </c:numCache>
            </c:numRef>
          </c:cat>
          <c:val>
            <c:numRef>
              <c:f>'Graphing Data'!$B$15:$P$15</c:f>
              <c:numCache>
                <c:formatCode>General</c:formatCode>
                <c:ptCount val="15"/>
                <c:pt idx="9" formatCode="0%">
                  <c:v>0.12663174962680804</c:v>
                </c:pt>
                <c:pt idx="10" formatCode="0%">
                  <c:v>0.17</c:v>
                </c:pt>
                <c:pt idx="11" formatCode="0%">
                  <c:v>0.17</c:v>
                </c:pt>
                <c:pt idx="12" formatCode="0%">
                  <c:v>0.17</c:v>
                </c:pt>
                <c:pt idx="13" formatCode="0%">
                  <c:v>0.17</c:v>
                </c:pt>
                <c:pt idx="14" formatCode="0%">
                  <c:v>0.17</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Data'!$B$18:$K$18</c:f>
              <c:numCache>
                <c:formatCode>_(* #,##0_);_(* \(#,##0\);_(* "-"??_);_(@_)</c:formatCode>
                <c:ptCount val="10"/>
                <c:pt idx="0">
                  <c:v>2224.5947999999999</c:v>
                </c:pt>
                <c:pt idx="1">
                  <c:v>2890.2541999999999</c:v>
                </c:pt>
                <c:pt idx="2">
                  <c:v>3338.7604000000001</c:v>
                </c:pt>
                <c:pt idx="3">
                  <c:v>3874.9211</c:v>
                </c:pt>
                <c:pt idx="4">
                  <c:v>4193.3960999999999</c:v>
                </c:pt>
                <c:pt idx="5">
                  <c:v>6248.1437999999998</c:v>
                </c:pt>
                <c:pt idx="6">
                  <c:v>2770.5419999999999</c:v>
                </c:pt>
                <c:pt idx="7">
                  <c:v>2677.4670999999998</c:v>
                </c:pt>
                <c:pt idx="8">
                  <c:v>1453.2571</c:v>
                </c:pt>
                <c:pt idx="9">
                  <c:v>2460.0749999999998</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Data'!$B$19:$K$19</c:f>
              <c:numCache>
                <c:formatCode>_(* #,##0_);_(* \(#,##0\);_(* "-"??_);_(@_)</c:formatCode>
                <c:ptCount val="10"/>
                <c:pt idx="0">
                  <c:v>110.27378964193184</c:v>
                </c:pt>
                <c:pt idx="1">
                  <c:v>-4457.0887482212856</c:v>
                </c:pt>
                <c:pt idx="2">
                  <c:v>2275.0567765871165</c:v>
                </c:pt>
                <c:pt idx="3">
                  <c:v>694.63735880922059</c:v>
                </c:pt>
                <c:pt idx="4">
                  <c:v>205.79377301712157</c:v>
                </c:pt>
                <c:pt idx="5">
                  <c:v>7571.6820819999994</c:v>
                </c:pt>
                <c:pt idx="6">
                  <c:v>240.13095238049596</c:v>
                </c:pt>
                <c:pt idx="7">
                  <c:v>-2892.3549321432438</c:v>
                </c:pt>
                <c:pt idx="8">
                  <c:v>1243.4963488096218</c:v>
                </c:pt>
                <c:pt idx="9">
                  <c:v>206.71273857122571</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Data'!$B$22:$K$22</c:f>
              <c:numCache>
                <c:formatCode>_(* #,##0_);_(* \(#,##0\);_(* "-"??_);_(@_)</c:formatCode>
                <c:ptCount val="10"/>
                <c:pt idx="0">
                  <c:v>-85.40520000000015</c:v>
                </c:pt>
                <c:pt idx="1">
                  <c:v>124.25419999999986</c:v>
                </c:pt>
                <c:pt idx="2">
                  <c:v>3.7604000000001179</c:v>
                </c:pt>
                <c:pt idx="3">
                  <c:v>-192.07889999999998</c:v>
                </c:pt>
                <c:pt idx="4">
                  <c:v>-279.60390000000007</c:v>
                </c:pt>
                <c:pt idx="5">
                  <c:v>-144.85620000000017</c:v>
                </c:pt>
                <c:pt idx="6">
                  <c:v>-237.45800000000008</c:v>
                </c:pt>
                <c:pt idx="7">
                  <c:v>55.467099999999846</c:v>
                </c:pt>
                <c:pt idx="8">
                  <c:v>441.25710000000004</c:v>
                </c:pt>
                <c:pt idx="9">
                  <c:v>825.07499999999982</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Data'!$B$24:$K$24</c:f>
              <c:numCache>
                <c:formatCode>_(* #,##0_);_(* \(#,##0\);_(* "-"??_);_(@_)</c:formatCode>
                <c:ptCount val="10"/>
                <c:pt idx="0">
                  <c:v>432</c:v>
                </c:pt>
                <c:pt idx="1">
                  <c:v>191</c:v>
                </c:pt>
                <c:pt idx="2">
                  <c:v>2232</c:v>
                </c:pt>
                <c:pt idx="3">
                  <c:v>829</c:v>
                </c:pt>
                <c:pt idx="4">
                  <c:v>360</c:v>
                </c:pt>
                <c:pt idx="5">
                  <c:v>7530</c:v>
                </c:pt>
                <c:pt idx="6">
                  <c:v>0</c:v>
                </c:pt>
                <c:pt idx="7">
                  <c:v>219</c:v>
                </c:pt>
                <c:pt idx="8">
                  <c:v>1111</c:v>
                </c:pt>
                <c:pt idx="9">
                  <c:v>359</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Data'!$B$27:$K$27</c:f>
              <c:numCache>
                <c:formatCode>_(* #,##0_);_(* \(#,##0\);_(* "-"??_);_(@_)</c:formatCode>
                <c:ptCount val="10"/>
                <c:pt idx="0">
                  <c:v>80.678989641931992</c:v>
                </c:pt>
                <c:pt idx="1">
                  <c:v>66.657051778715001</c:v>
                </c:pt>
                <c:pt idx="2">
                  <c:v>65.296376587116185</c:v>
                </c:pt>
                <c:pt idx="3">
                  <c:v>124.71625880922056</c:v>
                </c:pt>
                <c:pt idx="4">
                  <c:v>274.39767301712163</c:v>
                </c:pt>
                <c:pt idx="5">
                  <c:v>254.53828199999998</c:v>
                </c:pt>
                <c:pt idx="6">
                  <c:v>486.58895238049604</c:v>
                </c:pt>
                <c:pt idx="7">
                  <c:v>418.17796785675637</c:v>
                </c:pt>
                <c:pt idx="8">
                  <c:v>399.23924880962193</c:v>
                </c:pt>
                <c:pt idx="9">
                  <c:v>356.6377385712259</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Data'!$B$23:$K$23</c:f>
              <c:numCache>
                <c:formatCode>_(* #,##0_);_(* \(#,##0\);_(* "-"??_);_(@_)</c:formatCode>
                <c:ptCount val="10"/>
                <c:pt idx="0">
                  <c:v>-317</c:v>
                </c:pt>
                <c:pt idx="1">
                  <c:v>-4839</c:v>
                </c:pt>
                <c:pt idx="2">
                  <c:v>-26</c:v>
                </c:pt>
                <c:pt idx="3">
                  <c:v>-67</c:v>
                </c:pt>
                <c:pt idx="4">
                  <c:v>-149</c:v>
                </c:pt>
                <c:pt idx="5">
                  <c:v>-68</c:v>
                </c:pt>
                <c:pt idx="6">
                  <c:v>-9</c:v>
                </c:pt>
                <c:pt idx="7">
                  <c:v>-3585</c:v>
                </c:pt>
                <c:pt idx="8">
                  <c:v>-708</c:v>
                </c:pt>
                <c:pt idx="9">
                  <c:v>-1334</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39447</c:v>
                </c:pt>
                <c:pt idx="1">
                  <c:v>39813</c:v>
                </c:pt>
                <c:pt idx="2">
                  <c:v>40178</c:v>
                </c:pt>
                <c:pt idx="3">
                  <c:v>40543</c:v>
                </c:pt>
                <c:pt idx="4">
                  <c:v>40908</c:v>
                </c:pt>
                <c:pt idx="5">
                  <c:v>41274</c:v>
                </c:pt>
                <c:pt idx="6">
                  <c:v>41639</c:v>
                </c:pt>
                <c:pt idx="7">
                  <c:v>42004</c:v>
                </c:pt>
                <c:pt idx="8">
                  <c:v>42369</c:v>
                </c:pt>
                <c:pt idx="9">
                  <c:v>42735</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sheetViews>
    <sheetView tabSelected="1" zoomScale="134" workbookViewId="0" zoomToFit="1"/>
  </sheetViews>
  <pageMargins left="0.7" right="0.7" top="0.75" bottom="0.75" header="0.3" footer="0.3"/>
  <pageSetup paperSize="5" orientation="landscape" r:id="rId1"/>
  <drawing r:id="rId2"/>
</chartsheet>
</file>

<file path=xl/chartsheets/sheet10.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11.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12.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pageSetup paperSize="5" orientation="landscape" r:id="rId1"/>
  <drawing r:id="rId2"/>
</chartsheet>
</file>

<file path=xl/chartsheets/sheet13.xml><?xml version="1.0" encoding="utf-8"?>
<chartsheet xmlns="http://schemas.openxmlformats.org/spreadsheetml/2006/main" xmlns:r="http://schemas.openxmlformats.org/officeDocument/2006/relationships">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8.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chartsheets/sheet9.xml><?xml version="1.0" encoding="utf-8"?>
<chartsheet xmlns="http://schemas.openxmlformats.org/spreadsheetml/2006/main" xmlns:r="http://schemas.openxmlformats.org/officeDocument/2006/relationships">
  <sheetPr/>
  <sheetViews>
    <sheetView zoomScale="134"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40B047B7-918C-4350-8A96-84AB1FB4E87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2580EB64-124C-49CE-8B7D-EDB7E146A43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11406578" cy="6284939"/>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62285" cy="6284939"/>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FD0725DE-CCD2-4CF4-A578-F5CF2C8FE7E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8B67E40B-E343-4075-94D2-4DE60361258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F6EFC280-EE9E-4F08-9761-D75B96F80F5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EAEE430F-85D8-4501-B9D3-CD54CAB294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408675" cy="629076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refreshError="1"/>
      <sheetData sheetId="1" refreshError="1"/>
      <sheetData sheetId="2" refreshError="1"/>
      <sheetData sheetId="3" refreshError="1"/>
      <sheetData sheetId="4" refreshError="1"/>
      <sheetData sheetId="5" refreshError="1"/>
      <sheetData sheetId="6">
        <row r="3">
          <cell r="B3" t="b">
            <v>0</v>
          </cell>
        </row>
        <row r="5">
          <cell r="B5" t="b">
            <v>0</v>
          </cell>
        </row>
      </sheetData>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145"/>
  <sheetViews>
    <sheetView showGridLines="0" zoomScaleNormal="100" workbookViewId="0">
      <selection activeCell="B4" sqref="B4"/>
    </sheetView>
  </sheetViews>
  <sheetFormatPr defaultRowHeight="15"/>
  <cols>
    <col min="1" max="1" width="38.7109375" bestFit="1" customWidth="1"/>
    <col min="2" max="7" width="11.7109375" customWidth="1"/>
    <col min="8" max="9" width="10.5703125" bestFit="1" customWidth="1"/>
    <col min="10" max="10" width="11.42578125" customWidth="1"/>
    <col min="11" max="11" width="10.5703125" bestFit="1" customWidth="1"/>
    <col min="12" max="13" width="9.5703125" bestFit="1" customWidth="1"/>
    <col min="14" max="14" width="10.5703125" bestFit="1" customWidth="1"/>
    <col min="15" max="15" width="11.5703125" bestFit="1" customWidth="1"/>
  </cols>
  <sheetData>
    <row r="1" spans="1:13" ht="15.75" thickBot="1">
      <c r="A1" s="164" t="s">
        <v>61</v>
      </c>
      <c r="B1" s="164"/>
      <c r="C1" s="164"/>
      <c r="D1" s="164"/>
      <c r="E1" s="164"/>
      <c r="F1" s="164"/>
      <c r="G1" s="164"/>
      <c r="I1" s="173" t="s">
        <v>51</v>
      </c>
      <c r="J1" s="174"/>
      <c r="K1" s="91" t="s">
        <v>58</v>
      </c>
      <c r="L1" s="63" t="s">
        <v>108</v>
      </c>
    </row>
    <row r="2" spans="1:13">
      <c r="A2" s="51" t="s">
        <v>191</v>
      </c>
      <c r="B2" s="44" t="s">
        <v>192</v>
      </c>
      <c r="C2" s="98" t="str">
        <f>A2&amp;" ("&amp;ticker&amp;")"</f>
        <v>Bristol-Meyers Squibb (BMY)</v>
      </c>
      <c r="E2" s="3" t="s">
        <v>57</v>
      </c>
      <c r="F2" s="3"/>
      <c r="G2" s="50">
        <v>54.97</v>
      </c>
      <c r="I2" s="169" t="str">
        <f>(ROUND(AVERAGE(C9:G9)*100,0)&amp;"% | "&amp;ROUND(AVERAGE(C11:G11)*100,0)&amp;"% | "&amp;ROUND(C18*100,0)&amp;"%")</f>
        <v>-2% | 17% | -10%</v>
      </c>
      <c r="J2" s="170"/>
      <c r="K2" s="92">
        <f ca="1">TRUNC(Scenario1)+B13/G4</f>
        <v>16</v>
      </c>
      <c r="L2" s="94" t="s">
        <v>53</v>
      </c>
      <c r="M2" s="45"/>
    </row>
    <row r="3" spans="1:13">
      <c r="A3" t="s">
        <v>0</v>
      </c>
      <c r="B3" s="13">
        <v>42735</v>
      </c>
      <c r="E3" t="s">
        <v>60</v>
      </c>
      <c r="G3" s="31">
        <f>'Company Analysis'!K3</f>
        <v>19427</v>
      </c>
      <c r="I3" s="169" t="str">
        <f>(ROUND(AVERAGE(C9:G9)*100,0)&amp;"% | "&amp;ROUND(AVERAGE(C11:G11)*100,0)&amp;"% | "&amp;ROUND(C17*100,0)&amp;"%")</f>
        <v>-2% | 17% | 10%</v>
      </c>
      <c r="J3" s="170"/>
      <c r="K3" s="92">
        <f ca="1">TRUNC(Scenario2)+B13/G4</f>
        <v>31</v>
      </c>
      <c r="L3" s="94" t="s">
        <v>53</v>
      </c>
      <c r="M3" s="46"/>
    </row>
    <row r="4" spans="1:13" ht="15.75" thickBot="1">
      <c r="A4" s="68" t="s">
        <v>1</v>
      </c>
      <c r="B4" s="52">
        <v>0.1</v>
      </c>
      <c r="C4" s="12"/>
      <c r="D4" s="12"/>
      <c r="E4" s="12" t="s">
        <v>6</v>
      </c>
      <c r="F4" s="12"/>
      <c r="G4" s="53">
        <v>1647.4344579999999</v>
      </c>
      <c r="I4" s="169" t="str">
        <f>(ROUND(AVERAGE(C9:G9)*100,0)&amp;"% | "&amp;ROUND(AVERAGE(C10:G10)*100,0)&amp;"% | "&amp;ROUND(C18*100,0)&amp;"%")</f>
        <v>-2% | 22% | -10%</v>
      </c>
      <c r="J4" s="170"/>
      <c r="K4" s="92">
        <f ca="1">TRUNC(Scenario3)+B13/G4</f>
        <v>21</v>
      </c>
      <c r="L4" s="95" t="s">
        <v>53</v>
      </c>
      <c r="M4" s="47"/>
    </row>
    <row r="5" spans="1:13">
      <c r="B5" s="2"/>
      <c r="I5" s="169" t="str">
        <f>(ROUND(AVERAGE(C9:G9)*100,0)&amp;"% | "&amp;ROUND(AVERAGE(C10:G10)*100,0)&amp;"% | "&amp;ROUND(C17*100,0)&amp;"%")</f>
        <v>-2% | 22% | 10%</v>
      </c>
      <c r="J5" s="170"/>
      <c r="K5" s="92">
        <f ca="1">TRUNC(Scenario4)+B13/G4</f>
        <v>41</v>
      </c>
      <c r="L5" s="95" t="s">
        <v>53</v>
      </c>
      <c r="M5" s="47"/>
    </row>
    <row r="6" spans="1:13" s="9" customFormat="1" ht="15.75" thickBot="1">
      <c r="A6" s="164" t="s">
        <v>96</v>
      </c>
      <c r="B6" s="164"/>
      <c r="C6" s="164"/>
      <c r="D6" s="164"/>
      <c r="E6" s="164"/>
      <c r="F6" s="164"/>
      <c r="G6" s="164"/>
      <c r="H6" s="8"/>
      <c r="I6" s="169" t="str">
        <f>(ROUND(AVERAGE(C8:G8)*100,0)&amp;"% | "&amp;ROUND(AVERAGE(C11:G11)*100,0)&amp;"% | "&amp;ROUND(C18*100,0)&amp;"%")</f>
        <v>5% | 17% | -10%</v>
      </c>
      <c r="J6" s="170"/>
      <c r="K6" s="92">
        <f ca="1">TRUNC(Scenario5)+B13/G4</f>
        <v>22</v>
      </c>
      <c r="L6" s="94" t="s">
        <v>53</v>
      </c>
      <c r="M6" s="48"/>
    </row>
    <row r="7" spans="1:13">
      <c r="A7" s="7"/>
      <c r="B7" s="7" t="s">
        <v>2</v>
      </c>
      <c r="C7" s="40">
        <v>1</v>
      </c>
      <c r="D7" s="40">
        <v>2</v>
      </c>
      <c r="E7" s="40">
        <v>3</v>
      </c>
      <c r="F7" s="40">
        <v>4</v>
      </c>
      <c r="G7" s="40">
        <v>5</v>
      </c>
      <c r="I7" s="169" t="str">
        <f>(ROUND(AVERAGE(C8:G8)*100,0)&amp;"% | "&amp;ROUND(AVERAGE(C11:G11)*100,0)&amp;"% | "&amp;ROUND(C17*100,0)&amp;"%")</f>
        <v>5% | 17% | 10%</v>
      </c>
      <c r="J7" s="170"/>
      <c r="K7" s="92">
        <f ca="1">TRUNC(Scenario6)+B13/G4</f>
        <v>43</v>
      </c>
      <c r="L7" s="96" t="s">
        <v>53</v>
      </c>
    </row>
    <row r="8" spans="1:13">
      <c r="A8" s="167" t="s">
        <v>5</v>
      </c>
      <c r="B8" s="22" t="s">
        <v>3</v>
      </c>
      <c r="C8" s="23">
        <v>0.05</v>
      </c>
      <c r="D8" s="23">
        <v>0.03</v>
      </c>
      <c r="E8" s="23">
        <v>0.06</v>
      </c>
      <c r="F8" s="23">
        <v>0.06</v>
      </c>
      <c r="G8" s="23">
        <v>0.06</v>
      </c>
      <c r="I8" s="169" t="str">
        <f>(ROUND(AVERAGE(C8:G8)*100,0)&amp;"% | "&amp;ROUND(AVERAGE(C10:G10)*100,0)&amp;"% | "&amp;ROUND(C18*100,0)&amp;"%")</f>
        <v>5% | 22% | -10%</v>
      </c>
      <c r="J8" s="170"/>
      <c r="K8" s="92">
        <f ca="1">TRUNC(Scenario7)+B13/G4</f>
        <v>28</v>
      </c>
      <c r="L8" s="96" t="s">
        <v>53</v>
      </c>
    </row>
    <row r="9" spans="1:13">
      <c r="A9" s="168"/>
      <c r="B9" s="14" t="s">
        <v>4</v>
      </c>
      <c r="C9" s="24">
        <v>5.0000000000000001E-3</v>
      </c>
      <c r="D9" s="24">
        <v>0</v>
      </c>
      <c r="E9" s="24">
        <v>-0.03</v>
      </c>
      <c r="F9" s="24">
        <v>-0.03</v>
      </c>
      <c r="G9" s="24">
        <v>-0.03</v>
      </c>
      <c r="I9" s="171" t="str">
        <f>(ROUND(AVERAGE(C8:G8)*100,0)&amp;"% | "&amp;ROUND(AVERAGE(C10:G10)*100,0)&amp;"% | "&amp;ROUND(C17*100,0)&amp;"%")</f>
        <v>5% | 22% | 10%</v>
      </c>
      <c r="J9" s="172"/>
      <c r="K9" s="93">
        <f ca="1">TRUNC(Scenario8)+B13/G4</f>
        <v>56</v>
      </c>
      <c r="L9" s="97" t="s">
        <v>53</v>
      </c>
    </row>
    <row r="10" spans="1:13">
      <c r="A10" s="165" t="s">
        <v>124</v>
      </c>
      <c r="B10" s="22" t="s">
        <v>3</v>
      </c>
      <c r="C10" s="138">
        <v>0.22</v>
      </c>
      <c r="D10" s="138">
        <v>0.22</v>
      </c>
      <c r="E10" s="138">
        <v>0.22</v>
      </c>
      <c r="F10" s="138">
        <v>0.22</v>
      </c>
      <c r="G10" s="138">
        <v>0.22</v>
      </c>
    </row>
    <row r="11" spans="1:13">
      <c r="A11" s="166"/>
      <c r="B11" s="14" t="s">
        <v>4</v>
      </c>
      <c r="C11" s="139">
        <v>0.17</v>
      </c>
      <c r="D11" s="139">
        <v>0.17</v>
      </c>
      <c r="E11" s="139">
        <v>0.17</v>
      </c>
      <c r="F11" s="139">
        <v>0.17</v>
      </c>
      <c r="G11" s="139">
        <v>0.17</v>
      </c>
      <c r="I11" s="175" t="str">
        <f>A2&amp;" ("&amp;B2&amp;")"</f>
        <v>Bristol-Meyers Squibb (BMY)</v>
      </c>
      <c r="J11" s="176"/>
      <c r="K11" s="176"/>
      <c r="L11" s="177"/>
    </row>
    <row r="12" spans="1:13">
      <c r="A12" s="1" t="s">
        <v>62</v>
      </c>
      <c r="B12" s="14"/>
      <c r="C12" s="25">
        <v>0.16</v>
      </c>
      <c r="D12" s="25">
        <v>0.16</v>
      </c>
      <c r="E12" s="25">
        <v>0.16</v>
      </c>
      <c r="F12" s="25">
        <v>0.16</v>
      </c>
      <c r="G12" s="25">
        <v>0.16</v>
      </c>
      <c r="I12" s="155" t="str">
        <f ca="1">"$"&amp;ROUND(F21/G4,0)&amp;" Scenario"</f>
        <v>$22 Scenario</v>
      </c>
      <c r="J12" s="156"/>
      <c r="K12" s="156"/>
      <c r="L12" s="157"/>
    </row>
    <row r="13" spans="1:13">
      <c r="A13" s="67" t="s">
        <v>10</v>
      </c>
      <c r="B13" s="26">
        <v>0</v>
      </c>
      <c r="I13" s="73" t="s">
        <v>16</v>
      </c>
      <c r="K13" s="74"/>
      <c r="L13" s="65" t="s">
        <v>4</v>
      </c>
    </row>
    <row r="14" spans="1:13">
      <c r="B14" s="2"/>
      <c r="I14" s="71" t="s">
        <v>17</v>
      </c>
      <c r="K14" s="72"/>
      <c r="L14" s="65" t="s">
        <v>3</v>
      </c>
    </row>
    <row r="15" spans="1:13" ht="15.75" thickBot="1">
      <c r="A15" s="164" t="s">
        <v>97</v>
      </c>
      <c r="B15" s="164"/>
      <c r="C15" s="164"/>
      <c r="D15" s="3"/>
      <c r="E15" s="164" t="s">
        <v>98</v>
      </c>
      <c r="F15" s="164"/>
      <c r="G15" s="164"/>
      <c r="I15" s="75" t="s">
        <v>118</v>
      </c>
      <c r="J15" s="76"/>
      <c r="K15" s="76"/>
      <c r="L15" s="66" t="s">
        <v>4</v>
      </c>
    </row>
    <row r="16" spans="1:13">
      <c r="A16" s="67" t="s">
        <v>11</v>
      </c>
      <c r="B16" s="27">
        <v>5</v>
      </c>
      <c r="C16" t="s">
        <v>12</v>
      </c>
      <c r="E16" s="28" t="s">
        <v>14</v>
      </c>
      <c r="G16" s="32">
        <v>2.5000000000000001E-2</v>
      </c>
      <c r="I16" s="49" t="s">
        <v>117</v>
      </c>
      <c r="K16" s="3"/>
      <c r="L16" s="57">
        <f>(F26/G3)^0.2-1</f>
        <v>-1.7129607233613675E-2</v>
      </c>
    </row>
    <row r="17" spans="1:12">
      <c r="A17" s="162" t="s">
        <v>59</v>
      </c>
      <c r="B17" s="21" t="s">
        <v>3</v>
      </c>
      <c r="C17" s="23">
        <v>0.1</v>
      </c>
      <c r="D17" s="37">
        <f>IF(C17=B$4,C17-0.0001,C17)</f>
        <v>9.9900000000000003E-2</v>
      </c>
      <c r="E17" s="28" t="s">
        <v>15</v>
      </c>
      <c r="G17" s="32">
        <v>2.5000000000000001E-2</v>
      </c>
      <c r="I17" s="71" t="s">
        <v>116</v>
      </c>
      <c r="K17" s="72"/>
      <c r="L17" s="54">
        <f>SUM(B29:F29)/SUM(B26:F26)</f>
        <v>0.18479999999999996</v>
      </c>
    </row>
    <row r="18" spans="1:12">
      <c r="A18" s="163"/>
      <c r="B18" s="15" t="s">
        <v>4</v>
      </c>
      <c r="C18" s="24">
        <v>-0.1</v>
      </c>
      <c r="D18" s="37">
        <f>IF(C18=B$4,C18-0.0001,C18)</f>
        <v>-0.1</v>
      </c>
      <c r="G18" s="11"/>
      <c r="I18" s="75" t="s">
        <v>119</v>
      </c>
      <c r="K18" s="28"/>
      <c r="L18" s="56">
        <f ca="1">(F21/G4)/G2-1</f>
        <v>-0.60509755682328004</v>
      </c>
    </row>
    <row r="19" spans="1:12">
      <c r="C19" s="3"/>
      <c r="D19" s="3"/>
      <c r="E19" s="3"/>
      <c r="F19" s="3"/>
      <c r="J19" s="55"/>
      <c r="K19" s="55"/>
      <c r="L19" s="55"/>
    </row>
    <row r="20" spans="1:12" ht="15.75" thickBot="1">
      <c r="A20" s="59" t="s">
        <v>7</v>
      </c>
      <c r="B20" s="64" t="s">
        <v>92</v>
      </c>
      <c r="C20" s="64" t="s">
        <v>93</v>
      </c>
      <c r="D20" s="64" t="s">
        <v>94</v>
      </c>
      <c r="E20" s="64" t="s">
        <v>95</v>
      </c>
      <c r="F20" s="64" t="s">
        <v>8</v>
      </c>
      <c r="I20" s="158" t="s">
        <v>123</v>
      </c>
      <c r="J20" s="159"/>
      <c r="K20" s="159"/>
      <c r="L20" s="160"/>
    </row>
    <row r="21" spans="1:12">
      <c r="A21" s="16" t="s">
        <v>13</v>
      </c>
      <c r="B21" s="17">
        <f ca="1">SUM(B43:F43)</f>
        <v>13679.129934821663</v>
      </c>
      <c r="C21" s="17">
        <f ca="1">B54*F43</f>
        <v>5951.0222532065009</v>
      </c>
      <c r="D21" s="17">
        <f ca="1">B51*B50</f>
        <v>16132.004619273055</v>
      </c>
      <c r="E21" s="17">
        <f>B13</f>
        <v>0</v>
      </c>
      <c r="F21" s="17">
        <f ca="1">B21+C21+D21+E21</f>
        <v>35762.156807301217</v>
      </c>
      <c r="I21" s="101"/>
      <c r="J21" s="102"/>
      <c r="K21" s="69" t="s">
        <v>120</v>
      </c>
      <c r="L21" s="70" t="s">
        <v>121</v>
      </c>
    </row>
    <row r="22" spans="1:12">
      <c r="A22" s="16" t="s">
        <v>9</v>
      </c>
      <c r="B22" s="60">
        <f ca="1">IFERROR(B21/$F21,"")</f>
        <v>0.38250293483498532</v>
      </c>
      <c r="C22" s="60">
        <f ca="1">IFERROR(C21/$F21,"")</f>
        <v>0.16640557462103453</v>
      </c>
      <c r="D22" s="60">
        <f ca="1">IFERROR(D21/$F21,"")</f>
        <v>0.45109149054398023</v>
      </c>
      <c r="E22" s="60">
        <f ca="1">IFERROR(E21/$F21,"")</f>
        <v>0</v>
      </c>
      <c r="F22" s="60">
        <v>1</v>
      </c>
      <c r="I22" s="100" t="s">
        <v>122</v>
      </c>
      <c r="J22" s="15"/>
      <c r="K22" s="103">
        <v>0.25</v>
      </c>
      <c r="L22" s="104">
        <v>0.25600000000000001</v>
      </c>
    </row>
    <row r="23" spans="1:12">
      <c r="A23" s="16"/>
      <c r="B23" s="20"/>
      <c r="C23" s="20"/>
      <c r="D23" s="20"/>
      <c r="E23" s="20"/>
      <c r="F23" s="20"/>
    </row>
    <row r="24" spans="1:12" ht="15.75" hidden="1" customHeight="1" thickBot="1">
      <c r="A24" s="59" t="s">
        <v>74</v>
      </c>
      <c r="B24" s="61">
        <v>1</v>
      </c>
      <c r="C24" s="61">
        <v>2</v>
      </c>
      <c r="D24" s="61">
        <v>3</v>
      </c>
      <c r="E24" s="61">
        <v>4</v>
      </c>
      <c r="F24" s="61">
        <v>5</v>
      </c>
      <c r="I24" t="s">
        <v>115</v>
      </c>
      <c r="K24" s="99">
        <v>0.25</v>
      </c>
      <c r="L24" s="99">
        <v>0.25</v>
      </c>
    </row>
    <row r="25" spans="1:12" s="9" customFormat="1" ht="12" hidden="1" customHeight="1">
      <c r="B25" s="33">
        <f>DATE(YEAR($B$3)+B24,MONTH($B$3),DAY($B$3))</f>
        <v>43100</v>
      </c>
      <c r="C25" s="33">
        <f t="shared" ref="C25:F25" si="0">DATE(YEAR($B$3)+C24,MONTH($B$3),DAY($B$3))</f>
        <v>43465</v>
      </c>
      <c r="D25" s="33">
        <f t="shared" si="0"/>
        <v>43830</v>
      </c>
      <c r="E25" s="33">
        <f t="shared" si="0"/>
        <v>44196</v>
      </c>
      <c r="F25" s="33">
        <f t="shared" si="0"/>
        <v>44561</v>
      </c>
      <c r="I25" s="9" t="s">
        <v>57</v>
      </c>
      <c r="L25" s="9">
        <v>26.29</v>
      </c>
    </row>
    <row r="26" spans="1:12" hidden="1">
      <c r="A26" t="s">
        <v>37</v>
      </c>
      <c r="B26" s="30">
        <f>(CHOOSE($B36,C8,C9)+1)*G3</f>
        <v>19524.134999999998</v>
      </c>
      <c r="C26" s="30">
        <f>(CHOOSE($B36,D8,D9)+1)*B26</f>
        <v>19524.134999999998</v>
      </c>
      <c r="D26" s="30">
        <f>(CHOOSE($B36,E8,E9)+1)*C26</f>
        <v>18938.410949999998</v>
      </c>
      <c r="E26" s="30">
        <f>(CHOOSE($B36,F8,F9)+1)*D26</f>
        <v>18370.258621499997</v>
      </c>
      <c r="F26" s="30">
        <f>(CHOOSE($B36,G8,G9)+1)*E26</f>
        <v>17819.150862854996</v>
      </c>
    </row>
    <row r="27" spans="1:12" hidden="1">
      <c r="A27" t="s">
        <v>71</v>
      </c>
      <c r="B27" s="58">
        <f>CHOOSE($B37,C10,C11)*B26</f>
        <v>4295.3096999999998</v>
      </c>
      <c r="C27" s="5">
        <f>CHOOSE($B37,D10,D11)*C26</f>
        <v>4295.3096999999998</v>
      </c>
      <c r="D27" s="5">
        <f>CHOOSE($B37,E10,E11)*D26</f>
        <v>4166.4504089999991</v>
      </c>
      <c r="E27" s="5">
        <f>CHOOSE($B37,F10,F11)*E26</f>
        <v>4041.4568967299992</v>
      </c>
      <c r="F27" s="5">
        <f>CHOOSE($B37,G10,G11)*F26</f>
        <v>3920.2131898280991</v>
      </c>
    </row>
    <row r="28" spans="1:12" hidden="1">
      <c r="A28" t="s">
        <v>72</v>
      </c>
      <c r="B28" s="58">
        <f>-C12*B27</f>
        <v>-687.24955199999999</v>
      </c>
      <c r="C28" s="58">
        <f t="shared" ref="C28:E28" si="1">-D12*C27</f>
        <v>-687.24955199999999</v>
      </c>
      <c r="D28" s="58">
        <f t="shared" si="1"/>
        <v>-666.63206543999991</v>
      </c>
      <c r="E28" s="58">
        <f t="shared" si="1"/>
        <v>-646.63310347679987</v>
      </c>
      <c r="F28" s="58">
        <f>-G12*F27</f>
        <v>-627.23411037249582</v>
      </c>
    </row>
    <row r="29" spans="1:12" ht="15.75" hidden="1" thickBot="1">
      <c r="A29" t="s">
        <v>73</v>
      </c>
      <c r="B29" s="4">
        <f>B27+B28</f>
        <v>3608.0601479999996</v>
      </c>
      <c r="C29" s="4">
        <f>C27+C28</f>
        <v>3608.0601479999996</v>
      </c>
      <c r="D29" s="4">
        <f>D27+D28</f>
        <v>3499.8183435599994</v>
      </c>
      <c r="E29" s="4">
        <f>E27+E28</f>
        <v>3394.8237932531993</v>
      </c>
      <c r="F29" s="4">
        <f>F27+F28</f>
        <v>3292.9790794556034</v>
      </c>
    </row>
    <row r="30" spans="1:12" ht="15.75" hidden="1" thickTop="1">
      <c r="B30" s="62"/>
      <c r="C30" s="62"/>
      <c r="D30" s="62"/>
      <c r="E30" s="62"/>
      <c r="F30" s="62"/>
    </row>
    <row r="31" spans="1:12" hidden="1">
      <c r="B31" s="35" t="s">
        <v>20</v>
      </c>
      <c r="E31" s="35"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61" t="s">
        <v>35</v>
      </c>
      <c r="B41" s="161"/>
      <c r="C41" s="161"/>
      <c r="D41" s="161"/>
      <c r="E41" s="161"/>
      <c r="F41" s="161"/>
    </row>
    <row r="42" spans="1:16" hidden="1">
      <c r="A42" t="s">
        <v>21</v>
      </c>
      <c r="B42" s="19">
        <f ca="1">B25-TODAY()</f>
        <v>203</v>
      </c>
      <c r="C42" s="19">
        <f ca="1">C25-TODAY()</f>
        <v>568</v>
      </c>
      <c r="D42" s="19">
        <f ca="1">D25-TODAY()</f>
        <v>933</v>
      </c>
      <c r="E42" s="19">
        <f ca="1">E25-TODAY()</f>
        <v>1299</v>
      </c>
      <c r="F42" s="19">
        <f ca="1">F25-TODAY()</f>
        <v>1664</v>
      </c>
      <c r="P42" s="38"/>
    </row>
    <row r="43" spans="1:16" hidden="1">
      <c r="A43" t="s">
        <v>22</v>
      </c>
      <c r="B43" s="17">
        <f ca="1">B29*EXP(-$B$4*B42/365.25)</f>
        <v>3413.000791439903</v>
      </c>
      <c r="C43" s="17">
        <f ca="1">C29*EXP(-$B$4*C42/365.25)</f>
        <v>3088.4222076261754</v>
      </c>
      <c r="D43" s="17">
        <f ca="1">D29*EXP(-$B$4*D42/365.25)</f>
        <v>2710.8699194524329</v>
      </c>
      <c r="E43" s="17">
        <f ca="1">E29*EXP(-$B$4*E42/365.25)</f>
        <v>2378.8211279411389</v>
      </c>
      <c r="F43" s="17">
        <f ca="1">F29*EXP(-$B$4*F42/365.25)</f>
        <v>2088.0158883620143</v>
      </c>
      <c r="O43" s="39"/>
    </row>
    <row r="44" spans="1:16" hidden="1"/>
    <row r="45" spans="1:16" hidden="1">
      <c r="A45" s="6" t="s">
        <v>26</v>
      </c>
      <c r="B45">
        <f>MONTH(B3)</f>
        <v>12</v>
      </c>
    </row>
    <row r="46" spans="1:16" hidden="1">
      <c r="A46" s="6" t="s">
        <v>27</v>
      </c>
      <c r="B46">
        <f>DAY(B3)</f>
        <v>31</v>
      </c>
    </row>
    <row r="47" spans="1:16" hidden="1">
      <c r="A47" s="6" t="s">
        <v>23</v>
      </c>
      <c r="B47">
        <f>YEAR(F25)+B16</f>
        <v>2026</v>
      </c>
    </row>
    <row r="48" spans="1:16" hidden="1">
      <c r="A48" s="6" t="s">
        <v>28</v>
      </c>
      <c r="B48">
        <f ca="1">DATE(B47,B45,B46)-TODAY()</f>
        <v>3490</v>
      </c>
      <c r="C48" s="34"/>
    </row>
    <row r="49" spans="1:7" hidden="1">
      <c r="A49" s="6" t="s">
        <v>24</v>
      </c>
      <c r="B49" s="17">
        <f>F29*EXP(CHOOSE(B38,C17,C18)*B16)</f>
        <v>1997.2927734821073</v>
      </c>
    </row>
    <row r="50" spans="1:7" hidden="1">
      <c r="A50" s="6" t="s">
        <v>29</v>
      </c>
      <c r="B50" s="17">
        <f ca="1">B49*EXP(-B4*B48/365.25)</f>
        <v>768.19069615585977</v>
      </c>
    </row>
    <row r="51" spans="1:7" hidden="1">
      <c r="A51" s="6" t="s">
        <v>31</v>
      </c>
      <c r="B51" s="17">
        <f>(1+SUM(G16,G17))/(B4-SUM(G16,G17))</f>
        <v>21</v>
      </c>
    </row>
    <row r="52" spans="1:7" hidden="1">
      <c r="A52" s="6" t="s">
        <v>32</v>
      </c>
      <c r="B52" s="18">
        <f>(1+CHOOSE(B38,D17,D18))/(B4-(CHOOSE(B38,D17,D18)))</f>
        <v>4.5</v>
      </c>
      <c r="F52" s="38"/>
    </row>
    <row r="53" spans="1:7" hidden="1">
      <c r="A53" s="6" t="s">
        <v>33</v>
      </c>
      <c r="B53" s="38">
        <f>1-(((1+CHOOSE(B38,D17,D18))/(1+B4))^B16)</f>
        <v>0.63335216794679972</v>
      </c>
      <c r="F53" s="39"/>
    </row>
    <row r="54" spans="1:7" hidden="1">
      <c r="A54" s="6" t="s">
        <v>30</v>
      </c>
      <c r="B54" s="36">
        <f>B52*B53</f>
        <v>2.8500847557605988</v>
      </c>
    </row>
    <row r="55" spans="1:7" hidden="1"/>
    <row r="56" spans="1:7" hidden="1"/>
    <row r="57" spans="1:7" hidden="1">
      <c r="A57" s="41" t="s">
        <v>36</v>
      </c>
    </row>
    <row r="58" spans="1:7" hidden="1">
      <c r="A58" t="s">
        <v>37</v>
      </c>
      <c r="B58" s="18">
        <f>$G$3*(1+C$9)</f>
        <v>19524.134999999998</v>
      </c>
      <c r="C58" s="18">
        <f>B58*(1+D$9)</f>
        <v>19524.134999999998</v>
      </c>
      <c r="D58" s="18">
        <f>C58*(1+E$9)</f>
        <v>18938.410949999998</v>
      </c>
      <c r="E58" s="18">
        <f>D58*(1+F$9)</f>
        <v>18370.258621499997</v>
      </c>
      <c r="F58" s="18">
        <f>E58*(1+G$9)</f>
        <v>17819.150862854996</v>
      </c>
    </row>
    <row r="59" spans="1:7" hidden="1">
      <c r="A59" t="s">
        <v>38</v>
      </c>
      <c r="B59" s="18">
        <f>B58*C$11</f>
        <v>3319.10295</v>
      </c>
      <c r="C59" s="18">
        <f>C58*D$11</f>
        <v>3319.10295</v>
      </c>
      <c r="D59" s="18">
        <f>D58*E$11</f>
        <v>3219.5298614999997</v>
      </c>
      <c r="E59" s="18">
        <f>E58*F$11</f>
        <v>3122.9439656549998</v>
      </c>
      <c r="F59" s="18">
        <f>F58*G$11</f>
        <v>3029.2556466853498</v>
      </c>
    </row>
    <row r="60" spans="1:7" hidden="1">
      <c r="B60" s="20">
        <f>B59/B58</f>
        <v>0.17</v>
      </c>
      <c r="C60" s="20">
        <f>C59/C58</f>
        <v>0.17</v>
      </c>
      <c r="D60" s="20">
        <f>D59/D58</f>
        <v>0.17</v>
      </c>
      <c r="E60" s="20">
        <f>E59/E58</f>
        <v>0.17</v>
      </c>
      <c r="F60" s="20">
        <f>F59/F58</f>
        <v>0.17</v>
      </c>
    </row>
    <row r="61" spans="1:7" hidden="1">
      <c r="A61" t="s">
        <v>39</v>
      </c>
      <c r="B61" s="38">
        <f t="shared" ref="B61:E61" si="2">B59-(C$12*B59)</f>
        <v>2788.0464780000002</v>
      </c>
      <c r="C61" s="38">
        <f t="shared" si="2"/>
        <v>2788.0464780000002</v>
      </c>
      <c r="D61" s="38">
        <f t="shared" si="2"/>
        <v>2704.4050836599999</v>
      </c>
      <c r="E61" s="38">
        <f t="shared" si="2"/>
        <v>2623.2729311501998</v>
      </c>
      <c r="F61" s="38">
        <f>F59-(G$12*F59)</f>
        <v>2544.5747432156941</v>
      </c>
    </row>
    <row r="62" spans="1:7" hidden="1">
      <c r="A62" t="s">
        <v>42</v>
      </c>
      <c r="B62" s="18">
        <f ca="1">B61*EXP(-$B$4*B$42/365.25)</f>
        <v>2637.3187933853801</v>
      </c>
      <c r="C62" s="18">
        <f ca="1">C61*EXP(-$B$4*C$42/365.25)</f>
        <v>2386.5080695293177</v>
      </c>
      <c r="D62" s="18">
        <f ca="1">D61*EXP(-$B$4*D$42/365.25)</f>
        <v>2094.7631195768804</v>
      </c>
      <c r="E62" s="18">
        <f ca="1">E61*EXP(-$B$4*E$42/365.25)</f>
        <v>1838.1799624999712</v>
      </c>
      <c r="F62" s="18">
        <f ca="1">F61*EXP(-$B$4*F$42/365.25)</f>
        <v>1613.466822825193</v>
      </c>
      <c r="G62" s="18">
        <f ca="1">SUM(B62:F62)</f>
        <v>10570.236767816743</v>
      </c>
    </row>
    <row r="63" spans="1:7" hidden="1">
      <c r="A63" t="s">
        <v>41</v>
      </c>
      <c r="F63" s="38">
        <f>((1+$D$18)/($B$4-$D$18)*(1-(((1+$D$18)/(1+$B$4))^$B$16)))</f>
        <v>2.8500847557605988</v>
      </c>
      <c r="G63" s="18">
        <f ca="1">F63*F62</f>
        <v>4598.5171956595696</v>
      </c>
    </row>
    <row r="64" spans="1:7" hidden="1">
      <c r="A64" t="s">
        <v>40</v>
      </c>
      <c r="B64" s="38"/>
      <c r="F64" s="18">
        <f>F61*EXP($C$18*$B$16)</f>
        <v>1543.3625976907197</v>
      </c>
    </row>
    <row r="65" spans="1:7" hidden="1">
      <c r="A65" t="s">
        <v>43</v>
      </c>
      <c r="F65" s="18">
        <f ca="1">F64*EXP(-$B$4*B$48/365.25)</f>
        <v>593.60190157498278</v>
      </c>
      <c r="G65" s="42">
        <f ca="1">F65*B$51</f>
        <v>12465.639933074639</v>
      </c>
    </row>
    <row r="66" spans="1:7" hidden="1">
      <c r="A66" t="s">
        <v>44</v>
      </c>
      <c r="G66" s="18">
        <f ca="1">SUM(G62:G63,G65)</f>
        <v>27634.393896550951</v>
      </c>
    </row>
    <row r="67" spans="1:7" hidden="1">
      <c r="A67" t="s">
        <v>25</v>
      </c>
      <c r="G67" s="43">
        <f ca="1">G66/$G$4</f>
        <v>16.774199278373327</v>
      </c>
    </row>
    <row r="68" spans="1:7" hidden="1">
      <c r="G68" s="38"/>
    </row>
    <row r="69" spans="1:7" hidden="1">
      <c r="A69" s="41" t="s">
        <v>45</v>
      </c>
    </row>
    <row r="70" spans="1:7" hidden="1">
      <c r="A70" t="s">
        <v>37</v>
      </c>
      <c r="B70" s="18">
        <f>$G$3*(1+C$9)</f>
        <v>19524.134999999998</v>
      </c>
      <c r="C70" s="18">
        <f>B70*(1+D$9)</f>
        <v>19524.134999999998</v>
      </c>
      <c r="D70" s="18">
        <f>C70*(1+E$9)</f>
        <v>18938.410949999998</v>
      </c>
      <c r="E70" s="18">
        <f>D70*(1+F$9)</f>
        <v>18370.258621499997</v>
      </c>
      <c r="F70" s="18">
        <f>E70*(1+G$9)</f>
        <v>17819.150862854996</v>
      </c>
    </row>
    <row r="71" spans="1:7" hidden="1">
      <c r="A71" t="s">
        <v>38</v>
      </c>
      <c r="B71" s="18">
        <f>B70*C$11</f>
        <v>3319.10295</v>
      </c>
      <c r="C71" s="18">
        <f>C70*D$11</f>
        <v>3319.10295</v>
      </c>
      <c r="D71" s="18">
        <f>D70*E$11</f>
        <v>3219.5298614999997</v>
      </c>
      <c r="E71" s="18">
        <f>E70*F$11</f>
        <v>3122.9439656549998</v>
      </c>
      <c r="F71" s="18">
        <f>F70*G$11</f>
        <v>3029.2556466853498</v>
      </c>
    </row>
    <row r="72" spans="1:7" hidden="1">
      <c r="A72" t="s">
        <v>39</v>
      </c>
      <c r="B72" s="38">
        <f t="shared" ref="B72:E72" si="3">B71-(C$12*B71)</f>
        <v>2788.0464780000002</v>
      </c>
      <c r="C72" s="38">
        <f t="shared" si="3"/>
        <v>2788.0464780000002</v>
      </c>
      <c r="D72" s="38">
        <f t="shared" si="3"/>
        <v>2704.4050836599999</v>
      </c>
      <c r="E72" s="38">
        <f t="shared" si="3"/>
        <v>2623.2729311501998</v>
      </c>
      <c r="F72" s="38">
        <f>F71-(G$12*F71)</f>
        <v>2544.5747432156941</v>
      </c>
    </row>
    <row r="73" spans="1:7" hidden="1">
      <c r="A73" t="s">
        <v>42</v>
      </c>
      <c r="B73" s="18">
        <f ca="1">B72*EXP(-$B$4*B$42/365.25)</f>
        <v>2637.3187933853801</v>
      </c>
      <c r="C73" s="18">
        <f ca="1">C72*EXP(-$B$4*C$42/365.25)</f>
        <v>2386.5080695293177</v>
      </c>
      <c r="D73" s="18">
        <f ca="1">D72*EXP(-$B$4*D$42/365.25)</f>
        <v>2094.7631195768804</v>
      </c>
      <c r="E73" s="18">
        <f ca="1">E72*EXP(-$B$4*E$42/365.25)</f>
        <v>1838.1799624999712</v>
      </c>
      <c r="F73" s="18">
        <f ca="1">F72*EXP(-$B$4*F$42/365.25)</f>
        <v>1613.466822825193</v>
      </c>
      <c r="G73" s="18">
        <f ca="1">SUM(B73:F73)</f>
        <v>10570.236767816743</v>
      </c>
    </row>
    <row r="74" spans="1:7" hidden="1">
      <c r="A74" t="s">
        <v>41</v>
      </c>
      <c r="F74" s="38">
        <f>((1+$D$17)/($B$4-$D$17)*(1-(((1+$D$17)/(1+$B$4))^$B$16)))</f>
        <v>4.9986365289112209</v>
      </c>
      <c r="G74" s="18">
        <f ca="1">F74*F73</f>
        <v>8065.1341987603391</v>
      </c>
    </row>
    <row r="75" spans="1:7" hidden="1">
      <c r="A75" t="s">
        <v>40</v>
      </c>
      <c r="B75" s="38"/>
      <c r="F75" s="18">
        <f>F72*EXP($C$17*$B$16)</f>
        <v>4195.294504026032</v>
      </c>
    </row>
    <row r="76" spans="1:7" hidden="1">
      <c r="A76" t="s">
        <v>43</v>
      </c>
      <c r="F76" s="18">
        <f ca="1">F75*EXP(-$B$4*B$48/365.25)</f>
        <v>1613.5772623900104</v>
      </c>
      <c r="G76" s="42">
        <f ca="1">F76*B$51</f>
        <v>33885.122510190216</v>
      </c>
    </row>
    <row r="77" spans="1:7" hidden="1">
      <c r="A77" t="s">
        <v>44</v>
      </c>
      <c r="G77" s="18">
        <f ca="1">SUM(G73:G74,G76)</f>
        <v>52520.493476767297</v>
      </c>
    </row>
    <row r="78" spans="1:7" hidden="1">
      <c r="A78" t="s">
        <v>25</v>
      </c>
      <c r="G78" s="43">
        <f ca="1">G77/$G$4</f>
        <v>31.880171755377535</v>
      </c>
    </row>
    <row r="79" spans="1:7" hidden="1"/>
    <row r="80" spans="1:7" hidden="1">
      <c r="A80" s="41" t="s">
        <v>46</v>
      </c>
    </row>
    <row r="81" spans="1:7" hidden="1">
      <c r="A81" t="s">
        <v>37</v>
      </c>
      <c r="B81" s="18">
        <f>$G$3*(1+C$9)</f>
        <v>19524.134999999998</v>
      </c>
      <c r="C81" s="18">
        <f>B81*(1+D$9)</f>
        <v>19524.134999999998</v>
      </c>
      <c r="D81" s="18">
        <f>C81*(1+E$9)</f>
        <v>18938.410949999998</v>
      </c>
      <c r="E81" s="18">
        <f>D81*(1+F$9)</f>
        <v>18370.258621499997</v>
      </c>
      <c r="F81" s="18">
        <f>E81*(1+G$9)</f>
        <v>17819.150862854996</v>
      </c>
    </row>
    <row r="82" spans="1:7" hidden="1">
      <c r="A82" t="s">
        <v>38</v>
      </c>
      <c r="B82" s="18">
        <f>B81*C$10</f>
        <v>4295.3096999999998</v>
      </c>
      <c r="C82" s="18">
        <f>C81*D$10</f>
        <v>4295.3096999999998</v>
      </c>
      <c r="D82" s="18">
        <f>D81*E$10</f>
        <v>4166.4504089999991</v>
      </c>
      <c r="E82" s="18">
        <f>E81*F$10</f>
        <v>4041.4568967299992</v>
      </c>
      <c r="F82" s="18">
        <f>F81*G$10</f>
        <v>3920.2131898280991</v>
      </c>
    </row>
    <row r="83" spans="1:7" hidden="1">
      <c r="A83" t="s">
        <v>39</v>
      </c>
      <c r="B83" s="38">
        <f>B82-(C$12*B82)</f>
        <v>3608.0601479999996</v>
      </c>
      <c r="C83" s="38">
        <f t="shared" ref="C83:F83" si="4">C82-(D$12*C82)</f>
        <v>3608.0601479999996</v>
      </c>
      <c r="D83" s="38">
        <f t="shared" si="4"/>
        <v>3499.8183435599994</v>
      </c>
      <c r="E83" s="38">
        <f t="shared" si="4"/>
        <v>3394.8237932531993</v>
      </c>
      <c r="F83" s="38">
        <f t="shared" si="4"/>
        <v>3292.9790794556034</v>
      </c>
    </row>
    <row r="84" spans="1:7" hidden="1">
      <c r="A84" t="s">
        <v>42</v>
      </c>
      <c r="B84" s="18">
        <f ca="1">B83*EXP(-$B$4*B$42/365.25)</f>
        <v>3413.000791439903</v>
      </c>
      <c r="C84" s="18">
        <f ca="1">C83*EXP(-$B$4*C$42/365.25)</f>
        <v>3088.4222076261754</v>
      </c>
      <c r="D84" s="18">
        <f ca="1">D83*EXP(-$B$4*D$42/365.25)</f>
        <v>2710.8699194524329</v>
      </c>
      <c r="E84" s="18">
        <f ca="1">E83*EXP(-$B$4*E$42/365.25)</f>
        <v>2378.8211279411389</v>
      </c>
      <c r="F84" s="18">
        <f ca="1">F83*EXP(-$B$4*F$42/365.25)</f>
        <v>2088.0158883620143</v>
      </c>
      <c r="G84" s="18">
        <f ca="1">SUM(B84:F84)</f>
        <v>13679.129934821663</v>
      </c>
    </row>
    <row r="85" spans="1:7" hidden="1">
      <c r="A85" t="s">
        <v>41</v>
      </c>
      <c r="F85" s="38">
        <f>((1+$D$18)/($B$4-$D$18)*(1-(((1+$D$18)/(1+$B$4))^$B$16)))</f>
        <v>2.8500847557605988</v>
      </c>
      <c r="G85" s="18">
        <f ca="1">F85*F84</f>
        <v>5951.0222532065009</v>
      </c>
    </row>
    <row r="86" spans="1:7" hidden="1">
      <c r="A86" t="s">
        <v>40</v>
      </c>
      <c r="B86" s="38"/>
      <c r="F86" s="18">
        <f>F83*EXP($C$18*$B$16)</f>
        <v>1997.2927734821073</v>
      </c>
    </row>
    <row r="87" spans="1:7" hidden="1">
      <c r="A87" t="s">
        <v>43</v>
      </c>
      <c r="F87" s="18">
        <f ca="1">F86*EXP(-$B$4*B$48/365.25)</f>
        <v>768.19069615585977</v>
      </c>
      <c r="G87" s="42">
        <f ca="1">F87*B$51</f>
        <v>16132.004619273055</v>
      </c>
    </row>
    <row r="88" spans="1:7" hidden="1">
      <c r="A88" t="s">
        <v>44</v>
      </c>
      <c r="G88" s="18">
        <f ca="1">SUM(G84:G85,G87)</f>
        <v>35762.156807301217</v>
      </c>
    </row>
    <row r="89" spans="1:7" hidden="1">
      <c r="A89" t="s">
        <v>25</v>
      </c>
      <c r="G89" s="43">
        <f ca="1">G88/$G$4</f>
        <v>21.707787301424297</v>
      </c>
    </row>
    <row r="90" spans="1:7" hidden="1"/>
    <row r="91" spans="1:7" hidden="1">
      <c r="A91" s="41" t="s">
        <v>47</v>
      </c>
    </row>
    <row r="92" spans="1:7" hidden="1">
      <c r="A92" t="s">
        <v>37</v>
      </c>
      <c r="B92" s="18">
        <f>$G$3*(1+C$9)</f>
        <v>19524.134999999998</v>
      </c>
      <c r="C92" s="18">
        <f>B92*(1+D$9)</f>
        <v>19524.134999999998</v>
      </c>
      <c r="D92" s="18">
        <f>C92*(1+E$9)</f>
        <v>18938.410949999998</v>
      </c>
      <c r="E92" s="18">
        <f>D92*(1+F$9)</f>
        <v>18370.258621499997</v>
      </c>
      <c r="F92" s="18">
        <f>E92*(1+G$9)</f>
        <v>17819.150862854996</v>
      </c>
    </row>
    <row r="93" spans="1:7" hidden="1">
      <c r="A93" t="s">
        <v>38</v>
      </c>
      <c r="B93" s="18">
        <f>B92*C$10</f>
        <v>4295.3096999999998</v>
      </c>
      <c r="C93" s="18">
        <f>C92*D$10</f>
        <v>4295.3096999999998</v>
      </c>
      <c r="D93" s="18">
        <f>D92*E$10</f>
        <v>4166.4504089999991</v>
      </c>
      <c r="E93" s="18">
        <f>E92*F$10</f>
        <v>4041.4568967299992</v>
      </c>
      <c r="F93" s="18">
        <f>F92*G$10</f>
        <v>3920.2131898280991</v>
      </c>
    </row>
    <row r="94" spans="1:7" hidden="1">
      <c r="A94" t="s">
        <v>39</v>
      </c>
      <c r="B94" s="38">
        <f>B93-(C$12*B93)</f>
        <v>3608.0601479999996</v>
      </c>
      <c r="C94" s="38">
        <f t="shared" ref="C94" si="5">C93-(D$12*C93)</f>
        <v>3608.0601479999996</v>
      </c>
      <c r="D94" s="38">
        <f t="shared" ref="D94" si="6">D93-(E$12*D93)</f>
        <v>3499.8183435599994</v>
      </c>
      <c r="E94" s="38">
        <f t="shared" ref="E94" si="7">E93-(F$12*E93)</f>
        <v>3394.8237932531993</v>
      </c>
      <c r="F94" s="38">
        <f t="shared" ref="F94" si="8">F93-(G$12*F93)</f>
        <v>3292.9790794556034</v>
      </c>
    </row>
    <row r="95" spans="1:7" hidden="1">
      <c r="A95" t="s">
        <v>42</v>
      </c>
      <c r="B95" s="18">
        <f ca="1">B94*EXP(-$B$4*B$42/365.25)</f>
        <v>3413.000791439903</v>
      </c>
      <c r="C95" s="18">
        <f ca="1">C94*EXP(-$B$4*C$42/365.25)</f>
        <v>3088.4222076261754</v>
      </c>
      <c r="D95" s="18">
        <f ca="1">D94*EXP(-$B$4*D$42/365.25)</f>
        <v>2710.8699194524329</v>
      </c>
      <c r="E95" s="18">
        <f ca="1">E94*EXP(-$B$4*E$42/365.25)</f>
        <v>2378.8211279411389</v>
      </c>
      <c r="F95" s="18">
        <f ca="1">F94*EXP(-$B$4*F$42/365.25)</f>
        <v>2088.0158883620143</v>
      </c>
      <c r="G95" s="18">
        <f ca="1">SUM(B95:F95)</f>
        <v>13679.129934821663</v>
      </c>
    </row>
    <row r="96" spans="1:7" hidden="1">
      <c r="A96" t="s">
        <v>41</v>
      </c>
      <c r="F96" s="38">
        <f>((1+$D$17)/($B$4-$D$17)*(1-(((1+$D$17)/(1+$B$4))^$B$16)))</f>
        <v>4.9986365289112209</v>
      </c>
      <c r="G96" s="18">
        <f ca="1">F96*F95</f>
        <v>10437.232492513378</v>
      </c>
    </row>
    <row r="97" spans="1:7" hidden="1">
      <c r="A97" t="s">
        <v>40</v>
      </c>
      <c r="B97" s="38"/>
      <c r="F97" s="18">
        <f>F94*EXP($C$17*$B$16)</f>
        <v>5429.2046522689807</v>
      </c>
    </row>
    <row r="98" spans="1:7" hidden="1">
      <c r="A98" t="s">
        <v>43</v>
      </c>
      <c r="F98" s="18">
        <f ca="1">F97*EXP(-$B$4*B$48/365.25)</f>
        <v>2088.1588101517777</v>
      </c>
      <c r="G98" s="42">
        <f ca="1">F98*B$51</f>
        <v>43851.33501318733</v>
      </c>
    </row>
    <row r="99" spans="1:7" hidden="1">
      <c r="A99" t="s">
        <v>44</v>
      </c>
      <c r="G99" s="18">
        <f ca="1">SUM(G95:G96,G98)</f>
        <v>67967.697440522374</v>
      </c>
    </row>
    <row r="100" spans="1:7" hidden="1">
      <c r="A100" t="s">
        <v>25</v>
      </c>
      <c r="G100" s="43">
        <f ca="1">G99/$G$4</f>
        <v>41.256692859900333</v>
      </c>
    </row>
    <row r="101" spans="1:7" hidden="1"/>
    <row r="102" spans="1:7" hidden="1">
      <c r="A102" s="41" t="s">
        <v>48</v>
      </c>
    </row>
    <row r="103" spans="1:7" hidden="1">
      <c r="A103" t="s">
        <v>37</v>
      </c>
      <c r="B103" s="18">
        <f>$G$3*(1+C$8)</f>
        <v>20398.350000000002</v>
      </c>
      <c r="C103" s="18">
        <f>B103*(1+D$8)</f>
        <v>21010.300500000001</v>
      </c>
      <c r="D103" s="18">
        <f>C103*(1+E$8)</f>
        <v>22270.918530000003</v>
      </c>
      <c r="E103" s="18">
        <f>D103*(1+F$8)</f>
        <v>23607.173641800004</v>
      </c>
      <c r="F103" s="18">
        <f>E103*(1+G$8)</f>
        <v>25023.604060308004</v>
      </c>
    </row>
    <row r="104" spans="1:7" hidden="1">
      <c r="A104" t="s">
        <v>38</v>
      </c>
      <c r="B104" s="18">
        <f>B103*C$11</f>
        <v>3467.7195000000006</v>
      </c>
      <c r="C104" s="18">
        <f>C103*D$11</f>
        <v>3571.7510850000003</v>
      </c>
      <c r="D104" s="18">
        <f>D103*E$11</f>
        <v>3786.0561501000007</v>
      </c>
      <c r="E104" s="18">
        <f>E103*F$11</f>
        <v>4013.2195191060009</v>
      </c>
      <c r="F104" s="18">
        <f>F103*G$11</f>
        <v>4254.0126902523607</v>
      </c>
    </row>
    <row r="105" spans="1:7" hidden="1">
      <c r="A105" t="s">
        <v>39</v>
      </c>
      <c r="B105" s="38">
        <f>B104-(C$12*B104)</f>
        <v>2912.8843800000004</v>
      </c>
      <c r="C105" s="38">
        <f t="shared" ref="C105" si="9">C104-(D$12*C104)</f>
        <v>3000.2709114000004</v>
      </c>
      <c r="D105" s="38">
        <f t="shared" ref="D105" si="10">D104-(E$12*D104)</f>
        <v>3180.2871660840005</v>
      </c>
      <c r="E105" s="38">
        <f t="shared" ref="E105" si="11">E104-(F$12*E104)</f>
        <v>3371.1043960490406</v>
      </c>
      <c r="F105" s="38">
        <f t="shared" ref="F105" si="12">F104-(G$12*F104)</f>
        <v>3573.3706598119829</v>
      </c>
    </row>
    <row r="106" spans="1:7" hidden="1">
      <c r="A106" t="s">
        <v>42</v>
      </c>
      <c r="B106" s="18">
        <f ca="1">B105*EXP(-$B$4*B$42/365.25)</f>
        <v>2755.4076945817405</v>
      </c>
      <c r="C106" s="18">
        <f ca="1">C105*EXP(-$B$4*C$42/365.25)</f>
        <v>2568.1676390009525</v>
      </c>
      <c r="D106" s="18">
        <f ca="1">D105*EXP(-$B$4*D$42/365.25)</f>
        <v>2463.3692287549266</v>
      </c>
      <c r="E106" s="18">
        <f ca="1">E105*EXP(-$B$4*E$42/365.25)</f>
        <v>2362.2004705381191</v>
      </c>
      <c r="F106" s="18">
        <f ca="1">F105*EXP(-$B$4*F$42/365.25)</f>
        <v>2265.8068978463029</v>
      </c>
      <c r="G106" s="18">
        <f ca="1">SUM(B106:F106)</f>
        <v>12414.951930722042</v>
      </c>
    </row>
    <row r="107" spans="1:7" hidden="1">
      <c r="A107" t="s">
        <v>41</v>
      </c>
      <c r="F107" s="38">
        <f>((1+$D$18)/($B$4-$D$18)*(1-(((1+$D$18)/(1+$B$4))^$B$16)))</f>
        <v>2.8500847557605988</v>
      </c>
      <c r="G107" s="18">
        <f ca="1">F107*F106</f>
        <v>6457.7416990489601</v>
      </c>
    </row>
    <row r="108" spans="1:7" hidden="1">
      <c r="A108" t="s">
        <v>40</v>
      </c>
      <c r="B108" s="38"/>
      <c r="F108" s="18">
        <f>F105*EXP($C$18*$B$16)</f>
        <v>2167.3588636935301</v>
      </c>
    </row>
    <row r="109" spans="1:7" hidden="1">
      <c r="A109" t="s">
        <v>43</v>
      </c>
      <c r="F109" s="18">
        <f ca="1">F108*EXP(-$B$4*B$48/365.25)</f>
        <v>833.60083029671137</v>
      </c>
      <c r="G109" s="42">
        <f ca="1">F109*B$51</f>
        <v>17505.617436230939</v>
      </c>
    </row>
    <row r="110" spans="1:7" hidden="1">
      <c r="A110" t="s">
        <v>44</v>
      </c>
      <c r="G110" s="18">
        <f ca="1">SUM(G106:G107,G109)</f>
        <v>36378.311066001945</v>
      </c>
    </row>
    <row r="111" spans="1:7" hidden="1">
      <c r="A111" t="s">
        <v>25</v>
      </c>
      <c r="G111" s="43">
        <f ca="1">G110/$G$4</f>
        <v>22.081795660730283</v>
      </c>
    </row>
    <row r="112" spans="1:7" hidden="1"/>
    <row r="113" spans="1:7" hidden="1">
      <c r="A113" s="41" t="s">
        <v>49</v>
      </c>
    </row>
    <row r="114" spans="1:7" hidden="1">
      <c r="A114" t="s">
        <v>37</v>
      </c>
      <c r="B114" s="18">
        <f>$G$3*(1+C$8)</f>
        <v>20398.350000000002</v>
      </c>
      <c r="C114" s="18">
        <f>B114*(1+D$8)</f>
        <v>21010.300500000001</v>
      </c>
      <c r="D114" s="18">
        <f>C114*(1+E$8)</f>
        <v>22270.918530000003</v>
      </c>
      <c r="E114" s="18">
        <f>D114*(1+F$8)</f>
        <v>23607.173641800004</v>
      </c>
      <c r="F114" s="18">
        <f>E114*(1+G$8)</f>
        <v>25023.604060308004</v>
      </c>
    </row>
    <row r="115" spans="1:7" hidden="1">
      <c r="A115" t="s">
        <v>38</v>
      </c>
      <c r="B115" s="18">
        <f>B114*C$11</f>
        <v>3467.7195000000006</v>
      </c>
      <c r="C115" s="18">
        <f>C114*D$11</f>
        <v>3571.7510850000003</v>
      </c>
      <c r="D115" s="18">
        <f>D114*E$11</f>
        <v>3786.0561501000007</v>
      </c>
      <c r="E115" s="18">
        <f>E114*F$11</f>
        <v>4013.2195191060009</v>
      </c>
      <c r="F115" s="18">
        <f>F114*G$11</f>
        <v>4254.0126902523607</v>
      </c>
    </row>
    <row r="116" spans="1:7" hidden="1">
      <c r="A116" t="s">
        <v>39</v>
      </c>
      <c r="B116" s="38">
        <f>B115-(C$12*B115)</f>
        <v>2912.8843800000004</v>
      </c>
      <c r="C116" s="38">
        <f t="shared" ref="C116" si="13">C115-(D$12*C115)</f>
        <v>3000.2709114000004</v>
      </c>
      <c r="D116" s="38">
        <f t="shared" ref="D116" si="14">D115-(E$12*D115)</f>
        <v>3180.2871660840005</v>
      </c>
      <c r="E116" s="38">
        <f t="shared" ref="E116" si="15">E115-(F$12*E115)</f>
        <v>3371.1043960490406</v>
      </c>
      <c r="F116" s="38">
        <f t="shared" ref="F116" si="16">F115-(G$12*F115)</f>
        <v>3573.3706598119829</v>
      </c>
    </row>
    <row r="117" spans="1:7" hidden="1">
      <c r="A117" t="s">
        <v>42</v>
      </c>
      <c r="B117" s="18">
        <f ca="1">B116*EXP(-$B$4*B$42/365.25)</f>
        <v>2755.4076945817405</v>
      </c>
      <c r="C117" s="18">
        <f ca="1">C116*EXP(-$B$4*C$42/365.25)</f>
        <v>2568.1676390009525</v>
      </c>
      <c r="D117" s="18">
        <f ca="1">D116*EXP(-$B$4*D$42/365.25)</f>
        <v>2463.3692287549266</v>
      </c>
      <c r="E117" s="18">
        <f ca="1">E116*EXP(-$B$4*E$42/365.25)</f>
        <v>2362.2004705381191</v>
      </c>
      <c r="F117" s="18">
        <f ca="1">F116*EXP(-$B$4*F$42/365.25)</f>
        <v>2265.8068978463029</v>
      </c>
      <c r="G117" s="18">
        <f ca="1">SUM(B117:F117)</f>
        <v>12414.951930722042</v>
      </c>
    </row>
    <row r="118" spans="1:7" hidden="1">
      <c r="A118" t="s">
        <v>41</v>
      </c>
      <c r="F118" s="38">
        <f>((1+$D$17)/($B$4-$D$17)*(1-(((1+$D$17)/(1+$B$4))^$B$16)))</f>
        <v>4.9986365289112209</v>
      </c>
      <c r="G118" s="18">
        <f ca="1">F118*F117</f>
        <v>11325.945127033545</v>
      </c>
    </row>
    <row r="119" spans="1:7" hidden="1">
      <c r="A119" t="s">
        <v>40</v>
      </c>
      <c r="B119" s="38"/>
      <c r="F119" s="18">
        <f>F116*EXP($C$17*$B$16)</f>
        <v>5891.4922149277681</v>
      </c>
    </row>
    <row r="120" spans="1:7" hidden="1">
      <c r="A120" t="s">
        <v>43</v>
      </c>
      <c r="F120" s="18">
        <f ca="1">F119*EXP(-$B$4*B$48/365.25)</f>
        <v>2265.9619891839229</v>
      </c>
      <c r="G120" s="42">
        <f ca="1">F120*B$51</f>
        <v>47585.201772862383</v>
      </c>
    </row>
    <row r="121" spans="1:7" hidden="1">
      <c r="A121" t="s">
        <v>44</v>
      </c>
      <c r="G121" s="18">
        <f ca="1">SUM(G117:G118,G120)</f>
        <v>71326.098830617964</v>
      </c>
    </row>
    <row r="122" spans="1:7" hidden="1">
      <c r="A122" t="s">
        <v>25</v>
      </c>
      <c r="G122" s="43">
        <f ca="1">G121/$G$4</f>
        <v>43.295257352579888</v>
      </c>
    </row>
    <row r="123" spans="1:7" hidden="1"/>
    <row r="124" spans="1:7" hidden="1">
      <c r="A124" s="41" t="s">
        <v>50</v>
      </c>
    </row>
    <row r="125" spans="1:7" hidden="1">
      <c r="A125" t="s">
        <v>37</v>
      </c>
      <c r="B125" s="18">
        <f>$G$3*(1+C$8)</f>
        <v>20398.350000000002</v>
      </c>
      <c r="C125" s="18">
        <f>B125*(1+D$8)</f>
        <v>21010.300500000001</v>
      </c>
      <c r="D125" s="18">
        <f>C125*(1+E$8)</f>
        <v>22270.918530000003</v>
      </c>
      <c r="E125" s="18">
        <f>D125*(1+F$8)</f>
        <v>23607.173641800004</v>
      </c>
      <c r="F125" s="18">
        <f>E125*(1+G$8)</f>
        <v>25023.604060308004</v>
      </c>
    </row>
    <row r="126" spans="1:7" hidden="1">
      <c r="A126" t="s">
        <v>38</v>
      </c>
      <c r="B126" s="18">
        <f>B125*C$10</f>
        <v>4487.6370000000006</v>
      </c>
      <c r="C126" s="18">
        <f>C125*D$10</f>
        <v>4622.2661100000005</v>
      </c>
      <c r="D126" s="18">
        <f>D125*E$10</f>
        <v>4899.6020766000011</v>
      </c>
      <c r="E126" s="18">
        <f>E125*F$10</f>
        <v>5193.5782011960009</v>
      </c>
      <c r="F126" s="18">
        <f>F125*G$10</f>
        <v>5505.1928932677611</v>
      </c>
    </row>
    <row r="127" spans="1:7" hidden="1">
      <c r="A127" t="s">
        <v>39</v>
      </c>
      <c r="B127" s="38">
        <f>B126-(C$12*B126)</f>
        <v>3769.6150800000005</v>
      </c>
      <c r="C127" s="38">
        <f t="shared" ref="C127" si="17">C126-(D$12*C126)</f>
        <v>3882.7035324000003</v>
      </c>
      <c r="D127" s="38">
        <f t="shared" ref="D127" si="18">D126-(E$12*D126)</f>
        <v>4115.6657443440008</v>
      </c>
      <c r="E127" s="38">
        <f t="shared" ref="E127" si="19">E126-(F$12*E126)</f>
        <v>4362.6056890046411</v>
      </c>
      <c r="F127" s="38">
        <f t="shared" ref="F127" si="20">F126-(G$12*F126)</f>
        <v>4624.3620303449188</v>
      </c>
    </row>
    <row r="128" spans="1:7" hidden="1">
      <c r="A128" t="s">
        <v>42</v>
      </c>
      <c r="B128" s="18">
        <f ca="1">B127*EXP(-$B$4*B$42/365.25)</f>
        <v>3565.8217223998995</v>
      </c>
      <c r="C128" s="18">
        <f ca="1">C127*EXP(-$B$4*C$42/365.25)</f>
        <v>3323.5110622365264</v>
      </c>
      <c r="D128" s="18">
        <f ca="1">D127*EXP(-$B$4*D$42/365.25)</f>
        <v>3187.8895901534347</v>
      </c>
      <c r="E128" s="18">
        <f ca="1">E127*EXP(-$B$4*E$42/365.25)</f>
        <v>3056.9653148140369</v>
      </c>
      <c r="F128" s="18">
        <f ca="1">F127*EXP(-$B$4*F$42/365.25)</f>
        <v>2932.2206913305095</v>
      </c>
      <c r="G128" s="18">
        <f ca="1">SUM(B128:F128)</f>
        <v>16066.408380934407</v>
      </c>
    </row>
    <row r="129" spans="1:11" hidden="1">
      <c r="A129" t="s">
        <v>41</v>
      </c>
      <c r="F129" s="38">
        <f>((1+$D$18)/($B$4-$D$18)*(1-(((1+$D$18)/(1+$B$4))^$B$16)))</f>
        <v>2.8500847557605988</v>
      </c>
      <c r="G129" s="18">
        <f ca="1">F129*F128</f>
        <v>8357.0774928868886</v>
      </c>
    </row>
    <row r="130" spans="1:11" hidden="1">
      <c r="A130" t="s">
        <v>40</v>
      </c>
      <c r="B130" s="38"/>
      <c r="F130" s="18">
        <f>F127*EXP($C$18*$B$16)</f>
        <v>2804.8173530151566</v>
      </c>
    </row>
    <row r="131" spans="1:11" hidden="1">
      <c r="A131" t="s">
        <v>43</v>
      </c>
      <c r="F131" s="18">
        <f ca="1">F130*EXP(-$B$4*B$48/365.25)</f>
        <v>1078.7775450898619</v>
      </c>
      <c r="G131" s="42">
        <f ca="1">F131*B$51</f>
        <v>22654.328446887099</v>
      </c>
    </row>
    <row r="132" spans="1:11" hidden="1">
      <c r="A132" t="s">
        <v>44</v>
      </c>
      <c r="G132" s="18">
        <f ca="1">SUM(G128:G129,G131)</f>
        <v>47077.814320708392</v>
      </c>
    </row>
    <row r="133" spans="1:11" hidden="1">
      <c r="A133" t="s">
        <v>25</v>
      </c>
      <c r="G133" s="43">
        <f ca="1">G132/$G$4</f>
        <v>28.576441443298009</v>
      </c>
    </row>
    <row r="134" spans="1:11" hidden="1"/>
    <row r="135" spans="1:11" hidden="1">
      <c r="A135" s="41" t="s">
        <v>49</v>
      </c>
    </row>
    <row r="136" spans="1:11" hidden="1">
      <c r="A136" t="s">
        <v>37</v>
      </c>
      <c r="B136" s="18">
        <f>$G$3*(1+C$8)</f>
        <v>20398.350000000002</v>
      </c>
      <c r="C136" s="18">
        <f>B136*(1+D$8)</f>
        <v>21010.300500000001</v>
      </c>
      <c r="D136" s="18">
        <f>C136*(1+E$8)</f>
        <v>22270.918530000003</v>
      </c>
      <c r="E136" s="18">
        <f>D136*(1+F$8)</f>
        <v>23607.173641800004</v>
      </c>
      <c r="F136" s="18">
        <f>E136*(1+G$8)</f>
        <v>25023.604060308004</v>
      </c>
    </row>
    <row r="137" spans="1:11" hidden="1">
      <c r="A137" t="s">
        <v>38</v>
      </c>
      <c r="B137" s="18">
        <f>B136*C$10</f>
        <v>4487.6370000000006</v>
      </c>
      <c r="C137" s="18">
        <f>C136*D$10</f>
        <v>4622.2661100000005</v>
      </c>
      <c r="D137" s="18">
        <f>D136*E$10</f>
        <v>4899.6020766000011</v>
      </c>
      <c r="E137" s="18">
        <f>E136*F$10</f>
        <v>5193.5782011960009</v>
      </c>
      <c r="F137" s="18">
        <f>F136*G$10</f>
        <v>5505.1928932677611</v>
      </c>
    </row>
    <row r="138" spans="1:11" hidden="1">
      <c r="A138" t="s">
        <v>39</v>
      </c>
      <c r="B138" s="38">
        <f>B137-(C$12*B137)</f>
        <v>3769.6150800000005</v>
      </c>
      <c r="C138" s="38">
        <f t="shared" ref="C138" si="21">C137-(D$12*C137)</f>
        <v>3882.7035324000003</v>
      </c>
      <c r="D138" s="38">
        <f t="shared" ref="D138" si="22">D137-(E$12*D137)</f>
        <v>4115.6657443440008</v>
      </c>
      <c r="E138" s="38">
        <f t="shared" ref="E138" si="23">E137-(F$12*E137)</f>
        <v>4362.6056890046411</v>
      </c>
      <c r="F138" s="38">
        <f t="shared" ref="F138" si="24">F137-(G$12*F137)</f>
        <v>4624.3620303449188</v>
      </c>
    </row>
    <row r="139" spans="1:11" hidden="1">
      <c r="A139" t="s">
        <v>42</v>
      </c>
      <c r="B139" s="18">
        <f ca="1">B138*EXP(-$B$4*B$42/365.25)</f>
        <v>3565.8217223998995</v>
      </c>
      <c r="C139" s="18">
        <f ca="1">C138*EXP(-$B$4*C$42/365.25)</f>
        <v>3323.5110622365264</v>
      </c>
      <c r="D139" s="18">
        <f ca="1">D138*EXP(-$B$4*D$42/365.25)</f>
        <v>3187.8895901534347</v>
      </c>
      <c r="E139" s="18">
        <f ca="1">E138*EXP(-$B$4*E$42/365.25)</f>
        <v>3056.9653148140369</v>
      </c>
      <c r="F139" s="18">
        <f ca="1">F138*EXP(-$B$4*F$42/365.25)</f>
        <v>2932.2206913305095</v>
      </c>
      <c r="G139" s="18">
        <f ca="1">SUM(B139:F139)</f>
        <v>16066.408380934407</v>
      </c>
      <c r="H139" s="18"/>
      <c r="I139" s="18"/>
      <c r="J139" s="18"/>
      <c r="K139" s="18"/>
    </row>
    <row r="140" spans="1:11" hidden="1">
      <c r="A140" t="s">
        <v>41</v>
      </c>
      <c r="F140" s="38">
        <f>((1+$D$17)/($B$4-$D$17)*(1-(((1+$D$17)/(1+$B$4))^$B$16)))</f>
        <v>4.9986365289112209</v>
      </c>
      <c r="G140" s="18">
        <f ca="1">F140*F139</f>
        <v>14657.105458513999</v>
      </c>
    </row>
    <row r="141" spans="1:11" hidden="1">
      <c r="A141" t="s">
        <v>40</v>
      </c>
      <c r="B141" s="38"/>
      <c r="F141" s="18">
        <f>F138*EXP($C$17*$B$16)</f>
        <v>7624.2840428476993</v>
      </c>
    </row>
    <row r="142" spans="1:11" hidden="1">
      <c r="A142" t="s">
        <v>43</v>
      </c>
      <c r="F142" s="18">
        <f ca="1">F141*EXP(-$B$4*B$48/365.25)</f>
        <v>2932.4213977674294</v>
      </c>
      <c r="G142" s="42">
        <f ca="1">F142*B$51</f>
        <v>61580.84935311602</v>
      </c>
    </row>
    <row r="143" spans="1:11" hidden="1">
      <c r="A143" t="s">
        <v>44</v>
      </c>
      <c r="G143" s="18">
        <f ca="1">SUM(G139:G140,G142)</f>
        <v>92304.363192564429</v>
      </c>
    </row>
    <row r="144" spans="1:11" hidden="1">
      <c r="A144" t="s">
        <v>25</v>
      </c>
      <c r="G144" s="43">
        <f ca="1">G143/$G$4</f>
        <v>56.029156573926919</v>
      </c>
    </row>
    <row r="145" spans="11:11">
      <c r="K145" s="105"/>
    </row>
  </sheetData>
  <mergeCells count="20">
    <mergeCell ref="A1:G1"/>
    <mergeCell ref="A10:A11"/>
    <mergeCell ref="A8:A9"/>
    <mergeCell ref="I6:J6"/>
    <mergeCell ref="I7:J7"/>
    <mergeCell ref="I8:J8"/>
    <mergeCell ref="I9:J9"/>
    <mergeCell ref="I1:J1"/>
    <mergeCell ref="I2:J2"/>
    <mergeCell ref="I3:J3"/>
    <mergeCell ref="I4:J4"/>
    <mergeCell ref="I5:J5"/>
    <mergeCell ref="A6:G6"/>
    <mergeCell ref="I11:L11"/>
    <mergeCell ref="I12:L12"/>
    <mergeCell ref="I20:L20"/>
    <mergeCell ref="A41:F41"/>
    <mergeCell ref="A17:A18"/>
    <mergeCell ref="E15:G15"/>
    <mergeCell ref="A15:C15"/>
  </mergeCells>
  <dataValidations count="4">
    <dataValidation type="list" allowBlank="1" showInputMessage="1" showErrorMessage="1" sqref="L13">
      <formula1>_options3</formula1>
    </dataValidation>
    <dataValidation type="list" allowBlank="1" showInputMessage="1" showErrorMessage="1" sqref="L14">
      <formula1>_options4</formula1>
    </dataValidation>
    <dataValidation type="list" allowBlank="1" showInputMessage="1" showErrorMessage="1" sqref="L15">
      <formula1>_options5</formula1>
    </dataValidation>
    <dataValidation type="list" allowBlank="1" showInputMessage="1" showErrorMessage="1" sqref="L2:L9">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
  <sheetViews>
    <sheetView workbookViewId="0"/>
  </sheetViews>
  <sheetFormatPr defaultRowHeight="15"/>
  <cols>
    <col min="1" max="5" width="6.28515625" bestFit="1" customWidth="1"/>
    <col min="6" max="7" width="11" bestFit="1" customWidth="1"/>
    <col min="8" max="8" width="6.140625" bestFit="1" customWidth="1"/>
    <col min="9" max="10" width="11" bestFit="1" customWidth="1"/>
    <col min="11" max="11" width="6.140625" bestFit="1" customWidth="1"/>
    <col min="12" max="13" width="11" bestFit="1" customWidth="1"/>
    <col min="14" max="14" width="6.140625" bestFit="1" customWidth="1"/>
    <col min="15" max="16" width="11" bestFit="1" customWidth="1"/>
    <col min="17" max="17" width="6.140625" bestFit="1" customWidth="1"/>
    <col min="18" max="19" width="11" bestFit="1" customWidth="1"/>
    <col min="20" max="20" width="6.140625" bestFit="1" customWidth="1"/>
    <col min="21" max="22" width="11" bestFit="1" customWidth="1"/>
    <col min="23" max="23" width="6.140625" bestFit="1" customWidth="1"/>
    <col min="24" max="25" width="11" bestFit="1" customWidth="1"/>
    <col min="26" max="26" width="6.140625" bestFit="1" customWidth="1"/>
    <col min="27" max="28" width="11" bestFit="1" customWidth="1"/>
    <col min="29" max="29" width="6.1406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showGridLines="0" zoomScale="120" zoomScaleNormal="120" workbookViewId="0">
      <selection activeCell="K3" sqref="K3"/>
    </sheetView>
  </sheetViews>
  <sheetFormatPr defaultRowHeight="15"/>
  <cols>
    <col min="1" max="1" width="38.7109375" bestFit="1" customWidth="1"/>
    <col min="2" max="7" width="11.7109375" customWidth="1"/>
    <col min="8" max="11" width="10.7109375" customWidth="1"/>
    <col min="12" max="12" width="11.5703125" bestFit="1" customWidth="1"/>
    <col min="13" max="13" width="12.5703125" bestFit="1" customWidth="1"/>
    <col min="14" max="14" width="15" bestFit="1" customWidth="1"/>
    <col min="15" max="15" width="13.140625" bestFit="1" customWidth="1"/>
    <col min="16" max="16" width="16" bestFit="1" customWidth="1"/>
  </cols>
  <sheetData>
    <row r="1" spans="1:11" s="9" customFormat="1" ht="15.75" thickBot="1">
      <c r="A1" s="59" t="s">
        <v>129</v>
      </c>
      <c r="B1" s="61">
        <v>-9</v>
      </c>
      <c r="C1" s="61">
        <v>-8</v>
      </c>
      <c r="D1" s="61">
        <v>-7</v>
      </c>
      <c r="E1" s="61">
        <v>-6</v>
      </c>
      <c r="F1" s="61">
        <v>-5</v>
      </c>
      <c r="G1" s="61">
        <v>-4</v>
      </c>
      <c r="H1" s="61">
        <v>-3</v>
      </c>
      <c r="I1" s="61">
        <v>-2</v>
      </c>
      <c r="J1" s="61">
        <v>-1</v>
      </c>
      <c r="K1" s="61">
        <v>0</v>
      </c>
    </row>
    <row r="2" spans="1:11">
      <c r="A2" s="7" t="s">
        <v>130</v>
      </c>
      <c r="B2" s="106">
        <f>DATE(YEAR('Valuation Model'!$B3)+B1,MONTH('Valuation Model'!$B3),DAY('Valuation Model'!$B3))</f>
        <v>39447</v>
      </c>
      <c r="C2" s="106">
        <f>DATE(YEAR('Valuation Model'!$B3)+C1,MONTH('Valuation Model'!$B3),DAY('Valuation Model'!$B3))</f>
        <v>39813</v>
      </c>
      <c r="D2" s="106">
        <f>DATE(YEAR('Valuation Model'!$B3)+D1,MONTH('Valuation Model'!$B3),DAY('Valuation Model'!$B3))</f>
        <v>40178</v>
      </c>
      <c r="E2" s="106">
        <f>DATE(YEAR('Valuation Model'!$B3)+E1,MONTH('Valuation Model'!$B3),DAY('Valuation Model'!$B3))</f>
        <v>40543</v>
      </c>
      <c r="F2" s="106">
        <f>DATE(YEAR('Valuation Model'!$B3)+F1,MONTH('Valuation Model'!$B3),DAY('Valuation Model'!$B3))</f>
        <v>40908</v>
      </c>
      <c r="G2" s="106">
        <f>DATE(YEAR('Valuation Model'!$B3)+G1,MONTH('Valuation Model'!$B3),DAY('Valuation Model'!$B3))</f>
        <v>41274</v>
      </c>
      <c r="H2" s="106">
        <f>DATE(YEAR('Valuation Model'!$B3)+H1,MONTH('Valuation Model'!$B3),DAY('Valuation Model'!$B3))</f>
        <v>41639</v>
      </c>
      <c r="I2" s="106">
        <f>DATE(YEAR('Valuation Model'!$B3)+I1,MONTH('Valuation Model'!$B3),DAY('Valuation Model'!$B3))</f>
        <v>42004</v>
      </c>
      <c r="J2" s="106">
        <f>DATE(YEAR('Valuation Model'!$B3)+J1,MONTH('Valuation Model'!$B3),DAY('Valuation Model'!$B3))</f>
        <v>42369</v>
      </c>
      <c r="K2" s="106">
        <f>DATE(YEAR('Valuation Model'!$B3)+K1,MONTH('Valuation Model'!$B3),DAY('Valuation Model'!$B3))</f>
        <v>42735</v>
      </c>
    </row>
    <row r="3" spans="1:11">
      <c r="A3" s="1" t="s">
        <v>37</v>
      </c>
      <c r="B3" s="107">
        <v>19348</v>
      </c>
      <c r="C3" s="107">
        <v>17715</v>
      </c>
      <c r="D3" s="107">
        <v>18808</v>
      </c>
      <c r="E3" s="107">
        <v>19484</v>
      </c>
      <c r="F3" s="107">
        <v>21244</v>
      </c>
      <c r="G3" s="107">
        <v>17621</v>
      </c>
      <c r="H3" s="107">
        <v>16385</v>
      </c>
      <c r="I3" s="107">
        <v>15879</v>
      </c>
      <c r="J3" s="107">
        <v>16560</v>
      </c>
      <c r="K3" s="107">
        <v>19427</v>
      </c>
    </row>
    <row r="4" spans="1:11">
      <c r="A4" s="108" t="s">
        <v>131</v>
      </c>
      <c r="B4" s="108"/>
      <c r="C4" s="109">
        <f t="shared" ref="C4:F4" si="0">IFERROR(C3/B3-1,"")</f>
        <v>-8.4401488525945867E-2</v>
      </c>
      <c r="D4" s="109">
        <f t="shared" si="0"/>
        <v>6.1699125035280744E-2</v>
      </c>
      <c r="E4" s="109">
        <f t="shared" si="0"/>
        <v>3.5942152275627359E-2</v>
      </c>
      <c r="F4" s="109">
        <f t="shared" si="0"/>
        <v>9.0330527612400013E-2</v>
      </c>
      <c r="G4" s="109">
        <f>IFERROR(G3/F3-1,"")</f>
        <v>-0.17054227075880246</v>
      </c>
      <c r="H4" s="109">
        <f t="shared" ref="H4:K4" si="1">IFERROR(H3/G3-1,"")</f>
        <v>-7.0143578684524144E-2</v>
      </c>
      <c r="I4" s="109">
        <f t="shared" si="1"/>
        <v>-3.0881904180653064E-2</v>
      </c>
      <c r="J4" s="109">
        <f t="shared" si="1"/>
        <v>4.2886831664462388E-2</v>
      </c>
      <c r="K4" s="109">
        <f t="shared" si="1"/>
        <v>0.1731280193236715</v>
      </c>
    </row>
    <row r="5" spans="1:11">
      <c r="A5" s="108" t="s">
        <v>132</v>
      </c>
      <c r="B5" s="108"/>
      <c r="C5" s="108"/>
      <c r="D5" s="108"/>
      <c r="E5" s="109">
        <f>IFERROR(SUM(C3:E3)/SUM(B3:D3)-1,"")</f>
        <v>2.4341787331532139E-3</v>
      </c>
      <c r="F5" s="109">
        <f t="shared" ref="F5:K5" si="2">IFERROR(SUM(D3:F3)/SUM(C3:E3)-1,"")</f>
        <v>6.3009980895245343E-2</v>
      </c>
      <c r="G5" s="109">
        <f t="shared" si="2"/>
        <v>-1.9937516796560084E-2</v>
      </c>
      <c r="H5" s="109">
        <f t="shared" si="2"/>
        <v>-5.3111450067696131E-2</v>
      </c>
      <c r="I5" s="109">
        <f t="shared" si="2"/>
        <v>-9.7104072398190078E-2</v>
      </c>
      <c r="J5" s="109">
        <f t="shared" si="2"/>
        <v>-2.1268918512578949E-2</v>
      </c>
      <c r="K5" s="109">
        <f t="shared" si="2"/>
        <v>6.2305423562182494E-2</v>
      </c>
    </row>
    <row r="6" spans="1:11">
      <c r="A6" s="108" t="s">
        <v>133</v>
      </c>
      <c r="B6" s="108"/>
      <c r="C6" s="108"/>
      <c r="D6" s="108"/>
      <c r="E6" s="108"/>
      <c r="F6" s="110"/>
      <c r="G6" s="109">
        <f>IFERROR(SUM(C3:G3)/SUM(B3:F3)-1,"")</f>
        <v>-1.7878031863683863E-2</v>
      </c>
      <c r="H6" s="109">
        <f t="shared" ref="H6:K6" si="3">IFERROR(SUM(D3:H3)/SUM(C3:G3)-1,"")</f>
        <v>-1.4018888607808422E-2</v>
      </c>
      <c r="I6" s="109">
        <f t="shared" si="3"/>
        <v>-3.1312137863205858E-2</v>
      </c>
      <c r="J6" s="109">
        <f t="shared" si="3"/>
        <v>-3.2269100460198819E-2</v>
      </c>
      <c r="K6" s="109">
        <f t="shared" si="3"/>
        <v>-2.0720957018554254E-2</v>
      </c>
    </row>
    <row r="8" spans="1:11" s="9" customFormat="1" ht="15.75" thickBot="1">
      <c r="A8" s="59" t="s">
        <v>134</v>
      </c>
      <c r="B8" s="111">
        <f t="shared" ref="B8:J8" si="4">B2</f>
        <v>39447</v>
      </c>
      <c r="C8" s="111">
        <f t="shared" si="4"/>
        <v>39813</v>
      </c>
      <c r="D8" s="111">
        <f t="shared" si="4"/>
        <v>40178</v>
      </c>
      <c r="E8" s="111">
        <f t="shared" si="4"/>
        <v>40543</v>
      </c>
      <c r="F8" s="111">
        <f t="shared" si="4"/>
        <v>40908</v>
      </c>
      <c r="G8" s="111">
        <f t="shared" si="4"/>
        <v>41274</v>
      </c>
      <c r="H8" s="111">
        <f t="shared" si="4"/>
        <v>41639</v>
      </c>
      <c r="I8" s="111">
        <f t="shared" si="4"/>
        <v>42004</v>
      </c>
      <c r="J8" s="111">
        <f t="shared" si="4"/>
        <v>42369</v>
      </c>
      <c r="K8" s="111">
        <f>K2</f>
        <v>42735</v>
      </c>
    </row>
    <row r="9" spans="1:11">
      <c r="A9" s="112" t="s">
        <v>135</v>
      </c>
      <c r="B9" s="113">
        <v>3153</v>
      </c>
      <c r="C9" s="113">
        <v>3707</v>
      </c>
      <c r="D9" s="113">
        <v>4065</v>
      </c>
      <c r="E9" s="113">
        <v>4491</v>
      </c>
      <c r="F9" s="113">
        <v>4840</v>
      </c>
      <c r="G9" s="113">
        <v>6941</v>
      </c>
      <c r="H9" s="113">
        <v>3545</v>
      </c>
      <c r="I9" s="113">
        <v>3148</v>
      </c>
      <c r="J9" s="113">
        <v>1832</v>
      </c>
      <c r="K9" s="113">
        <v>2850</v>
      </c>
    </row>
    <row r="10" spans="1:11">
      <c r="A10" s="114" t="s">
        <v>136</v>
      </c>
      <c r="B10" s="113">
        <v>-928.40520000000015</v>
      </c>
      <c r="C10" s="113">
        <v>-816.74580000000014</v>
      </c>
      <c r="D10" s="113">
        <v>-726.23959999999988</v>
      </c>
      <c r="E10" s="113">
        <v>-616.07889999999998</v>
      </c>
      <c r="F10" s="113">
        <v>-646.60390000000007</v>
      </c>
      <c r="G10" s="113">
        <v>-692.85620000000017</v>
      </c>
      <c r="H10" s="113">
        <v>-774.45800000000008</v>
      </c>
      <c r="I10" s="113">
        <v>-470.53290000000015</v>
      </c>
      <c r="J10" s="113">
        <v>-378.74289999999996</v>
      </c>
      <c r="K10" s="113">
        <v>-389.92500000000018</v>
      </c>
    </row>
    <row r="11" spans="1:11">
      <c r="A11" s="115" t="s">
        <v>137</v>
      </c>
      <c r="B11" s="5">
        <f t="shared" ref="B11:K11" si="5">B9+B10</f>
        <v>2224.5947999999999</v>
      </c>
      <c r="C11" s="5">
        <f t="shared" si="5"/>
        <v>2890.2541999999999</v>
      </c>
      <c r="D11" s="5">
        <f t="shared" si="5"/>
        <v>3338.7604000000001</v>
      </c>
      <c r="E11" s="5">
        <f t="shared" si="5"/>
        <v>3874.9211</v>
      </c>
      <c r="F11" s="5">
        <f t="shared" si="5"/>
        <v>4193.3960999999999</v>
      </c>
      <c r="G11" s="5">
        <f t="shared" si="5"/>
        <v>6248.1437999999998</v>
      </c>
      <c r="H11" s="5">
        <f t="shared" si="5"/>
        <v>2770.5419999999999</v>
      </c>
      <c r="I11" s="5">
        <f t="shared" si="5"/>
        <v>2677.4670999999998</v>
      </c>
      <c r="J11" s="5">
        <f t="shared" si="5"/>
        <v>1453.2571</v>
      </c>
      <c r="K11" s="5">
        <f t="shared" si="5"/>
        <v>2460.0749999999998</v>
      </c>
    </row>
    <row r="12" spans="1:11">
      <c r="A12" s="108" t="s">
        <v>127</v>
      </c>
      <c r="B12" s="109">
        <f t="shared" ref="B12:K12" si="6">IFERROR(B11/B$3,"")</f>
        <v>0.11497802356832747</v>
      </c>
      <c r="C12" s="109">
        <f t="shared" si="6"/>
        <v>0.16315293254304261</v>
      </c>
      <c r="D12" s="109">
        <f t="shared" si="6"/>
        <v>0.17751809868141216</v>
      </c>
      <c r="E12" s="109">
        <f t="shared" si="6"/>
        <v>0.19887708376103469</v>
      </c>
      <c r="F12" s="109">
        <f t="shared" si="6"/>
        <v>0.19739202127659575</v>
      </c>
      <c r="G12" s="109">
        <f t="shared" si="6"/>
        <v>0.35458508597695931</v>
      </c>
      <c r="H12" s="109">
        <f t="shared" si="6"/>
        <v>0.16909014342386328</v>
      </c>
      <c r="I12" s="109">
        <f t="shared" si="6"/>
        <v>0.16861685874425342</v>
      </c>
      <c r="J12" s="109">
        <f t="shared" si="6"/>
        <v>8.7757071256038655E-2</v>
      </c>
      <c r="K12" s="109">
        <f t="shared" si="6"/>
        <v>0.12663174962680804</v>
      </c>
    </row>
    <row r="13" spans="1:11">
      <c r="A13" s="108" t="s">
        <v>138</v>
      </c>
      <c r="B13" s="108"/>
      <c r="C13" s="109">
        <f t="shared" ref="C13:F13" si="7">IFERROR(C11/B11-1,"")</f>
        <v>0.29922725702676289</v>
      </c>
      <c r="D13" s="109">
        <f t="shared" si="7"/>
        <v>0.15517880745575963</v>
      </c>
      <c r="E13" s="109">
        <f t="shared" si="7"/>
        <v>0.16058675549164891</v>
      </c>
      <c r="F13" s="109">
        <f t="shared" si="7"/>
        <v>8.2188770243605713E-2</v>
      </c>
      <c r="G13" s="109">
        <f>IFERROR(G11/F11-1,"")</f>
        <v>0.48999609171191816</v>
      </c>
      <c r="H13" s="109">
        <f t="shared" ref="H13:K13" si="8">IFERROR(H11/G11-1,"")</f>
        <v>-0.55658158827906612</v>
      </c>
      <c r="I13" s="109">
        <f t="shared" si="8"/>
        <v>-3.3594473572319039E-2</v>
      </c>
      <c r="J13" s="109">
        <f t="shared" si="8"/>
        <v>-0.45722690672837774</v>
      </c>
      <c r="K13" s="109">
        <f t="shared" si="8"/>
        <v>0.69280095036177691</v>
      </c>
    </row>
    <row r="14" spans="1:11">
      <c r="A14" s="108" t="s">
        <v>139</v>
      </c>
      <c r="B14" s="108"/>
      <c r="C14" s="108"/>
      <c r="D14" s="108"/>
      <c r="E14" s="109">
        <f>IFERROR(SUM(C11:E11)/SUM(B11:D11)-1,"")</f>
        <v>0.19522149911492237</v>
      </c>
      <c r="F14" s="109">
        <f t="shared" ref="F14:K14" si="9">IFERROR(SUM(D11:F11)/SUM(C11:E11)-1,"")</f>
        <v>0.12897369289474003</v>
      </c>
      <c r="G14" s="109">
        <f t="shared" si="9"/>
        <v>0.25505072394703432</v>
      </c>
      <c r="H14" s="109">
        <f t="shared" si="9"/>
        <v>-7.7140509794983547E-2</v>
      </c>
      <c r="I14" s="109">
        <f t="shared" si="9"/>
        <v>-0.1147380868112845</v>
      </c>
      <c r="J14" s="109">
        <f t="shared" si="9"/>
        <v>-0.40995417390619104</v>
      </c>
      <c r="K14" s="109">
        <f t="shared" si="9"/>
        <v>-4.4986961957792615E-2</v>
      </c>
    </row>
    <row r="15" spans="1:11">
      <c r="A15" s="108" t="s">
        <v>133</v>
      </c>
      <c r="B15" s="108"/>
      <c r="C15" s="108"/>
      <c r="D15" s="108"/>
      <c r="E15" s="108"/>
      <c r="F15" s="109"/>
      <c r="G15" s="109">
        <f>IFERROR(SUM(C11:G11)/SUM(B11:F11)-1,"")</f>
        <v>0.24352783409653922</v>
      </c>
      <c r="H15" s="109">
        <f t="shared" ref="H15:K15" si="10">IFERROR(SUM(D11:H11)/SUM(C11:G11)-1,"")</f>
        <v>-5.8266940289274372E-3</v>
      </c>
      <c r="I15" s="109">
        <f t="shared" si="10"/>
        <v>-3.2375450897468294E-2</v>
      </c>
      <c r="J15" s="109">
        <f t="shared" si="10"/>
        <v>-0.12252612833773879</v>
      </c>
      <c r="K15" s="109">
        <f t="shared" si="10"/>
        <v>-9.9944673889884372E-2</v>
      </c>
    </row>
    <row r="16" spans="1:11" s="9" customFormat="1">
      <c r="A16"/>
      <c r="B16"/>
      <c r="C16"/>
      <c r="D16"/>
      <c r="E16"/>
      <c r="F16"/>
      <c r="G16"/>
      <c r="H16"/>
      <c r="I16"/>
      <c r="J16"/>
      <c r="K16"/>
    </row>
    <row r="17" spans="1:16" s="9" customFormat="1" ht="15.75" thickBot="1">
      <c r="A17" s="59" t="s">
        <v>140</v>
      </c>
      <c r="B17" s="111">
        <f t="shared" ref="B17:J17" si="11">B2</f>
        <v>39447</v>
      </c>
      <c r="C17" s="111">
        <f t="shared" si="11"/>
        <v>39813</v>
      </c>
      <c r="D17" s="111">
        <f t="shared" si="11"/>
        <v>40178</v>
      </c>
      <c r="E17" s="111">
        <f t="shared" si="11"/>
        <v>40543</v>
      </c>
      <c r="F17" s="111">
        <f t="shared" si="11"/>
        <v>40908</v>
      </c>
      <c r="G17" s="111">
        <f t="shared" si="11"/>
        <v>41274</v>
      </c>
      <c r="H17" s="111">
        <f t="shared" si="11"/>
        <v>41639</v>
      </c>
      <c r="I17" s="111">
        <f t="shared" si="11"/>
        <v>42004</v>
      </c>
      <c r="J17" s="111">
        <f t="shared" si="11"/>
        <v>42369</v>
      </c>
      <c r="K17" s="111">
        <f>K2</f>
        <v>42735</v>
      </c>
    </row>
    <row r="18" spans="1:16">
      <c r="A18" s="112" t="s">
        <v>141</v>
      </c>
      <c r="B18" s="113">
        <v>-843</v>
      </c>
      <c r="C18" s="113">
        <v>-941</v>
      </c>
      <c r="D18" s="113">
        <v>-730</v>
      </c>
      <c r="E18" s="113">
        <v>-424</v>
      </c>
      <c r="F18" s="113">
        <v>-367</v>
      </c>
      <c r="G18" s="113">
        <v>-548</v>
      </c>
      <c r="H18" s="113">
        <v>-537</v>
      </c>
      <c r="I18" s="113">
        <v>-526</v>
      </c>
      <c r="J18" s="113">
        <v>-820</v>
      </c>
      <c r="K18" s="113">
        <v>-1215</v>
      </c>
    </row>
    <row r="19" spans="1:16" s="117" customFormat="1">
      <c r="A19" s="114" t="s">
        <v>178</v>
      </c>
      <c r="B19" s="116">
        <f t="shared" ref="B19:K19" si="12">B18-B10</f>
        <v>85.40520000000015</v>
      </c>
      <c r="C19" s="116">
        <f t="shared" si="12"/>
        <v>-124.25419999999986</v>
      </c>
      <c r="D19" s="116">
        <f t="shared" si="12"/>
        <v>-3.7604000000001179</v>
      </c>
      <c r="E19" s="116">
        <f t="shared" si="12"/>
        <v>192.07889999999998</v>
      </c>
      <c r="F19" s="116">
        <f t="shared" si="12"/>
        <v>279.60390000000007</v>
      </c>
      <c r="G19" s="116">
        <f t="shared" si="12"/>
        <v>144.85620000000017</v>
      </c>
      <c r="H19" s="116">
        <f t="shared" si="12"/>
        <v>237.45800000000008</v>
      </c>
      <c r="I19" s="116">
        <f t="shared" si="12"/>
        <v>-55.467099999999846</v>
      </c>
      <c r="J19" s="116">
        <f t="shared" si="12"/>
        <v>-441.25710000000004</v>
      </c>
      <c r="K19" s="116">
        <f t="shared" si="12"/>
        <v>-825.07499999999982</v>
      </c>
    </row>
    <row r="20" spans="1:16" s="117" customFormat="1">
      <c r="A20" s="114" t="s">
        <v>142</v>
      </c>
      <c r="B20" s="113">
        <f>44+273</f>
        <v>317</v>
      </c>
      <c r="C20" s="113">
        <f>309+4530</f>
        <v>4839</v>
      </c>
      <c r="D20" s="113">
        <f>557-531</f>
        <v>26</v>
      </c>
      <c r="E20" s="113">
        <v>67</v>
      </c>
      <c r="F20" s="113">
        <v>149</v>
      </c>
      <c r="G20" s="113">
        <v>68</v>
      </c>
      <c r="H20" s="113">
        <v>9</v>
      </c>
      <c r="I20" s="113">
        <v>3585</v>
      </c>
      <c r="J20" s="113">
        <v>708</v>
      </c>
      <c r="K20" s="113">
        <v>1334</v>
      </c>
    </row>
    <row r="21" spans="1:16" s="117" customFormat="1">
      <c r="A21" s="114" t="s">
        <v>143</v>
      </c>
      <c r="B21" s="113">
        <v>-432</v>
      </c>
      <c r="C21" s="113">
        <v>-191</v>
      </c>
      <c r="D21" s="113">
        <v>-2232</v>
      </c>
      <c r="E21" s="113">
        <v>-829</v>
      </c>
      <c r="F21" s="113">
        <v>-360</v>
      </c>
      <c r="G21" s="113">
        <v>-7530</v>
      </c>
      <c r="H21" s="113">
        <v>0</v>
      </c>
      <c r="I21" s="113">
        <v>-219</v>
      </c>
      <c r="J21" s="113">
        <v>-1111</v>
      </c>
      <c r="K21" s="113">
        <v>-359</v>
      </c>
    </row>
    <row r="22" spans="1:16">
      <c r="A22" s="112" t="s">
        <v>144</v>
      </c>
      <c r="B22" s="113">
        <v>0</v>
      </c>
      <c r="C22" s="113">
        <v>0</v>
      </c>
      <c r="D22" s="113">
        <v>0</v>
      </c>
      <c r="E22" s="113">
        <v>0</v>
      </c>
      <c r="F22" s="113">
        <v>0</v>
      </c>
      <c r="G22" s="113">
        <v>0</v>
      </c>
      <c r="H22" s="113">
        <v>0</v>
      </c>
      <c r="I22" s="113">
        <v>0</v>
      </c>
      <c r="J22" s="113">
        <v>0</v>
      </c>
      <c r="K22" s="113">
        <v>0</v>
      </c>
    </row>
    <row r="23" spans="1:16">
      <c r="A23" s="112" t="s">
        <v>189</v>
      </c>
      <c r="B23" s="113">
        <v>0</v>
      </c>
      <c r="C23" s="113">
        <v>0</v>
      </c>
      <c r="D23" s="113">
        <v>0</v>
      </c>
      <c r="E23" s="113">
        <v>0</v>
      </c>
      <c r="F23" s="113">
        <v>0</v>
      </c>
      <c r="G23" s="113">
        <v>0</v>
      </c>
      <c r="H23" s="113">
        <v>0</v>
      </c>
      <c r="I23" s="113">
        <v>0</v>
      </c>
      <c r="J23" s="113">
        <v>0</v>
      </c>
      <c r="K23" s="113">
        <v>0</v>
      </c>
    </row>
    <row r="24" spans="1:16">
      <c r="A24" s="118" t="s">
        <v>145</v>
      </c>
      <c r="B24" s="119">
        <v>28.8077290837</v>
      </c>
      <c r="C24" s="119">
        <v>21.648656126500001</v>
      </c>
      <c r="D24" s="119">
        <v>21.720436507900001</v>
      </c>
      <c r="E24" s="119">
        <v>25.6374206349</v>
      </c>
      <c r="F24" s="119">
        <v>28.930158730199999</v>
      </c>
      <c r="G24" s="119">
        <v>33.296439999999997</v>
      </c>
      <c r="H24" s="119">
        <v>43.847619047599999</v>
      </c>
      <c r="I24" s="119">
        <v>52.208928571400001</v>
      </c>
      <c r="J24" s="119">
        <v>64.523690476200002</v>
      </c>
      <c r="K24" s="119">
        <v>63.1920238095</v>
      </c>
    </row>
    <row r="25" spans="1:16">
      <c r="A25" s="120" t="s">
        <v>146</v>
      </c>
      <c r="B25" s="121">
        <f>13+1.36</f>
        <v>14.36</v>
      </c>
      <c r="C25" s="121">
        <f>3.31</f>
        <v>3.31</v>
      </c>
      <c r="D25" s="121">
        <f>2+3.078</f>
        <v>5.0779999999999994</v>
      </c>
      <c r="E25" s="121">
        <f>11+3.694+0</f>
        <v>14.693999999999999</v>
      </c>
      <c r="F25" s="121">
        <f>23.703+3.4+0.325+2.831</f>
        <v>30.258999999999997</v>
      </c>
      <c r="G25" s="121">
        <f>16.56+3.341+0.562+1.087</f>
        <v>21.55</v>
      </c>
      <c r="H25" s="121">
        <f>18.029+3.05+0.809+2.072</f>
        <v>23.96</v>
      </c>
      <c r="I25" s="121">
        <f>6.635+2.474+1.674+2.743</f>
        <v>13.526</v>
      </c>
      <c r="J25" s="121">
        <f>5.084+2.132+1.323+1.771</f>
        <v>10.309999999999999</v>
      </c>
      <c r="K25" s="121">
        <f>3.851+1.81+1.117+1.73</f>
        <v>8.5079999999999991</v>
      </c>
      <c r="M25" s="17"/>
      <c r="N25" s="18"/>
      <c r="O25" s="18"/>
      <c r="P25" s="18"/>
    </row>
    <row r="26" spans="1:16">
      <c r="A26" s="122" t="s">
        <v>147</v>
      </c>
      <c r="B26" s="123">
        <v>333</v>
      </c>
      <c r="C26" s="123">
        <v>5</v>
      </c>
      <c r="D26" s="123">
        <v>45</v>
      </c>
      <c r="E26" s="123">
        <v>252</v>
      </c>
      <c r="F26" s="123">
        <v>601</v>
      </c>
      <c r="G26" s="123">
        <v>463</v>
      </c>
      <c r="H26" s="123">
        <v>564</v>
      </c>
      <c r="I26" s="123">
        <v>288</v>
      </c>
      <c r="J26" s="123">
        <v>266</v>
      </c>
      <c r="K26" s="123">
        <v>181</v>
      </c>
    </row>
    <row r="27" spans="1:16">
      <c r="A27" s="112" t="s">
        <v>148</v>
      </c>
      <c r="B27" s="124">
        <f t="shared" ref="B27:E27" si="13">-B24*B25+B26</f>
        <v>-80.678989641931992</v>
      </c>
      <c r="C27" s="124">
        <f t="shared" si="13"/>
        <v>-66.657051778715001</v>
      </c>
      <c r="D27" s="124">
        <f t="shared" si="13"/>
        <v>-65.296376587116185</v>
      </c>
      <c r="E27" s="124">
        <f t="shared" si="13"/>
        <v>-124.71625880922056</v>
      </c>
      <c r="F27" s="124">
        <f>-F24*F25+F26</f>
        <v>-274.39767301712163</v>
      </c>
      <c r="G27" s="124">
        <f t="shared" ref="G27:K27" si="14">-G24*G25+G26</f>
        <v>-254.53828199999998</v>
      </c>
      <c r="H27" s="124">
        <f t="shared" si="14"/>
        <v>-486.58895238049604</v>
      </c>
      <c r="I27" s="124">
        <f t="shared" si="14"/>
        <v>-418.17796785675637</v>
      </c>
      <c r="J27" s="124">
        <f t="shared" si="14"/>
        <v>-399.23924880962193</v>
      </c>
      <c r="K27" s="124">
        <f t="shared" si="14"/>
        <v>-356.6377385712259</v>
      </c>
    </row>
    <row r="28" spans="1:16">
      <c r="A28" s="1" t="s">
        <v>149</v>
      </c>
      <c r="B28" s="5">
        <f>B19+B20+B21+B22+B23+B27</f>
        <v>-110.27378964193184</v>
      </c>
      <c r="C28" s="5">
        <f t="shared" ref="C28:K28" si="15">C19+C20+C21+C22+C23+C27</f>
        <v>4457.0887482212856</v>
      </c>
      <c r="D28" s="5">
        <f t="shared" si="15"/>
        <v>-2275.0567765871165</v>
      </c>
      <c r="E28" s="5">
        <f t="shared" si="15"/>
        <v>-694.63735880922059</v>
      </c>
      <c r="F28" s="5">
        <f t="shared" si="15"/>
        <v>-205.79377301712157</v>
      </c>
      <c r="G28" s="5">
        <f t="shared" si="15"/>
        <v>-7571.6820819999994</v>
      </c>
      <c r="H28" s="5">
        <f t="shared" si="15"/>
        <v>-240.13095238049596</v>
      </c>
      <c r="I28" s="5">
        <f t="shared" si="15"/>
        <v>2892.3549321432438</v>
      </c>
      <c r="J28" s="5">
        <f t="shared" si="15"/>
        <v>-1243.4963488096218</v>
      </c>
      <c r="K28" s="5">
        <f t="shared" si="15"/>
        <v>-206.71273857122571</v>
      </c>
    </row>
    <row r="29" spans="1:16">
      <c r="A29" s="108" t="s">
        <v>150</v>
      </c>
      <c r="B29" s="109">
        <f t="shared" ref="B29:E29" si="16">IFERROR(-B28/B11,"")</f>
        <v>4.9570281132515388E-2</v>
      </c>
      <c r="C29" s="109">
        <f t="shared" si="16"/>
        <v>-1.5421095999864947</v>
      </c>
      <c r="D29" s="109">
        <f t="shared" si="16"/>
        <v>0.68140761960250773</v>
      </c>
      <c r="E29" s="109">
        <f t="shared" si="16"/>
        <v>0.17926490395100447</v>
      </c>
      <c r="F29" s="109">
        <f>IFERROR(-F28/F11,"")</f>
        <v>4.9075681883979809E-2</v>
      </c>
      <c r="G29" s="109">
        <f t="shared" ref="G29:K29" si="17">IFERROR(-G28/G11,"")</f>
        <v>1.2118290366492526</v>
      </c>
      <c r="H29" s="109">
        <f t="shared" si="17"/>
        <v>8.6672915400847914E-2</v>
      </c>
      <c r="I29" s="109">
        <f t="shared" si="17"/>
        <v>-1.0802578795994333</v>
      </c>
      <c r="J29" s="109">
        <f t="shared" si="17"/>
        <v>0.85566163675348417</v>
      </c>
      <c r="K29" s="109">
        <f t="shared" si="17"/>
        <v>8.4027006725902964E-2</v>
      </c>
    </row>
    <row r="31" spans="1:16" s="9" customFormat="1" ht="15.75" thickBot="1">
      <c r="A31" s="59" t="s">
        <v>151</v>
      </c>
      <c r="B31" s="111">
        <f t="shared" ref="B31:J31" si="18">B2</f>
        <v>39447</v>
      </c>
      <c r="C31" s="111">
        <f t="shared" si="18"/>
        <v>39813</v>
      </c>
      <c r="D31" s="111">
        <f t="shared" si="18"/>
        <v>40178</v>
      </c>
      <c r="E31" s="111">
        <f t="shared" si="18"/>
        <v>40543</v>
      </c>
      <c r="F31" s="111">
        <f t="shared" si="18"/>
        <v>40908</v>
      </c>
      <c r="G31" s="111">
        <f t="shared" si="18"/>
        <v>41274</v>
      </c>
      <c r="H31" s="111">
        <f t="shared" si="18"/>
        <v>41639</v>
      </c>
      <c r="I31" s="111">
        <f t="shared" si="18"/>
        <v>42004</v>
      </c>
      <c r="J31" s="111">
        <f t="shared" si="18"/>
        <v>42369</v>
      </c>
      <c r="K31" s="111">
        <f>K2</f>
        <v>42735</v>
      </c>
    </row>
    <row r="32" spans="1:16" ht="15.75" thickBot="1">
      <c r="A32" s="125" t="s">
        <v>152</v>
      </c>
      <c r="B32" s="4">
        <f t="shared" ref="B32:K32" si="19">B11+B28</f>
        <v>2114.3210103580682</v>
      </c>
      <c r="C32" s="4">
        <f t="shared" si="19"/>
        <v>7347.342948221285</v>
      </c>
      <c r="D32" s="4">
        <f t="shared" si="19"/>
        <v>1063.7036234128836</v>
      </c>
      <c r="E32" s="4">
        <f t="shared" si="19"/>
        <v>3180.2837411907794</v>
      </c>
      <c r="F32" s="4">
        <f t="shared" si="19"/>
        <v>3987.6023269828784</v>
      </c>
      <c r="G32" s="4">
        <f t="shared" si="19"/>
        <v>-1323.5382819999995</v>
      </c>
      <c r="H32" s="4">
        <f t="shared" si="19"/>
        <v>2530.4110476195037</v>
      </c>
      <c r="I32" s="4">
        <f t="shared" si="19"/>
        <v>5569.8220321432436</v>
      </c>
      <c r="J32" s="4">
        <f t="shared" si="19"/>
        <v>209.76075119037819</v>
      </c>
      <c r="K32" s="4">
        <f t="shared" si="19"/>
        <v>2253.3622614287742</v>
      </c>
    </row>
    <row r="33" spans="1:11" ht="15.75" thickTop="1">
      <c r="A33" s="108" t="s">
        <v>128</v>
      </c>
      <c r="B33" s="109">
        <f t="shared" ref="B33:K33" si="20">IFERROR(B32/B$3,"")</f>
        <v>0.1092785306159845</v>
      </c>
      <c r="C33" s="109">
        <f t="shared" si="20"/>
        <v>0.41475263608361757</v>
      </c>
      <c r="D33" s="109">
        <f t="shared" si="20"/>
        <v>5.6555913622548047E-2</v>
      </c>
      <c r="E33" s="109">
        <f t="shared" si="20"/>
        <v>0.16322540244255693</v>
      </c>
      <c r="F33" s="109">
        <f t="shared" si="20"/>
        <v>0.18770487323398977</v>
      </c>
      <c r="G33" s="109">
        <f t="shared" si="20"/>
        <v>-7.5111417172691652E-2</v>
      </c>
      <c r="H33" s="109">
        <f t="shared" si="20"/>
        <v>0.15443460772776954</v>
      </c>
      <c r="I33" s="109">
        <f t="shared" si="20"/>
        <v>0.35076654903603777</v>
      </c>
      <c r="J33" s="109">
        <f t="shared" si="20"/>
        <v>1.266671202840448E-2</v>
      </c>
      <c r="K33" s="109">
        <f t="shared" si="20"/>
        <v>0.11599126274920339</v>
      </c>
    </row>
    <row r="34" spans="1:11">
      <c r="A34" s="108" t="s">
        <v>138</v>
      </c>
      <c r="B34" s="108"/>
      <c r="C34" s="109">
        <f t="shared" ref="C34:F34" si="21">IFERROR(C32/B32-1,"")</f>
        <v>2.4750366251040492</v>
      </c>
      <c r="D34" s="109">
        <f t="shared" si="21"/>
        <v>-0.85522608228456309</v>
      </c>
      <c r="E34" s="109">
        <f t="shared" si="21"/>
        <v>1.9898212915613347</v>
      </c>
      <c r="F34" s="109">
        <f t="shared" si="21"/>
        <v>0.25385111879665745</v>
      </c>
      <c r="G34" s="109">
        <f>IFERROR(G32/F32-1,"")</f>
        <v>-1.3319133086677233</v>
      </c>
      <c r="H34" s="109">
        <f t="shared" ref="H34:K34" si="22">IFERROR(H32/G32-1,"")</f>
        <v>-2.9118533117121466</v>
      </c>
      <c r="I34" s="109">
        <f t="shared" si="22"/>
        <v>1.2011530645912569</v>
      </c>
      <c r="J34" s="109">
        <f t="shared" si="22"/>
        <v>-0.96233977495513212</v>
      </c>
      <c r="K34" s="109">
        <f t="shared" si="22"/>
        <v>9.7425352390334918</v>
      </c>
    </row>
    <row r="35" spans="1:11">
      <c r="A35" s="108" t="s">
        <v>139</v>
      </c>
      <c r="B35" s="108"/>
      <c r="C35" s="108"/>
      <c r="D35" s="108"/>
      <c r="E35" s="109">
        <f>IFERROR(SUM(C32:E32)/SUM(B32:D32)-1,"")</f>
        <v>0.10127558230426636</v>
      </c>
      <c r="F35" s="109">
        <f t="shared" ref="F35" si="23">IFERROR(SUM(D32:F32)/SUM(C32:E32)-1,"")</f>
        <v>-0.28984944182990813</v>
      </c>
      <c r="G35" s="109">
        <f t="shared" ref="G35:K35" si="24">IFERROR(SUM(E32:G32)/SUM(D32:F32)-1,"")</f>
        <v>-0.29000982736698711</v>
      </c>
      <c r="H35" s="109">
        <f t="shared" si="24"/>
        <v>-0.11119678659588339</v>
      </c>
      <c r="I35" s="109">
        <f t="shared" si="24"/>
        <v>0.30459664873812842</v>
      </c>
      <c r="J35" s="109">
        <f t="shared" si="24"/>
        <v>0.22626060032931994</v>
      </c>
      <c r="K35" s="109">
        <f t="shared" si="24"/>
        <v>-3.333922886425944E-2</v>
      </c>
    </row>
    <row r="36" spans="1:11">
      <c r="A36" s="108" t="s">
        <v>133</v>
      </c>
      <c r="B36" s="108"/>
      <c r="C36" s="108"/>
      <c r="D36" s="108"/>
      <c r="E36" s="108"/>
      <c r="F36" s="109"/>
      <c r="G36" s="109">
        <f>IFERROR(SUM(C32:G32)/SUM(B32:F32)-1,"")</f>
        <v>-0.19430339723445</v>
      </c>
      <c r="H36" s="109">
        <f t="shared" ref="H36" si="25">IFERROR(SUM(D32:H32)/SUM(C32:G32)-1,"")</f>
        <v>-0.33790239538084033</v>
      </c>
      <c r="I36" s="109">
        <f t="shared" ref="I36:K36" si="26">IFERROR(SUM(E32:I32)/SUM(D32:H32)-1,"")</f>
        <v>0.47742081182831275</v>
      </c>
      <c r="J36" s="109">
        <f t="shared" si="26"/>
        <v>-0.21302346901345359</v>
      </c>
      <c r="K36" s="109">
        <f t="shared" si="26"/>
        <v>-0.15803088384989827</v>
      </c>
    </row>
    <row r="38" spans="1:11" s="9" customFormat="1" ht="15.75" thickBot="1">
      <c r="A38" s="59" t="s">
        <v>153</v>
      </c>
      <c r="B38" s="126">
        <f t="shared" ref="B38:E38" si="27">B2</f>
        <v>39447</v>
      </c>
      <c r="C38" s="126">
        <f t="shared" si="27"/>
        <v>39813</v>
      </c>
      <c r="D38" s="126">
        <f t="shared" si="27"/>
        <v>40178</v>
      </c>
      <c r="E38" s="126">
        <f t="shared" si="27"/>
        <v>40543</v>
      </c>
      <c r="F38" s="126">
        <f>F2</f>
        <v>40908</v>
      </c>
      <c r="G38" s="126">
        <f t="shared" ref="G38:K38" si="28">G2</f>
        <v>41274</v>
      </c>
      <c r="H38" s="126">
        <f t="shared" si="28"/>
        <v>41639</v>
      </c>
      <c r="I38" s="126">
        <f t="shared" si="28"/>
        <v>42004</v>
      </c>
      <c r="J38" s="126">
        <f t="shared" si="28"/>
        <v>42369</v>
      </c>
      <c r="K38" s="126">
        <f t="shared" si="28"/>
        <v>42735</v>
      </c>
    </row>
    <row r="39" spans="1:11" s="117" customFormat="1" ht="15.75" thickBot="1">
      <c r="A39" s="127" t="s">
        <v>154</v>
      </c>
      <c r="B39" s="128">
        <f>VLOOKUP(B38,'GDP Data'!$A$2:$B$62,2,TRUE)</f>
        <v>14690</v>
      </c>
      <c r="C39" s="128">
        <f>VLOOKUP(C38,'GDP Data'!$A$2:$B$62,2,TRUE)</f>
        <v>14549.9</v>
      </c>
      <c r="D39" s="128">
        <f>VLOOKUP(D38,'GDP Data'!$A$2:$B$62,2,TRUE)</f>
        <v>14566.5</v>
      </c>
      <c r="E39" s="128">
        <f>VLOOKUP(E38,'GDP Data'!$A$2:$B$62,2,TRUE)</f>
        <v>15230.2</v>
      </c>
      <c r="F39" s="128">
        <f>VLOOKUP(F38,'GDP Data'!$A$2:$B$62,2,TRUE)</f>
        <v>15785.3</v>
      </c>
      <c r="G39" s="128">
        <f>VLOOKUP(G38,'GDP Data'!$A$2:$B$62,2,TRUE)</f>
        <v>16332.5</v>
      </c>
      <c r="H39" s="128">
        <f>VLOOKUP(H38,'GDP Data'!$A$2:$B$62,2,TRUE)</f>
        <v>17078.3</v>
      </c>
      <c r="I39" s="128">
        <f>VLOOKUP(I38,'GDP Data'!$A$2:$B$62,2,TRUE)</f>
        <v>17703.7</v>
      </c>
      <c r="J39" s="128">
        <f>VLOOKUP(J38,'GDP Data'!$A$2:$B$62,2,TRUE)</f>
        <v>17665</v>
      </c>
      <c r="K39" s="128">
        <f>VLOOKUP(K38,'GDP Data'!$A$2:$B$62,2,TRUE)</f>
        <v>17665</v>
      </c>
    </row>
    <row r="40" spans="1:11">
      <c r="A40" t="s">
        <v>155</v>
      </c>
      <c r="C40" s="129">
        <f t="shared" ref="C40" si="29">C39/B39-1</f>
        <v>-9.5371000680735118E-3</v>
      </c>
      <c r="D40" s="129">
        <f t="shared" ref="D40" si="30">D39/C39-1</f>
        <v>1.1409013120364797E-3</v>
      </c>
      <c r="E40" s="129">
        <f t="shared" ref="E40:F40" si="31">E39/D39-1</f>
        <v>4.5563450382727577E-2</v>
      </c>
      <c r="F40" s="129">
        <f t="shared" si="31"/>
        <v>3.6447321768591223E-2</v>
      </c>
      <c r="G40" s="129">
        <f>G39/F39-1</f>
        <v>3.4665163158128287E-2</v>
      </c>
      <c r="H40" s="129">
        <f t="shared" ref="H40:K40" si="32">H39/G39-1</f>
        <v>4.5663554262972639E-2</v>
      </c>
      <c r="I40" s="129">
        <f t="shared" si="32"/>
        <v>3.6619569863511003E-2</v>
      </c>
      <c r="J40" s="129">
        <f t="shared" si="32"/>
        <v>-2.1859837209171618E-3</v>
      </c>
      <c r="K40" s="129">
        <f t="shared" si="32"/>
        <v>0</v>
      </c>
    </row>
    <row r="41" spans="1:11">
      <c r="A41" s="130" t="s">
        <v>156</v>
      </c>
      <c r="B41" s="130"/>
      <c r="C41" s="131">
        <f t="shared" ref="C41:F41" si="33">C13</f>
        <v>0.29922725702676289</v>
      </c>
      <c r="D41" s="131">
        <f t="shared" si="33"/>
        <v>0.15517880745575963</v>
      </c>
      <c r="E41" s="131">
        <f t="shared" si="33"/>
        <v>0.16058675549164891</v>
      </c>
      <c r="F41" s="131">
        <f t="shared" si="33"/>
        <v>8.2188770243605713E-2</v>
      </c>
      <c r="G41" s="131">
        <f>G13</f>
        <v>0.48999609171191816</v>
      </c>
      <c r="H41" s="131">
        <f t="shared" ref="H41:K41" si="34">H13</f>
        <v>-0.55658158827906612</v>
      </c>
      <c r="I41" s="131">
        <f t="shared" si="34"/>
        <v>-3.3594473572319039E-2</v>
      </c>
      <c r="J41" s="131">
        <f t="shared" si="34"/>
        <v>-0.45722690672837774</v>
      </c>
      <c r="K41" s="131">
        <f t="shared" si="34"/>
        <v>0.69280095036177691</v>
      </c>
    </row>
    <row r="42" spans="1:11">
      <c r="A42" t="s">
        <v>157</v>
      </c>
      <c r="D42" s="132"/>
      <c r="E42" s="132">
        <f t="shared" ref="E42" si="35">SUM(C39:E39)/SUM(B39:D39)-1</f>
        <v>1.2331531465721968E-2</v>
      </c>
      <c r="F42" s="132">
        <f t="shared" ref="F42" si="36">SUM(D39:F39)/SUM(C39:E39)-1</f>
        <v>2.7857829010566659E-2</v>
      </c>
      <c r="G42" s="132">
        <f t="shared" ref="G42:J42" si="37">SUM(E39:G39)/SUM(D39:F39)-1</f>
        <v>3.8743363608441994E-2</v>
      </c>
      <c r="H42" s="132">
        <f t="shared" si="37"/>
        <v>3.9032271690462084E-2</v>
      </c>
      <c r="I42" s="132">
        <f t="shared" si="37"/>
        <v>3.8994960982679627E-2</v>
      </c>
      <c r="J42" s="132">
        <f t="shared" si="37"/>
        <v>2.606892369092928E-2</v>
      </c>
      <c r="K42" s="132">
        <f>SUM(I39:K39)/SUM(H39:J39)-1</f>
        <v>1.1186531164794955E-2</v>
      </c>
    </row>
    <row r="43" spans="1:11">
      <c r="A43" s="130" t="s">
        <v>158</v>
      </c>
      <c r="B43" s="130"/>
      <c r="C43" s="130"/>
      <c r="D43" s="131"/>
      <c r="E43" s="131">
        <f t="shared" ref="E43:J43" si="38">E14</f>
        <v>0.19522149911492237</v>
      </c>
      <c r="F43" s="131">
        <f t="shared" si="38"/>
        <v>0.12897369289474003</v>
      </c>
      <c r="G43" s="131">
        <f t="shared" si="38"/>
        <v>0.25505072394703432</v>
      </c>
      <c r="H43" s="131">
        <f t="shared" si="38"/>
        <v>-7.7140509794983547E-2</v>
      </c>
      <c r="I43" s="131">
        <f t="shared" si="38"/>
        <v>-0.1147380868112845</v>
      </c>
      <c r="J43" s="131">
        <f t="shared" si="38"/>
        <v>-0.40995417390619104</v>
      </c>
      <c r="K43" s="131">
        <f>K14</f>
        <v>-4.4986961957792615E-2</v>
      </c>
    </row>
    <row r="44" spans="1:11">
      <c r="A44" t="s">
        <v>159</v>
      </c>
      <c r="G44" s="132">
        <f t="shared" ref="G44:J44" si="39">SUM(C39:G39)/SUM(B39:F39)-1</f>
        <v>2.1952128988972586E-2</v>
      </c>
      <c r="H44" s="132">
        <f t="shared" si="39"/>
        <v>3.3066368139944791E-2</v>
      </c>
      <c r="I44" s="132">
        <f t="shared" si="39"/>
        <v>3.9715012001093841E-2</v>
      </c>
      <c r="J44" s="132">
        <f t="shared" si="39"/>
        <v>2.9645683672226975E-2</v>
      </c>
      <c r="K44" s="132">
        <f>SUM(G39:K39)/SUM(F39:J39)-1</f>
        <v>2.2227924621119E-2</v>
      </c>
    </row>
    <row r="45" spans="1:11">
      <c r="A45" s="130" t="s">
        <v>160</v>
      </c>
      <c r="B45" s="130"/>
      <c r="C45" s="130"/>
      <c r="D45" s="130"/>
      <c r="E45" s="131"/>
      <c r="F45" s="131"/>
      <c r="G45" s="131">
        <f t="shared" ref="G45:J45" si="40">G15</f>
        <v>0.24352783409653922</v>
      </c>
      <c r="H45" s="131">
        <f t="shared" si="40"/>
        <v>-5.8266940289274372E-3</v>
      </c>
      <c r="I45" s="131">
        <f t="shared" si="40"/>
        <v>-3.2375450897468294E-2</v>
      </c>
      <c r="J45" s="131">
        <f t="shared" si="40"/>
        <v>-0.12252612833773879</v>
      </c>
      <c r="K45" s="131">
        <f>K15</f>
        <v>-9.9944673889884372E-2</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workbookViewId="0">
      <pane xSplit="1" ySplit="1" topLeftCell="C2" activePane="bottomRight" state="frozen"/>
      <selection pane="topRight" activeCell="B1" sqref="B1"/>
      <selection pane="bottomLeft" activeCell="A2" sqref="A2"/>
      <selection pane="bottomRight" activeCell="H39" sqref="H39"/>
    </sheetView>
  </sheetViews>
  <sheetFormatPr defaultRowHeight="12.75"/>
  <cols>
    <col min="1" max="1" width="33" style="141" customWidth="1"/>
    <col min="2" max="2" width="50.28515625" style="141" customWidth="1"/>
    <col min="3" max="10" width="10.7109375" style="141" customWidth="1"/>
    <col min="11" max="18" width="11.28515625" style="141" customWidth="1"/>
    <col min="19" max="20" width="11.7109375" style="141" customWidth="1"/>
    <col min="21" max="255" width="9.140625" style="141"/>
    <col min="256" max="256" width="33" style="141" customWidth="1"/>
    <col min="257" max="257" width="50.28515625" style="141" customWidth="1"/>
    <col min="258" max="265" width="11.28515625" style="141" customWidth="1"/>
    <col min="266" max="267" width="11.7109375" style="141" customWidth="1"/>
    <col min="268" max="268" width="9.140625" style="141"/>
    <col min="269" max="277" width="9.28515625" style="141" customWidth="1"/>
    <col min="278" max="511" width="9.140625" style="141"/>
    <col min="512" max="512" width="33" style="141" customWidth="1"/>
    <col min="513" max="513" width="50.28515625" style="141" customWidth="1"/>
    <col min="514" max="521" width="11.28515625" style="141" customWidth="1"/>
    <col min="522" max="523" width="11.7109375" style="141" customWidth="1"/>
    <col min="524" max="524" width="9.140625" style="141"/>
    <col min="525" max="533" width="9.28515625" style="141" customWidth="1"/>
    <col min="534" max="767" width="9.140625" style="141"/>
    <col min="768" max="768" width="33" style="141" customWidth="1"/>
    <col min="769" max="769" width="50.28515625" style="141" customWidth="1"/>
    <col min="770" max="777" width="11.28515625" style="141" customWidth="1"/>
    <col min="778" max="779" width="11.7109375" style="141" customWidth="1"/>
    <col min="780" max="780" width="9.140625" style="141"/>
    <col min="781" max="789" width="9.28515625" style="141" customWidth="1"/>
    <col min="790" max="1023" width="9.140625" style="141"/>
    <col min="1024" max="1024" width="33" style="141" customWidth="1"/>
    <col min="1025" max="1025" width="50.28515625" style="141" customWidth="1"/>
    <col min="1026" max="1033" width="11.28515625" style="141" customWidth="1"/>
    <col min="1034" max="1035" width="11.7109375" style="141" customWidth="1"/>
    <col min="1036" max="1036" width="9.140625" style="141"/>
    <col min="1037" max="1045" width="9.28515625" style="141" customWidth="1"/>
    <col min="1046" max="1279" width="9.140625" style="141"/>
    <col min="1280" max="1280" width="33" style="141" customWidth="1"/>
    <col min="1281" max="1281" width="50.28515625" style="141" customWidth="1"/>
    <col min="1282" max="1289" width="11.28515625" style="141" customWidth="1"/>
    <col min="1290" max="1291" width="11.7109375" style="141" customWidth="1"/>
    <col min="1292" max="1292" width="9.140625" style="141"/>
    <col min="1293" max="1301" width="9.28515625" style="141" customWidth="1"/>
    <col min="1302" max="1535" width="9.140625" style="141"/>
    <col min="1536" max="1536" width="33" style="141" customWidth="1"/>
    <col min="1537" max="1537" width="50.28515625" style="141" customWidth="1"/>
    <col min="1538" max="1545" width="11.28515625" style="141" customWidth="1"/>
    <col min="1546" max="1547" width="11.7109375" style="141" customWidth="1"/>
    <col min="1548" max="1548" width="9.140625" style="141"/>
    <col min="1549" max="1557" width="9.28515625" style="141" customWidth="1"/>
    <col min="1558" max="1791" width="9.140625" style="141"/>
    <col min="1792" max="1792" width="33" style="141" customWidth="1"/>
    <col min="1793" max="1793" width="50.28515625" style="141" customWidth="1"/>
    <col min="1794" max="1801" width="11.28515625" style="141" customWidth="1"/>
    <col min="1802" max="1803" width="11.7109375" style="141" customWidth="1"/>
    <col min="1804" max="1804" width="9.140625" style="141"/>
    <col min="1805" max="1813" width="9.28515625" style="141" customWidth="1"/>
    <col min="1814" max="2047" width="9.140625" style="141"/>
    <col min="2048" max="2048" width="33" style="141" customWidth="1"/>
    <col min="2049" max="2049" width="50.28515625" style="141" customWidth="1"/>
    <col min="2050" max="2057" width="11.28515625" style="141" customWidth="1"/>
    <col min="2058" max="2059" width="11.7109375" style="141" customWidth="1"/>
    <col min="2060" max="2060" width="9.140625" style="141"/>
    <col min="2061" max="2069" width="9.28515625" style="141" customWidth="1"/>
    <col min="2070" max="2303" width="9.140625" style="141"/>
    <col min="2304" max="2304" width="33" style="141" customWidth="1"/>
    <col min="2305" max="2305" width="50.28515625" style="141" customWidth="1"/>
    <col min="2306" max="2313" width="11.28515625" style="141" customWidth="1"/>
    <col min="2314" max="2315" width="11.7109375" style="141" customWidth="1"/>
    <col min="2316" max="2316" width="9.140625" style="141"/>
    <col min="2317" max="2325" width="9.28515625" style="141" customWidth="1"/>
    <col min="2326" max="2559" width="9.140625" style="141"/>
    <col min="2560" max="2560" width="33" style="141" customWidth="1"/>
    <col min="2561" max="2561" width="50.28515625" style="141" customWidth="1"/>
    <col min="2562" max="2569" width="11.28515625" style="141" customWidth="1"/>
    <col min="2570" max="2571" width="11.7109375" style="141" customWidth="1"/>
    <col min="2572" max="2572" width="9.140625" style="141"/>
    <col min="2573" max="2581" width="9.28515625" style="141" customWidth="1"/>
    <col min="2582" max="2815" width="9.140625" style="141"/>
    <col min="2816" max="2816" width="33" style="141" customWidth="1"/>
    <col min="2817" max="2817" width="50.28515625" style="141" customWidth="1"/>
    <col min="2818" max="2825" width="11.28515625" style="141" customWidth="1"/>
    <col min="2826" max="2827" width="11.7109375" style="141" customWidth="1"/>
    <col min="2828" max="2828" width="9.140625" style="141"/>
    <col min="2829" max="2837" width="9.28515625" style="141" customWidth="1"/>
    <col min="2838" max="3071" width="9.140625" style="141"/>
    <col min="3072" max="3072" width="33" style="141" customWidth="1"/>
    <col min="3073" max="3073" width="50.28515625" style="141" customWidth="1"/>
    <col min="3074" max="3081" width="11.28515625" style="141" customWidth="1"/>
    <col min="3082" max="3083" width="11.7109375" style="141" customWidth="1"/>
    <col min="3084" max="3084" width="9.140625" style="141"/>
    <col min="3085" max="3093" width="9.28515625" style="141" customWidth="1"/>
    <col min="3094" max="3327" width="9.140625" style="141"/>
    <col min="3328" max="3328" width="33" style="141" customWidth="1"/>
    <col min="3329" max="3329" width="50.28515625" style="141" customWidth="1"/>
    <col min="3330" max="3337" width="11.28515625" style="141" customWidth="1"/>
    <col min="3338" max="3339" width="11.7109375" style="141" customWidth="1"/>
    <col min="3340" max="3340" width="9.140625" style="141"/>
    <col min="3341" max="3349" width="9.28515625" style="141" customWidth="1"/>
    <col min="3350" max="3583" width="9.140625" style="141"/>
    <col min="3584" max="3584" width="33" style="141" customWidth="1"/>
    <col min="3585" max="3585" width="50.28515625" style="141" customWidth="1"/>
    <col min="3586" max="3593" width="11.28515625" style="141" customWidth="1"/>
    <col min="3594" max="3595" width="11.7109375" style="141" customWidth="1"/>
    <col min="3596" max="3596" width="9.140625" style="141"/>
    <col min="3597" max="3605" width="9.28515625" style="141" customWidth="1"/>
    <col min="3606" max="3839" width="9.140625" style="141"/>
    <col min="3840" max="3840" width="33" style="141" customWidth="1"/>
    <col min="3841" max="3841" width="50.28515625" style="141" customWidth="1"/>
    <col min="3842" max="3849" width="11.28515625" style="141" customWidth="1"/>
    <col min="3850" max="3851" width="11.7109375" style="141" customWidth="1"/>
    <col min="3852" max="3852" width="9.140625" style="141"/>
    <col min="3853" max="3861" width="9.28515625" style="141" customWidth="1"/>
    <col min="3862" max="4095" width="9.140625" style="141"/>
    <col min="4096" max="4096" width="33" style="141" customWidth="1"/>
    <col min="4097" max="4097" width="50.28515625" style="141" customWidth="1"/>
    <col min="4098" max="4105" width="11.28515625" style="141" customWidth="1"/>
    <col min="4106" max="4107" width="11.7109375" style="141" customWidth="1"/>
    <col min="4108" max="4108" width="9.140625" style="141"/>
    <col min="4109" max="4117" width="9.28515625" style="141" customWidth="1"/>
    <col min="4118" max="4351" width="9.140625" style="141"/>
    <col min="4352" max="4352" width="33" style="141" customWidth="1"/>
    <col min="4353" max="4353" width="50.28515625" style="141" customWidth="1"/>
    <col min="4354" max="4361" width="11.28515625" style="141" customWidth="1"/>
    <col min="4362" max="4363" width="11.7109375" style="141" customWidth="1"/>
    <col min="4364" max="4364" width="9.140625" style="141"/>
    <col min="4365" max="4373" width="9.28515625" style="141" customWidth="1"/>
    <col min="4374" max="4607" width="9.140625" style="141"/>
    <col min="4608" max="4608" width="33" style="141" customWidth="1"/>
    <col min="4609" max="4609" width="50.28515625" style="141" customWidth="1"/>
    <col min="4610" max="4617" width="11.28515625" style="141" customWidth="1"/>
    <col min="4618" max="4619" width="11.7109375" style="141" customWidth="1"/>
    <col min="4620" max="4620" width="9.140625" style="141"/>
    <col min="4621" max="4629" width="9.28515625" style="141" customWidth="1"/>
    <col min="4630" max="4863" width="9.140625" style="141"/>
    <col min="4864" max="4864" width="33" style="141" customWidth="1"/>
    <col min="4865" max="4865" width="50.28515625" style="141" customWidth="1"/>
    <col min="4866" max="4873" width="11.28515625" style="141" customWidth="1"/>
    <col min="4874" max="4875" width="11.7109375" style="141" customWidth="1"/>
    <col min="4876" max="4876" width="9.140625" style="141"/>
    <col min="4877" max="4885" width="9.28515625" style="141" customWidth="1"/>
    <col min="4886" max="5119" width="9.140625" style="141"/>
    <col min="5120" max="5120" width="33" style="141" customWidth="1"/>
    <col min="5121" max="5121" width="50.28515625" style="141" customWidth="1"/>
    <col min="5122" max="5129" width="11.28515625" style="141" customWidth="1"/>
    <col min="5130" max="5131" width="11.7109375" style="141" customWidth="1"/>
    <col min="5132" max="5132" width="9.140625" style="141"/>
    <col min="5133" max="5141" width="9.28515625" style="141" customWidth="1"/>
    <col min="5142" max="5375" width="9.140625" style="141"/>
    <col min="5376" max="5376" width="33" style="141" customWidth="1"/>
    <col min="5377" max="5377" width="50.28515625" style="141" customWidth="1"/>
    <col min="5378" max="5385" width="11.28515625" style="141" customWidth="1"/>
    <col min="5386" max="5387" width="11.7109375" style="141" customWidth="1"/>
    <col min="5388" max="5388" width="9.140625" style="141"/>
    <col min="5389" max="5397" width="9.28515625" style="141" customWidth="1"/>
    <col min="5398" max="5631" width="9.140625" style="141"/>
    <col min="5632" max="5632" width="33" style="141" customWidth="1"/>
    <col min="5633" max="5633" width="50.28515625" style="141" customWidth="1"/>
    <col min="5634" max="5641" width="11.28515625" style="141" customWidth="1"/>
    <col min="5642" max="5643" width="11.7109375" style="141" customWidth="1"/>
    <col min="5644" max="5644" width="9.140625" style="141"/>
    <col min="5645" max="5653" width="9.28515625" style="141" customWidth="1"/>
    <col min="5654" max="5887" width="9.140625" style="141"/>
    <col min="5888" max="5888" width="33" style="141" customWidth="1"/>
    <col min="5889" max="5889" width="50.28515625" style="141" customWidth="1"/>
    <col min="5890" max="5897" width="11.28515625" style="141" customWidth="1"/>
    <col min="5898" max="5899" width="11.7109375" style="141" customWidth="1"/>
    <col min="5900" max="5900" width="9.140625" style="141"/>
    <col min="5901" max="5909" width="9.28515625" style="141" customWidth="1"/>
    <col min="5910" max="6143" width="9.140625" style="141"/>
    <col min="6144" max="6144" width="33" style="141" customWidth="1"/>
    <col min="6145" max="6145" width="50.28515625" style="141" customWidth="1"/>
    <col min="6146" max="6153" width="11.28515625" style="141" customWidth="1"/>
    <col min="6154" max="6155" width="11.7109375" style="141" customWidth="1"/>
    <col min="6156" max="6156" width="9.140625" style="141"/>
    <col min="6157" max="6165" width="9.28515625" style="141" customWidth="1"/>
    <col min="6166" max="6399" width="9.140625" style="141"/>
    <col min="6400" max="6400" width="33" style="141" customWidth="1"/>
    <col min="6401" max="6401" width="50.28515625" style="141" customWidth="1"/>
    <col min="6402" max="6409" width="11.28515625" style="141" customWidth="1"/>
    <col min="6410" max="6411" width="11.7109375" style="141" customWidth="1"/>
    <col min="6412" max="6412" width="9.140625" style="141"/>
    <col min="6413" max="6421" width="9.28515625" style="141" customWidth="1"/>
    <col min="6422" max="6655" width="9.140625" style="141"/>
    <col min="6656" max="6656" width="33" style="141" customWidth="1"/>
    <col min="6657" max="6657" width="50.28515625" style="141" customWidth="1"/>
    <col min="6658" max="6665" width="11.28515625" style="141" customWidth="1"/>
    <col min="6666" max="6667" width="11.7109375" style="141" customWidth="1"/>
    <col min="6668" max="6668" width="9.140625" style="141"/>
    <col min="6669" max="6677" width="9.28515625" style="141" customWidth="1"/>
    <col min="6678" max="6911" width="9.140625" style="141"/>
    <col min="6912" max="6912" width="33" style="141" customWidth="1"/>
    <col min="6913" max="6913" width="50.28515625" style="141" customWidth="1"/>
    <col min="6914" max="6921" width="11.28515625" style="141" customWidth="1"/>
    <col min="6922" max="6923" width="11.7109375" style="141" customWidth="1"/>
    <col min="6924" max="6924" width="9.140625" style="141"/>
    <col min="6925" max="6933" width="9.28515625" style="141" customWidth="1"/>
    <col min="6934" max="7167" width="9.140625" style="141"/>
    <col min="7168" max="7168" width="33" style="141" customWidth="1"/>
    <col min="7169" max="7169" width="50.28515625" style="141" customWidth="1"/>
    <col min="7170" max="7177" width="11.28515625" style="141" customWidth="1"/>
    <col min="7178" max="7179" width="11.7109375" style="141" customWidth="1"/>
    <col min="7180" max="7180" width="9.140625" style="141"/>
    <col min="7181" max="7189" width="9.28515625" style="141" customWidth="1"/>
    <col min="7190" max="7423" width="9.140625" style="141"/>
    <col min="7424" max="7424" width="33" style="141" customWidth="1"/>
    <col min="7425" max="7425" width="50.28515625" style="141" customWidth="1"/>
    <col min="7426" max="7433" width="11.28515625" style="141" customWidth="1"/>
    <col min="7434" max="7435" width="11.7109375" style="141" customWidth="1"/>
    <col min="7436" max="7436" width="9.140625" style="141"/>
    <col min="7437" max="7445" width="9.28515625" style="141" customWidth="1"/>
    <col min="7446" max="7679" width="9.140625" style="141"/>
    <col min="7680" max="7680" width="33" style="141" customWidth="1"/>
    <col min="7681" max="7681" width="50.28515625" style="141" customWidth="1"/>
    <col min="7682" max="7689" width="11.28515625" style="141" customWidth="1"/>
    <col min="7690" max="7691" width="11.7109375" style="141" customWidth="1"/>
    <col min="7692" max="7692" width="9.140625" style="141"/>
    <col min="7693" max="7701" width="9.28515625" style="141" customWidth="1"/>
    <col min="7702" max="7935" width="9.140625" style="141"/>
    <col min="7936" max="7936" width="33" style="141" customWidth="1"/>
    <col min="7937" max="7937" width="50.28515625" style="141" customWidth="1"/>
    <col min="7938" max="7945" width="11.28515625" style="141" customWidth="1"/>
    <col min="7946" max="7947" width="11.7109375" style="141" customWidth="1"/>
    <col min="7948" max="7948" width="9.140625" style="141"/>
    <col min="7949" max="7957" width="9.28515625" style="141" customWidth="1"/>
    <col min="7958" max="8191" width="9.140625" style="141"/>
    <col min="8192" max="8192" width="33" style="141" customWidth="1"/>
    <col min="8193" max="8193" width="50.28515625" style="141" customWidth="1"/>
    <col min="8194" max="8201" width="11.28515625" style="141" customWidth="1"/>
    <col min="8202" max="8203" width="11.7109375" style="141" customWidth="1"/>
    <col min="8204" max="8204" width="9.140625" style="141"/>
    <col min="8205" max="8213" width="9.28515625" style="141" customWidth="1"/>
    <col min="8214" max="8447" width="9.140625" style="141"/>
    <col min="8448" max="8448" width="33" style="141" customWidth="1"/>
    <col min="8449" max="8449" width="50.28515625" style="141" customWidth="1"/>
    <col min="8450" max="8457" width="11.28515625" style="141" customWidth="1"/>
    <col min="8458" max="8459" width="11.7109375" style="141" customWidth="1"/>
    <col min="8460" max="8460" width="9.140625" style="141"/>
    <col min="8461" max="8469" width="9.28515625" style="141" customWidth="1"/>
    <col min="8470" max="8703" width="9.140625" style="141"/>
    <col min="8704" max="8704" width="33" style="141" customWidth="1"/>
    <col min="8705" max="8705" width="50.28515625" style="141" customWidth="1"/>
    <col min="8706" max="8713" width="11.28515625" style="141" customWidth="1"/>
    <col min="8714" max="8715" width="11.7109375" style="141" customWidth="1"/>
    <col min="8716" max="8716" width="9.140625" style="141"/>
    <col min="8717" max="8725" width="9.28515625" style="141" customWidth="1"/>
    <col min="8726" max="8959" width="9.140625" style="141"/>
    <col min="8960" max="8960" width="33" style="141" customWidth="1"/>
    <col min="8961" max="8961" width="50.28515625" style="141" customWidth="1"/>
    <col min="8962" max="8969" width="11.28515625" style="141" customWidth="1"/>
    <col min="8970" max="8971" width="11.7109375" style="141" customWidth="1"/>
    <col min="8972" max="8972" width="9.140625" style="141"/>
    <col min="8973" max="8981" width="9.28515625" style="141" customWidth="1"/>
    <col min="8982" max="9215" width="9.140625" style="141"/>
    <col min="9216" max="9216" width="33" style="141" customWidth="1"/>
    <col min="9217" max="9217" width="50.28515625" style="141" customWidth="1"/>
    <col min="9218" max="9225" width="11.28515625" style="141" customWidth="1"/>
    <col min="9226" max="9227" width="11.7109375" style="141" customWidth="1"/>
    <col min="9228" max="9228" width="9.140625" style="141"/>
    <col min="9229" max="9237" width="9.28515625" style="141" customWidth="1"/>
    <col min="9238" max="9471" width="9.140625" style="141"/>
    <col min="9472" max="9472" width="33" style="141" customWidth="1"/>
    <col min="9473" max="9473" width="50.28515625" style="141" customWidth="1"/>
    <col min="9474" max="9481" width="11.28515625" style="141" customWidth="1"/>
    <col min="9482" max="9483" width="11.7109375" style="141" customWidth="1"/>
    <col min="9484" max="9484" width="9.140625" style="141"/>
    <col min="9485" max="9493" width="9.28515625" style="141" customWidth="1"/>
    <col min="9494" max="9727" width="9.140625" style="141"/>
    <col min="9728" max="9728" width="33" style="141" customWidth="1"/>
    <col min="9729" max="9729" width="50.28515625" style="141" customWidth="1"/>
    <col min="9730" max="9737" width="11.28515625" style="141" customWidth="1"/>
    <col min="9738" max="9739" width="11.7109375" style="141" customWidth="1"/>
    <col min="9740" max="9740" width="9.140625" style="141"/>
    <col min="9741" max="9749" width="9.28515625" style="141" customWidth="1"/>
    <col min="9750" max="9983" width="9.140625" style="141"/>
    <col min="9984" max="9984" width="33" style="141" customWidth="1"/>
    <col min="9985" max="9985" width="50.28515625" style="141" customWidth="1"/>
    <col min="9986" max="9993" width="11.28515625" style="141" customWidth="1"/>
    <col min="9994" max="9995" width="11.7109375" style="141" customWidth="1"/>
    <col min="9996" max="9996" width="9.140625" style="141"/>
    <col min="9997" max="10005" width="9.28515625" style="141" customWidth="1"/>
    <col min="10006" max="10239" width="9.140625" style="141"/>
    <col min="10240" max="10240" width="33" style="141" customWidth="1"/>
    <col min="10241" max="10241" width="50.28515625" style="141" customWidth="1"/>
    <col min="10242" max="10249" width="11.28515625" style="141" customWidth="1"/>
    <col min="10250" max="10251" width="11.7109375" style="141" customWidth="1"/>
    <col min="10252" max="10252" width="9.140625" style="141"/>
    <col min="10253" max="10261" width="9.28515625" style="141" customWidth="1"/>
    <col min="10262" max="10495" width="9.140625" style="141"/>
    <col min="10496" max="10496" width="33" style="141" customWidth="1"/>
    <col min="10497" max="10497" width="50.28515625" style="141" customWidth="1"/>
    <col min="10498" max="10505" width="11.28515625" style="141" customWidth="1"/>
    <col min="10506" max="10507" width="11.7109375" style="141" customWidth="1"/>
    <col min="10508" max="10508" width="9.140625" style="141"/>
    <col min="10509" max="10517" width="9.28515625" style="141" customWidth="1"/>
    <col min="10518" max="10751" width="9.140625" style="141"/>
    <col min="10752" max="10752" width="33" style="141" customWidth="1"/>
    <col min="10753" max="10753" width="50.28515625" style="141" customWidth="1"/>
    <col min="10754" max="10761" width="11.28515625" style="141" customWidth="1"/>
    <col min="10762" max="10763" width="11.7109375" style="141" customWidth="1"/>
    <col min="10764" max="10764" width="9.140625" style="141"/>
    <col min="10765" max="10773" width="9.28515625" style="141" customWidth="1"/>
    <col min="10774" max="11007" width="9.140625" style="141"/>
    <col min="11008" max="11008" width="33" style="141" customWidth="1"/>
    <col min="11009" max="11009" width="50.28515625" style="141" customWidth="1"/>
    <col min="11010" max="11017" width="11.28515625" style="141" customWidth="1"/>
    <col min="11018" max="11019" width="11.7109375" style="141" customWidth="1"/>
    <col min="11020" max="11020" width="9.140625" style="141"/>
    <col min="11021" max="11029" width="9.28515625" style="141" customWidth="1"/>
    <col min="11030" max="11263" width="9.140625" style="141"/>
    <col min="11264" max="11264" width="33" style="141" customWidth="1"/>
    <col min="11265" max="11265" width="50.28515625" style="141" customWidth="1"/>
    <col min="11266" max="11273" width="11.28515625" style="141" customWidth="1"/>
    <col min="11274" max="11275" width="11.7109375" style="141" customWidth="1"/>
    <col min="11276" max="11276" width="9.140625" style="141"/>
    <col min="11277" max="11285" width="9.28515625" style="141" customWidth="1"/>
    <col min="11286" max="11519" width="9.140625" style="141"/>
    <col min="11520" max="11520" width="33" style="141" customWidth="1"/>
    <col min="11521" max="11521" width="50.28515625" style="141" customWidth="1"/>
    <col min="11522" max="11529" width="11.28515625" style="141" customWidth="1"/>
    <col min="11530" max="11531" width="11.7109375" style="141" customWidth="1"/>
    <col min="11532" max="11532" width="9.140625" style="141"/>
    <col min="11533" max="11541" width="9.28515625" style="141" customWidth="1"/>
    <col min="11542" max="11775" width="9.140625" style="141"/>
    <col min="11776" max="11776" width="33" style="141" customWidth="1"/>
    <col min="11777" max="11777" width="50.28515625" style="141" customWidth="1"/>
    <col min="11778" max="11785" width="11.28515625" style="141" customWidth="1"/>
    <col min="11786" max="11787" width="11.7109375" style="141" customWidth="1"/>
    <col min="11788" max="11788" width="9.140625" style="141"/>
    <col min="11789" max="11797" width="9.28515625" style="141" customWidth="1"/>
    <col min="11798" max="12031" width="9.140625" style="141"/>
    <col min="12032" max="12032" width="33" style="141" customWidth="1"/>
    <col min="12033" max="12033" width="50.28515625" style="141" customWidth="1"/>
    <col min="12034" max="12041" width="11.28515625" style="141" customWidth="1"/>
    <col min="12042" max="12043" width="11.7109375" style="141" customWidth="1"/>
    <col min="12044" max="12044" width="9.140625" style="141"/>
    <col min="12045" max="12053" width="9.28515625" style="141" customWidth="1"/>
    <col min="12054" max="12287" width="9.140625" style="141"/>
    <col min="12288" max="12288" width="33" style="141" customWidth="1"/>
    <col min="12289" max="12289" width="50.28515625" style="141" customWidth="1"/>
    <col min="12290" max="12297" width="11.28515625" style="141" customWidth="1"/>
    <col min="12298" max="12299" width="11.7109375" style="141" customWidth="1"/>
    <col min="12300" max="12300" width="9.140625" style="141"/>
    <col min="12301" max="12309" width="9.28515625" style="141" customWidth="1"/>
    <col min="12310" max="12543" width="9.140625" style="141"/>
    <col min="12544" max="12544" width="33" style="141" customWidth="1"/>
    <col min="12545" max="12545" width="50.28515625" style="141" customWidth="1"/>
    <col min="12546" max="12553" width="11.28515625" style="141" customWidth="1"/>
    <col min="12554" max="12555" width="11.7109375" style="141" customWidth="1"/>
    <col min="12556" max="12556" width="9.140625" style="141"/>
    <col min="12557" max="12565" width="9.28515625" style="141" customWidth="1"/>
    <col min="12566" max="12799" width="9.140625" style="141"/>
    <col min="12800" max="12800" width="33" style="141" customWidth="1"/>
    <col min="12801" max="12801" width="50.28515625" style="141" customWidth="1"/>
    <col min="12802" max="12809" width="11.28515625" style="141" customWidth="1"/>
    <col min="12810" max="12811" width="11.7109375" style="141" customWidth="1"/>
    <col min="12812" max="12812" width="9.140625" style="141"/>
    <col min="12813" max="12821" width="9.28515625" style="141" customWidth="1"/>
    <col min="12822" max="13055" width="9.140625" style="141"/>
    <col min="13056" max="13056" width="33" style="141" customWidth="1"/>
    <col min="13057" max="13057" width="50.28515625" style="141" customWidth="1"/>
    <col min="13058" max="13065" width="11.28515625" style="141" customWidth="1"/>
    <col min="13066" max="13067" width="11.7109375" style="141" customWidth="1"/>
    <col min="13068" max="13068" width="9.140625" style="141"/>
    <col min="13069" max="13077" width="9.28515625" style="141" customWidth="1"/>
    <col min="13078" max="13311" width="9.140625" style="141"/>
    <col min="13312" max="13312" width="33" style="141" customWidth="1"/>
    <col min="13313" max="13313" width="50.28515625" style="141" customWidth="1"/>
    <col min="13314" max="13321" width="11.28515625" style="141" customWidth="1"/>
    <col min="13322" max="13323" width="11.7109375" style="141" customWidth="1"/>
    <col min="13324" max="13324" width="9.140625" style="141"/>
    <col min="13325" max="13333" width="9.28515625" style="141" customWidth="1"/>
    <col min="13334" max="13567" width="9.140625" style="141"/>
    <col min="13568" max="13568" width="33" style="141" customWidth="1"/>
    <col min="13569" max="13569" width="50.28515625" style="141" customWidth="1"/>
    <col min="13570" max="13577" width="11.28515625" style="141" customWidth="1"/>
    <col min="13578" max="13579" width="11.7109375" style="141" customWidth="1"/>
    <col min="13580" max="13580" width="9.140625" style="141"/>
    <col min="13581" max="13589" width="9.28515625" style="141" customWidth="1"/>
    <col min="13590" max="13823" width="9.140625" style="141"/>
    <col min="13824" max="13824" width="33" style="141" customWidth="1"/>
    <col min="13825" max="13825" width="50.28515625" style="141" customWidth="1"/>
    <col min="13826" max="13833" width="11.28515625" style="141" customWidth="1"/>
    <col min="13834" max="13835" width="11.7109375" style="141" customWidth="1"/>
    <col min="13836" max="13836" width="9.140625" style="141"/>
    <col min="13837" max="13845" width="9.28515625" style="141" customWidth="1"/>
    <col min="13846" max="14079" width="9.140625" style="141"/>
    <col min="14080" max="14080" width="33" style="141" customWidth="1"/>
    <col min="14081" max="14081" width="50.28515625" style="141" customWidth="1"/>
    <col min="14082" max="14089" width="11.28515625" style="141" customWidth="1"/>
    <col min="14090" max="14091" width="11.7109375" style="141" customWidth="1"/>
    <col min="14092" max="14092" width="9.140625" style="141"/>
    <col min="14093" max="14101" width="9.28515625" style="141" customWidth="1"/>
    <col min="14102" max="14335" width="9.140625" style="141"/>
    <col min="14336" max="14336" width="33" style="141" customWidth="1"/>
    <col min="14337" max="14337" width="50.28515625" style="141" customWidth="1"/>
    <col min="14338" max="14345" width="11.28515625" style="141" customWidth="1"/>
    <col min="14346" max="14347" width="11.7109375" style="141" customWidth="1"/>
    <col min="14348" max="14348" width="9.140625" style="141"/>
    <col min="14349" max="14357" width="9.28515625" style="141" customWidth="1"/>
    <col min="14358" max="14591" width="9.140625" style="141"/>
    <col min="14592" max="14592" width="33" style="141" customWidth="1"/>
    <col min="14593" max="14593" width="50.28515625" style="141" customWidth="1"/>
    <col min="14594" max="14601" width="11.28515625" style="141" customWidth="1"/>
    <col min="14602" max="14603" width="11.7109375" style="141" customWidth="1"/>
    <col min="14604" max="14604" width="9.140625" style="141"/>
    <col min="14605" max="14613" width="9.28515625" style="141" customWidth="1"/>
    <col min="14614" max="14847" width="9.140625" style="141"/>
    <col min="14848" max="14848" width="33" style="141" customWidth="1"/>
    <col min="14849" max="14849" width="50.28515625" style="141" customWidth="1"/>
    <col min="14850" max="14857" width="11.28515625" style="141" customWidth="1"/>
    <col min="14858" max="14859" width="11.7109375" style="141" customWidth="1"/>
    <col min="14860" max="14860" width="9.140625" style="141"/>
    <col min="14861" max="14869" width="9.28515625" style="141" customWidth="1"/>
    <col min="14870" max="15103" width="9.140625" style="141"/>
    <col min="15104" max="15104" width="33" style="141" customWidth="1"/>
    <col min="15105" max="15105" width="50.28515625" style="141" customWidth="1"/>
    <col min="15106" max="15113" width="11.28515625" style="141" customWidth="1"/>
    <col min="15114" max="15115" width="11.7109375" style="141" customWidth="1"/>
    <col min="15116" max="15116" width="9.140625" style="141"/>
    <col min="15117" max="15125" width="9.28515625" style="141" customWidth="1"/>
    <col min="15126" max="15359" width="9.140625" style="141"/>
    <col min="15360" max="15360" width="33" style="141" customWidth="1"/>
    <col min="15361" max="15361" width="50.28515625" style="141" customWidth="1"/>
    <col min="15362" max="15369" width="11.28515625" style="141" customWidth="1"/>
    <col min="15370" max="15371" width="11.7109375" style="141" customWidth="1"/>
    <col min="15372" max="15372" width="9.140625" style="141"/>
    <col min="15373" max="15381" width="9.28515625" style="141" customWidth="1"/>
    <col min="15382" max="15615" width="9.140625" style="141"/>
    <col min="15616" max="15616" width="33" style="141" customWidth="1"/>
    <col min="15617" max="15617" width="50.28515625" style="141" customWidth="1"/>
    <col min="15618" max="15625" width="11.28515625" style="141" customWidth="1"/>
    <col min="15626" max="15627" width="11.7109375" style="141" customWidth="1"/>
    <col min="15628" max="15628" width="9.140625" style="141"/>
    <col min="15629" max="15637" width="9.28515625" style="141" customWidth="1"/>
    <col min="15638" max="15871" width="9.140625" style="141"/>
    <col min="15872" max="15872" width="33" style="141" customWidth="1"/>
    <col min="15873" max="15873" width="50.28515625" style="141" customWidth="1"/>
    <col min="15874" max="15881" width="11.28515625" style="141" customWidth="1"/>
    <col min="15882" max="15883" width="11.7109375" style="141" customWidth="1"/>
    <col min="15884" max="15884" width="9.140625" style="141"/>
    <col min="15885" max="15893" width="9.28515625" style="141" customWidth="1"/>
    <col min="15894" max="16127" width="9.140625" style="141"/>
    <col min="16128" max="16128" width="33" style="141" customWidth="1"/>
    <col min="16129" max="16129" width="50.28515625" style="141" customWidth="1"/>
    <col min="16130" max="16137" width="11.28515625" style="141" customWidth="1"/>
    <col min="16138" max="16139" width="11.7109375" style="141" customWidth="1"/>
    <col min="16140" max="16140" width="9.140625" style="141"/>
    <col min="16141" max="16149" width="9.28515625" style="141" customWidth="1"/>
    <col min="16150" max="16384" width="9.140625" style="141"/>
  </cols>
  <sheetData>
    <row r="1" spans="1:20">
      <c r="A1" s="140" t="s">
        <v>193</v>
      </c>
      <c r="B1" s="140"/>
      <c r="C1" s="140">
        <v>2007</v>
      </c>
      <c r="D1" s="140">
        <v>2008</v>
      </c>
      <c r="E1" s="140">
        <v>2009</v>
      </c>
      <c r="F1" s="140">
        <v>2010</v>
      </c>
      <c r="G1" s="140">
        <v>2011</v>
      </c>
      <c r="H1" s="140">
        <v>2012</v>
      </c>
      <c r="I1" s="140">
        <v>2013</v>
      </c>
      <c r="J1" s="140">
        <v>2014</v>
      </c>
      <c r="K1" s="140">
        <v>2015</v>
      </c>
      <c r="L1" s="140">
        <v>2016</v>
      </c>
      <c r="M1" s="145">
        <v>2017</v>
      </c>
      <c r="N1" s="145">
        <v>2018</v>
      </c>
      <c r="O1" s="145">
        <v>2019</v>
      </c>
      <c r="P1" s="145">
        <v>2020</v>
      </c>
      <c r="Q1" s="145">
        <v>2021</v>
      </c>
      <c r="R1" s="145">
        <v>2022</v>
      </c>
      <c r="S1" s="145">
        <v>2023</v>
      </c>
      <c r="T1" s="145">
        <v>2024</v>
      </c>
    </row>
    <row r="2" spans="1:20">
      <c r="A2" s="140" t="s">
        <v>194</v>
      </c>
      <c r="B2" s="140" t="s">
        <v>195</v>
      </c>
      <c r="C2" s="140"/>
      <c r="D2" s="140"/>
      <c r="E2" s="140"/>
      <c r="F2" s="140"/>
      <c r="G2" s="140"/>
      <c r="H2" s="140"/>
      <c r="I2" s="140"/>
      <c r="J2" s="140"/>
      <c r="M2" s="178" t="s">
        <v>247</v>
      </c>
      <c r="N2" s="178"/>
      <c r="O2" s="178"/>
      <c r="P2" s="178"/>
      <c r="Q2" s="178"/>
      <c r="R2" s="178"/>
      <c r="S2" s="178"/>
      <c r="T2" s="178"/>
    </row>
    <row r="3" spans="1:20">
      <c r="A3" s="141" t="s">
        <v>196</v>
      </c>
      <c r="B3" s="141" t="s">
        <v>197</v>
      </c>
      <c r="C3" s="142">
        <v>275</v>
      </c>
      <c r="D3" s="142">
        <v>541</v>
      </c>
      <c r="E3" s="142">
        <v>734</v>
      </c>
      <c r="F3" s="142">
        <v>931</v>
      </c>
      <c r="G3" s="142">
        <v>1196</v>
      </c>
      <c r="H3" s="142">
        <v>1388</v>
      </c>
      <c r="I3" s="142">
        <v>1527</v>
      </c>
      <c r="J3" s="142">
        <v>1441</v>
      </c>
      <c r="K3" s="142">
        <v>1312</v>
      </c>
      <c r="L3" s="142">
        <v>1192</v>
      </c>
      <c r="M3" s="142">
        <v>940</v>
      </c>
      <c r="N3" s="142">
        <v>663</v>
      </c>
      <c r="O3" s="142">
        <v>468</v>
      </c>
      <c r="P3" s="142">
        <v>375</v>
      </c>
      <c r="Q3" s="142">
        <v>335</v>
      </c>
      <c r="R3" s="142">
        <v>299</v>
      </c>
      <c r="S3" s="142">
        <v>267</v>
      </c>
      <c r="T3" s="142">
        <v>227</v>
      </c>
    </row>
    <row r="4" spans="1:20">
      <c r="A4" s="141" t="s">
        <v>198</v>
      </c>
      <c r="B4" s="141" t="s">
        <v>199</v>
      </c>
      <c r="C4" s="142">
        <v>0</v>
      </c>
      <c r="D4" s="142">
        <v>0</v>
      </c>
      <c r="E4" s="142">
        <v>0</v>
      </c>
      <c r="F4" s="142">
        <v>0</v>
      </c>
      <c r="G4" s="142">
        <v>0</v>
      </c>
      <c r="H4" s="142">
        <v>0</v>
      </c>
      <c r="I4" s="142">
        <v>0</v>
      </c>
      <c r="J4" s="142">
        <v>256</v>
      </c>
      <c r="K4" s="142">
        <v>1603</v>
      </c>
      <c r="L4" s="142">
        <v>1578</v>
      </c>
      <c r="M4" s="142">
        <v>588</v>
      </c>
      <c r="N4" s="142">
        <v>382</v>
      </c>
      <c r="O4" s="142">
        <v>239</v>
      </c>
      <c r="P4" s="142">
        <v>150</v>
      </c>
      <c r="Q4" s="142">
        <v>95</v>
      </c>
      <c r="R4" s="142">
        <v>60</v>
      </c>
      <c r="S4" s="142">
        <v>39</v>
      </c>
      <c r="T4" s="142">
        <v>25</v>
      </c>
    </row>
    <row r="5" spans="1:20">
      <c r="A5" s="141" t="s">
        <v>200</v>
      </c>
      <c r="B5" s="141" t="s">
        <v>201</v>
      </c>
      <c r="C5" s="142">
        <v>1124</v>
      </c>
      <c r="D5" s="142">
        <v>1292</v>
      </c>
      <c r="E5" s="142">
        <v>1401</v>
      </c>
      <c r="F5" s="142">
        <v>1479</v>
      </c>
      <c r="G5" s="142">
        <v>1569</v>
      </c>
      <c r="H5" s="142">
        <v>1521</v>
      </c>
      <c r="I5" s="142">
        <v>1551</v>
      </c>
      <c r="J5" s="142">
        <v>1362</v>
      </c>
      <c r="K5" s="142">
        <v>1139</v>
      </c>
      <c r="L5" s="142">
        <v>912</v>
      </c>
      <c r="M5" s="142">
        <v>736</v>
      </c>
      <c r="N5" s="142">
        <v>339</v>
      </c>
      <c r="O5" s="142">
        <v>169</v>
      </c>
      <c r="P5" s="142">
        <v>93</v>
      </c>
      <c r="Q5" s="142">
        <v>68</v>
      </c>
      <c r="R5" s="142">
        <v>57</v>
      </c>
      <c r="S5" s="142">
        <v>47</v>
      </c>
      <c r="T5" s="142">
        <v>40</v>
      </c>
    </row>
    <row r="6" spans="1:20">
      <c r="A6" s="141" t="s">
        <v>202</v>
      </c>
      <c r="B6" s="141" t="s">
        <v>203</v>
      </c>
      <c r="C6" s="142">
        <v>956</v>
      </c>
      <c r="D6" s="142">
        <v>1149</v>
      </c>
      <c r="E6" s="142">
        <v>1277</v>
      </c>
      <c r="F6" s="142">
        <v>1368</v>
      </c>
      <c r="G6" s="142">
        <v>1485</v>
      </c>
      <c r="H6" s="142">
        <v>1527</v>
      </c>
      <c r="I6" s="142">
        <v>1614</v>
      </c>
      <c r="J6" s="142">
        <v>1444</v>
      </c>
      <c r="K6" s="142">
        <v>1252</v>
      </c>
      <c r="L6" s="142">
        <v>146</v>
      </c>
      <c r="M6" s="142">
        <v>112</v>
      </c>
      <c r="N6" s="142">
        <v>33</v>
      </c>
      <c r="O6" s="142">
        <v>17</v>
      </c>
      <c r="P6" s="142">
        <v>12</v>
      </c>
      <c r="Q6" s="142">
        <v>9</v>
      </c>
      <c r="R6" s="142">
        <v>7</v>
      </c>
      <c r="S6" s="142">
        <v>6</v>
      </c>
      <c r="T6" s="142">
        <v>5</v>
      </c>
    </row>
    <row r="7" spans="1:20">
      <c r="A7" s="141" t="s">
        <v>204</v>
      </c>
      <c r="B7" s="141" t="s">
        <v>205</v>
      </c>
      <c r="C7" s="142">
        <v>0</v>
      </c>
      <c r="D7" s="142">
        <v>0</v>
      </c>
      <c r="E7" s="142">
        <v>0</v>
      </c>
      <c r="F7" s="142">
        <v>0</v>
      </c>
      <c r="G7" s="142">
        <v>0</v>
      </c>
      <c r="H7" s="142">
        <v>0</v>
      </c>
      <c r="I7" s="142">
        <v>0</v>
      </c>
      <c r="J7" s="142">
        <v>0</v>
      </c>
      <c r="K7" s="142">
        <v>1080</v>
      </c>
      <c r="L7" s="142">
        <v>919</v>
      </c>
      <c r="M7" s="142">
        <v>548</v>
      </c>
      <c r="N7" s="142">
        <v>140</v>
      </c>
      <c r="O7" s="142">
        <v>85</v>
      </c>
      <c r="P7" s="142">
        <v>65</v>
      </c>
      <c r="Q7" s="142">
        <v>56</v>
      </c>
      <c r="R7" s="142">
        <v>50</v>
      </c>
      <c r="S7" s="142">
        <v>44</v>
      </c>
      <c r="T7" s="142">
        <v>38</v>
      </c>
    </row>
    <row r="8" spans="1:20">
      <c r="A8" s="141" t="s">
        <v>206</v>
      </c>
      <c r="B8" s="141" t="s">
        <v>207</v>
      </c>
      <c r="C8" s="142">
        <v>0</v>
      </c>
      <c r="D8" s="142">
        <v>0</v>
      </c>
      <c r="E8" s="142">
        <v>0</v>
      </c>
      <c r="F8" s="142">
        <v>0</v>
      </c>
      <c r="G8" s="142">
        <v>0</v>
      </c>
      <c r="H8" s="142">
        <v>0</v>
      </c>
      <c r="I8" s="142">
        <v>0</v>
      </c>
      <c r="J8" s="142">
        <v>0</v>
      </c>
      <c r="K8" s="142">
        <v>0</v>
      </c>
      <c r="L8" s="142">
        <v>0</v>
      </c>
      <c r="M8" s="142">
        <v>19</v>
      </c>
      <c r="N8" s="142">
        <v>24</v>
      </c>
      <c r="O8" s="142">
        <v>29</v>
      </c>
      <c r="P8" s="142">
        <v>34</v>
      </c>
      <c r="Q8" s="142">
        <v>38</v>
      </c>
      <c r="R8" s="142">
        <v>43</v>
      </c>
      <c r="S8" s="142">
        <v>48</v>
      </c>
      <c r="T8" s="142">
        <v>53</v>
      </c>
    </row>
    <row r="9" spans="1:20" s="143" customFormat="1">
      <c r="A9" s="143" t="str">
        <f>"Total "&amp;A2</f>
        <v>Total Virology</v>
      </c>
      <c r="C9" s="144">
        <f t="shared" ref="C9" si="0">SUM(C3:C8)</f>
        <v>2355</v>
      </c>
      <c r="D9" s="144">
        <f t="shared" ref="D9" si="1">SUM(D3:D8)</f>
        <v>2982</v>
      </c>
      <c r="E9" s="144">
        <f t="shared" ref="E9" si="2">SUM(E3:E8)</f>
        <v>3412</v>
      </c>
      <c r="F9" s="144">
        <f t="shared" ref="F9" si="3">SUM(F3:F8)</f>
        <v>3778</v>
      </c>
      <c r="G9" s="144">
        <f t="shared" ref="G9" si="4">SUM(G3:G8)</f>
        <v>4250</v>
      </c>
      <c r="H9" s="144">
        <f t="shared" ref="H9" si="5">SUM(H3:H8)</f>
        <v>4436</v>
      </c>
      <c r="I9" s="144">
        <f t="shared" ref="I9" si="6">SUM(I3:I8)</f>
        <v>4692</v>
      </c>
      <c r="J9" s="144">
        <f t="shared" ref="J9" si="7">SUM(J3:J8)</f>
        <v>4503</v>
      </c>
      <c r="K9" s="144">
        <f t="shared" ref="K9" si="8">SUM(K3:K8)</f>
        <v>6386</v>
      </c>
      <c r="L9" s="144">
        <f t="shared" ref="L9" si="9">SUM(L3:L8)</f>
        <v>4747</v>
      </c>
      <c r="M9" s="144">
        <f t="shared" ref="M9" si="10">SUM(M3:M8)</f>
        <v>2943</v>
      </c>
      <c r="N9" s="144">
        <f t="shared" ref="N9" si="11">SUM(N3:N8)</f>
        <v>1581</v>
      </c>
      <c r="O9" s="144">
        <f t="shared" ref="O9" si="12">SUM(O3:O8)</f>
        <v>1007</v>
      </c>
      <c r="P9" s="144">
        <f t="shared" ref="P9" si="13">SUM(P3:P8)</f>
        <v>729</v>
      </c>
      <c r="Q9" s="144">
        <f t="shared" ref="Q9" si="14">SUM(Q3:Q8)</f>
        <v>601</v>
      </c>
      <c r="R9" s="144">
        <f t="shared" ref="R9" si="15">SUM(R3:R8)</f>
        <v>516</v>
      </c>
      <c r="S9" s="144">
        <f t="shared" ref="S9" si="16">SUM(S3:S8)</f>
        <v>451</v>
      </c>
      <c r="T9" s="144">
        <f t="shared" ref="T9" si="17">SUM(T3:T8)</f>
        <v>388</v>
      </c>
    </row>
    <row r="10" spans="1:20" s="146" customFormat="1">
      <c r="A10" s="149" t="s">
        <v>138</v>
      </c>
      <c r="C10" s="147"/>
      <c r="D10" s="148">
        <f>D9/C9-1</f>
        <v>0.26624203821656045</v>
      </c>
      <c r="E10" s="148">
        <f t="shared" ref="E10:L10" si="18">E9/D9-1</f>
        <v>0.14419852448021464</v>
      </c>
      <c r="F10" s="148">
        <f t="shared" si="18"/>
        <v>0.10726846424384529</v>
      </c>
      <c r="G10" s="148">
        <f t="shared" si="18"/>
        <v>0.12493382742191628</v>
      </c>
      <c r="H10" s="148">
        <f t="shared" si="18"/>
        <v>4.3764705882352928E-2</v>
      </c>
      <c r="I10" s="148">
        <f t="shared" si="18"/>
        <v>5.7709648331830454E-2</v>
      </c>
      <c r="J10" s="148">
        <f t="shared" si="18"/>
        <v>-4.0281329923273712E-2</v>
      </c>
      <c r="K10" s="148">
        <f t="shared" si="18"/>
        <v>0.41816566733288929</v>
      </c>
      <c r="L10" s="148">
        <f t="shared" si="18"/>
        <v>-0.25665518321327907</v>
      </c>
      <c r="M10" s="148">
        <f t="shared" ref="M10" si="19">M9/L9-1</f>
        <v>-0.38002949231093319</v>
      </c>
      <c r="N10" s="148">
        <f t="shared" ref="N10" si="20">N9/M9-1</f>
        <v>-0.46279306829765543</v>
      </c>
      <c r="O10" s="148">
        <f t="shared" ref="O10" si="21">O9/N9-1</f>
        <v>-0.36306135357368752</v>
      </c>
      <c r="P10" s="148">
        <f t="shared" ref="P10" si="22">P9/O9-1</f>
        <v>-0.2760675273088381</v>
      </c>
      <c r="Q10" s="148">
        <f t="shared" ref="Q10" si="23">Q9/P9-1</f>
        <v>-0.17558299039780523</v>
      </c>
      <c r="R10" s="148">
        <f t="shared" ref="R10" si="24">R9/Q9-1</f>
        <v>-0.14143094841930115</v>
      </c>
      <c r="S10" s="148">
        <f t="shared" ref="S10" si="25">S9/R9-1</f>
        <v>-0.12596899224806202</v>
      </c>
      <c r="T10" s="148">
        <f t="shared" ref="T10" si="26">T9/S9-1</f>
        <v>-0.13968957871396892</v>
      </c>
    </row>
    <row r="11" spans="1:20" s="146" customFormat="1">
      <c r="A11" s="149" t="s">
        <v>139</v>
      </c>
      <c r="C11" s="147"/>
      <c r="D11" s="147"/>
      <c r="E11" s="147"/>
      <c r="F11" s="148">
        <f>SUM(D9:F9)/SUM(C9:E9)-1</f>
        <v>0.16264715967539156</v>
      </c>
      <c r="G11" s="148">
        <f>SUM(E9:G9)/SUM(D9:F9)-1</f>
        <v>0.1246559182068423</v>
      </c>
      <c r="H11" s="148">
        <f t="shared" ref="H11:L11" si="27">SUM(F9:H9)/SUM(E9:G9)-1</f>
        <v>8.9510489510489455E-2</v>
      </c>
      <c r="I11" s="148">
        <f t="shared" si="27"/>
        <v>7.3331193838254149E-2</v>
      </c>
      <c r="J11" s="148">
        <f t="shared" si="27"/>
        <v>1.8911645985947079E-2</v>
      </c>
      <c r="K11" s="148">
        <f t="shared" si="27"/>
        <v>0.14305626879906086</v>
      </c>
      <c r="L11" s="148">
        <f t="shared" si="27"/>
        <v>3.5299403119184447E-3</v>
      </c>
      <c r="M11" s="148">
        <f t="shared" ref="M11" si="28">SUM(K9:M9)/SUM(J9:L9)-1</f>
        <v>-9.9769762087490443E-2</v>
      </c>
      <c r="N11" s="148">
        <f t="shared" ref="N11" si="29">SUM(L9:N9)/SUM(K9:M9)-1</f>
        <v>-0.341361182154021</v>
      </c>
      <c r="O11" s="148">
        <f t="shared" ref="O11" si="30">SUM(M9:O9)/SUM(L9:N9)-1</f>
        <v>-0.40340847804983282</v>
      </c>
      <c r="P11" s="148">
        <f t="shared" ref="P11" si="31">SUM(N9:P9)/SUM(M9:O9)-1</f>
        <v>-0.40028927861146268</v>
      </c>
      <c r="Q11" s="148">
        <f t="shared" ref="Q11" si="32">SUM(O9:Q9)/SUM(N9:P9)-1</f>
        <v>-0.29544769369912571</v>
      </c>
      <c r="R11" s="148">
        <f t="shared" ref="R11" si="33">SUM(P9:R9)/SUM(O9:Q9)-1</f>
        <v>-0.21009841677364138</v>
      </c>
      <c r="S11" s="148">
        <f t="shared" ref="S11" si="34">SUM(Q9:S9)/SUM(P9:R9)-1</f>
        <v>-0.15059588299024917</v>
      </c>
      <c r="T11" s="148">
        <f t="shared" ref="T11" si="35">SUM(R9:T9)/SUM(Q9:S9)-1</f>
        <v>-0.13584183673469385</v>
      </c>
    </row>
    <row r="12" spans="1:20" s="146" customFormat="1">
      <c r="A12" s="149" t="s">
        <v>133</v>
      </c>
      <c r="C12" s="147"/>
      <c r="D12" s="147"/>
      <c r="E12" s="147"/>
      <c r="F12" s="147"/>
      <c r="G12" s="147"/>
      <c r="H12" s="148">
        <f>SUM(D9:H9)/SUM(C9:G9)-1</f>
        <v>0.12403886272873588</v>
      </c>
      <c r="I12" s="148">
        <f t="shared" ref="I12:L12" si="36">SUM(E9:I9)/SUM(D9:H9)-1</f>
        <v>9.067769646834245E-2</v>
      </c>
      <c r="J12" s="148">
        <f t="shared" si="36"/>
        <v>5.3043562816024847E-2</v>
      </c>
      <c r="K12" s="148">
        <f t="shared" si="36"/>
        <v>0.120411838034997</v>
      </c>
      <c r="L12" s="148">
        <f t="shared" si="36"/>
        <v>2.0480487905385925E-2</v>
      </c>
      <c r="M12" s="148">
        <f t="shared" ref="M12" si="37">SUM(I9:M9)/SUM(H9:L9)-1</f>
        <v>-6.0289129381359996E-2</v>
      </c>
      <c r="N12" s="148">
        <f t="shared" ref="N12" si="38">SUM(J9:N9)/SUM(I9:M9)-1</f>
        <v>-0.13368570323578699</v>
      </c>
      <c r="O12" s="148">
        <f t="shared" ref="O12" si="39">SUM(K9:O9)/SUM(J9:N9)-1</f>
        <v>-0.17341269841269846</v>
      </c>
      <c r="P12" s="148">
        <f t="shared" ref="P12" si="40">SUM(L9:P9)/SUM(K9:O9)-1</f>
        <v>-0.33947431589054244</v>
      </c>
      <c r="Q12" s="148">
        <f t="shared" ref="Q12" si="41">SUM(M9:Q9)/SUM(L9:P9)-1</f>
        <v>-0.37666939220496043</v>
      </c>
      <c r="R12" s="148">
        <f t="shared" ref="R12" si="42">SUM(N9:R9)/SUM(M9:Q9)-1</f>
        <v>-0.35373852208132928</v>
      </c>
      <c r="S12" s="148">
        <f t="shared" ref="S12" si="43">SUM(O9:S9)/SUM(N9:R9)-1</f>
        <v>-0.25484889490302209</v>
      </c>
      <c r="T12" s="148">
        <f t="shared" ref="T12" si="44">SUM(P9:T9)/SUM(O9:S9)-1</f>
        <v>-0.18734866828087171</v>
      </c>
    </row>
    <row r="13" spans="1:20">
      <c r="K13" s="142"/>
      <c r="L13" s="142"/>
      <c r="M13" s="142"/>
      <c r="N13" s="142"/>
      <c r="O13" s="142"/>
      <c r="P13" s="142"/>
      <c r="Q13" s="142"/>
      <c r="R13" s="142"/>
      <c r="S13" s="142"/>
      <c r="T13" s="142"/>
    </row>
    <row r="14" spans="1:20">
      <c r="A14" s="140" t="s">
        <v>208</v>
      </c>
      <c r="B14" s="140"/>
      <c r="C14" s="140"/>
      <c r="D14" s="140"/>
      <c r="E14" s="140"/>
      <c r="F14" s="140"/>
      <c r="G14" s="140"/>
      <c r="H14" s="140"/>
      <c r="I14" s="140"/>
      <c r="J14" s="140"/>
      <c r="K14" s="142"/>
      <c r="L14" s="142"/>
      <c r="M14" s="178" t="s">
        <v>247</v>
      </c>
      <c r="N14" s="178"/>
      <c r="O14" s="178"/>
      <c r="P14" s="178"/>
      <c r="Q14" s="178"/>
      <c r="R14" s="178"/>
      <c r="S14" s="178"/>
      <c r="T14" s="178"/>
    </row>
    <row r="15" spans="1:20">
      <c r="A15" s="141" t="s">
        <v>209</v>
      </c>
      <c r="B15" s="141" t="s">
        <v>210</v>
      </c>
      <c r="C15" s="142">
        <v>0</v>
      </c>
      <c r="D15" s="142">
        <v>0</v>
      </c>
      <c r="E15" s="142">
        <v>0</v>
      </c>
      <c r="F15" s="142">
        <v>0</v>
      </c>
      <c r="G15" s="142">
        <v>0</v>
      </c>
      <c r="H15" s="142">
        <v>0</v>
      </c>
      <c r="I15" s="142">
        <v>0</v>
      </c>
      <c r="J15" s="142">
        <v>0</v>
      </c>
      <c r="K15" s="142">
        <v>3</v>
      </c>
      <c r="L15" s="142">
        <v>150</v>
      </c>
      <c r="M15" s="142">
        <v>289</v>
      </c>
      <c r="N15" s="142">
        <v>415</v>
      </c>
      <c r="O15" s="142">
        <v>500</v>
      </c>
      <c r="P15" s="142">
        <v>600</v>
      </c>
      <c r="Q15" s="142">
        <v>700</v>
      </c>
      <c r="R15" s="142">
        <v>750</v>
      </c>
      <c r="S15" s="142">
        <v>800</v>
      </c>
      <c r="T15" s="142">
        <v>850</v>
      </c>
    </row>
    <row r="16" spans="1:20">
      <c r="A16" s="141" t="s">
        <v>211</v>
      </c>
      <c r="C16" s="142">
        <v>692</v>
      </c>
      <c r="D16" s="142">
        <v>749</v>
      </c>
      <c r="E16" s="142">
        <v>683</v>
      </c>
      <c r="F16" s="142">
        <v>662</v>
      </c>
      <c r="G16" s="142">
        <v>691</v>
      </c>
      <c r="H16" s="142">
        <v>702</v>
      </c>
      <c r="I16" s="142">
        <v>696</v>
      </c>
      <c r="J16" s="142">
        <v>723</v>
      </c>
      <c r="K16" s="142">
        <v>501</v>
      </c>
      <c r="L16" s="142">
        <v>0</v>
      </c>
      <c r="M16" s="142">
        <v>0</v>
      </c>
      <c r="N16" s="142">
        <v>0</v>
      </c>
      <c r="O16" s="142">
        <v>0</v>
      </c>
      <c r="P16" s="142">
        <v>0</v>
      </c>
      <c r="Q16" s="142">
        <v>0</v>
      </c>
      <c r="R16" s="142">
        <v>0</v>
      </c>
      <c r="S16" s="142">
        <v>0</v>
      </c>
      <c r="T16" s="142">
        <v>0</v>
      </c>
    </row>
    <row r="17" spans="1:20">
      <c r="A17" s="141" t="s">
        <v>212</v>
      </c>
      <c r="B17" s="141" t="s">
        <v>213</v>
      </c>
      <c r="C17" s="142">
        <v>0</v>
      </c>
      <c r="D17" s="142">
        <v>0</v>
      </c>
      <c r="E17" s="142">
        <v>0</v>
      </c>
      <c r="F17" s="142">
        <v>0</v>
      </c>
      <c r="G17" s="142">
        <v>0</v>
      </c>
      <c r="H17" s="142">
        <v>0</v>
      </c>
      <c r="I17" s="142">
        <v>0</v>
      </c>
      <c r="J17" s="142">
        <v>6</v>
      </c>
      <c r="K17" s="142">
        <v>942</v>
      </c>
      <c r="L17" s="142">
        <v>3774</v>
      </c>
      <c r="M17" s="142">
        <v>4495</v>
      </c>
      <c r="N17" s="142">
        <v>4575</v>
      </c>
      <c r="O17" s="142">
        <v>5211</v>
      </c>
      <c r="P17" s="142">
        <v>5836</v>
      </c>
      <c r="Q17" s="142">
        <v>6420</v>
      </c>
      <c r="R17" s="142">
        <v>6741</v>
      </c>
      <c r="S17" s="142">
        <v>7078</v>
      </c>
      <c r="T17" s="142">
        <v>7361</v>
      </c>
    </row>
    <row r="18" spans="1:20">
      <c r="A18" s="141" t="s">
        <v>214</v>
      </c>
      <c r="B18" s="141" t="s">
        <v>215</v>
      </c>
      <c r="C18" s="142">
        <v>158</v>
      </c>
      <c r="D18" s="142">
        <v>310</v>
      </c>
      <c r="E18" s="142">
        <v>421</v>
      </c>
      <c r="F18" s="142">
        <v>576</v>
      </c>
      <c r="G18" s="142">
        <v>803</v>
      </c>
      <c r="H18" s="142">
        <v>1019</v>
      </c>
      <c r="I18" s="142">
        <v>1280</v>
      </c>
      <c r="J18" s="142">
        <v>1493</v>
      </c>
      <c r="K18" s="142">
        <v>1620</v>
      </c>
      <c r="L18" s="142">
        <v>1824</v>
      </c>
      <c r="M18" s="142">
        <v>1914</v>
      </c>
      <c r="N18" s="142">
        <v>1725</v>
      </c>
      <c r="O18" s="142">
        <v>1475</v>
      </c>
      <c r="P18" s="142">
        <v>1001</v>
      </c>
      <c r="Q18" s="142">
        <v>631</v>
      </c>
      <c r="R18" s="142">
        <v>430</v>
      </c>
      <c r="S18" s="142">
        <v>318</v>
      </c>
      <c r="T18" s="142">
        <v>268</v>
      </c>
    </row>
    <row r="19" spans="1:20">
      <c r="A19" s="141" t="s">
        <v>216</v>
      </c>
      <c r="B19" s="141" t="s">
        <v>217</v>
      </c>
      <c r="C19" s="142">
        <v>0</v>
      </c>
      <c r="D19" s="142">
        <v>0</v>
      </c>
      <c r="E19" s="142">
        <v>0</v>
      </c>
      <c r="F19" s="142">
        <v>0</v>
      </c>
      <c r="G19" s="142">
        <v>360</v>
      </c>
      <c r="H19" s="142">
        <v>706</v>
      </c>
      <c r="I19" s="142">
        <v>960</v>
      </c>
      <c r="J19" s="142">
        <v>1308</v>
      </c>
      <c r="K19" s="142">
        <v>1126</v>
      </c>
      <c r="L19" s="142">
        <v>1053</v>
      </c>
      <c r="M19" s="142">
        <v>1273</v>
      </c>
      <c r="N19" s="142">
        <v>1146</v>
      </c>
      <c r="O19" s="142">
        <v>1317</v>
      </c>
      <c r="P19" s="142">
        <v>1475</v>
      </c>
      <c r="Q19" s="142">
        <v>1623</v>
      </c>
      <c r="R19" s="142">
        <v>1753</v>
      </c>
      <c r="S19" s="142">
        <v>1858</v>
      </c>
      <c r="T19" s="142">
        <v>1932</v>
      </c>
    </row>
    <row r="20" spans="1:20" s="143" customFormat="1">
      <c r="A20" s="143" t="str">
        <f>"Total "&amp;A14</f>
        <v>Total Oncology</v>
      </c>
      <c r="C20" s="144">
        <f t="shared" ref="C20:H20" si="45">SUM(C15:C19)</f>
        <v>850</v>
      </c>
      <c r="D20" s="144">
        <f t="shared" si="45"/>
        <v>1059</v>
      </c>
      <c r="E20" s="144">
        <f t="shared" si="45"/>
        <v>1104</v>
      </c>
      <c r="F20" s="144">
        <f t="shared" si="45"/>
        <v>1238</v>
      </c>
      <c r="G20" s="144">
        <f t="shared" si="45"/>
        <v>1854</v>
      </c>
      <c r="H20" s="144">
        <f t="shared" si="45"/>
        <v>2427</v>
      </c>
      <c r="I20" s="144">
        <f>SUM(I15:I19)</f>
        <v>2936</v>
      </c>
      <c r="J20" s="144">
        <f t="shared" ref="J20:T20" si="46">SUM(J15:J19)</f>
        <v>3530</v>
      </c>
      <c r="K20" s="144">
        <f t="shared" si="46"/>
        <v>4192</v>
      </c>
      <c r="L20" s="144">
        <f t="shared" si="46"/>
        <v>6801</v>
      </c>
      <c r="M20" s="144">
        <f t="shared" si="46"/>
        <v>7971</v>
      </c>
      <c r="N20" s="144">
        <f t="shared" si="46"/>
        <v>7861</v>
      </c>
      <c r="O20" s="144">
        <f t="shared" si="46"/>
        <v>8503</v>
      </c>
      <c r="P20" s="144">
        <f t="shared" si="46"/>
        <v>8912</v>
      </c>
      <c r="Q20" s="144">
        <f t="shared" si="46"/>
        <v>9374</v>
      </c>
      <c r="R20" s="144">
        <f t="shared" si="46"/>
        <v>9674</v>
      </c>
      <c r="S20" s="144">
        <f t="shared" si="46"/>
        <v>10054</v>
      </c>
      <c r="T20" s="144">
        <f t="shared" si="46"/>
        <v>10411</v>
      </c>
    </row>
    <row r="21" spans="1:20" s="146" customFormat="1">
      <c r="A21" s="149" t="s">
        <v>138</v>
      </c>
      <c r="C21" s="147"/>
      <c r="D21" s="148">
        <f>D20/C20-1</f>
        <v>0.24588235294117644</v>
      </c>
      <c r="E21" s="148">
        <f t="shared" ref="E21" si="47">E20/D20-1</f>
        <v>4.2492917847025469E-2</v>
      </c>
      <c r="F21" s="148">
        <f t="shared" ref="F21" si="48">F20/E20-1</f>
        <v>0.12137681159420288</v>
      </c>
      <c r="G21" s="148">
        <f t="shared" ref="G21" si="49">G20/F20-1</f>
        <v>0.4975767366720516</v>
      </c>
      <c r="H21" s="148">
        <f t="shared" ref="H21" si="50">H20/G20-1</f>
        <v>0.3090614886731391</v>
      </c>
      <c r="I21" s="148">
        <f t="shared" ref="I21" si="51">I20/H20-1</f>
        <v>0.20972393901936548</v>
      </c>
      <c r="J21" s="148">
        <f t="shared" ref="J21" si="52">J20/I20-1</f>
        <v>0.20231607629427795</v>
      </c>
      <c r="K21" s="148">
        <f t="shared" ref="K21" si="53">K20/J20-1</f>
        <v>0.18753541076487257</v>
      </c>
      <c r="L21" s="148">
        <f t="shared" ref="L21" si="54">L20/K20-1</f>
        <v>0.62237595419847325</v>
      </c>
      <c r="M21" s="148">
        <f t="shared" ref="M21" si="55">M20/L20-1</f>
        <v>0.17203352448169396</v>
      </c>
      <c r="N21" s="148">
        <f t="shared" ref="N21" si="56">N20/M20-1</f>
        <v>-1.3800025090954682E-2</v>
      </c>
      <c r="O21" s="148">
        <f t="shared" ref="O21" si="57">O20/N20-1</f>
        <v>8.1668998855107588E-2</v>
      </c>
      <c r="P21" s="148">
        <f t="shared" ref="P21" si="58">P20/O20-1</f>
        <v>4.8100670351640673E-2</v>
      </c>
      <c r="Q21" s="148">
        <f t="shared" ref="Q21" si="59">Q20/P20-1</f>
        <v>5.1840215439856285E-2</v>
      </c>
      <c r="R21" s="148">
        <f t="shared" ref="R21" si="60">R20/Q20-1</f>
        <v>3.2003413697460958E-2</v>
      </c>
      <c r="S21" s="148">
        <f t="shared" ref="S21" si="61">S20/R20-1</f>
        <v>3.9280545792846899E-2</v>
      </c>
      <c r="T21" s="148">
        <f t="shared" ref="T21" si="62">T20/S20-1</f>
        <v>3.5508255420727997E-2</v>
      </c>
    </row>
    <row r="22" spans="1:20" s="146" customFormat="1">
      <c r="A22" s="149" t="s">
        <v>139</v>
      </c>
      <c r="C22" s="147"/>
      <c r="D22" s="147"/>
      <c r="E22" s="147"/>
      <c r="F22" s="148">
        <f>SUM(D20:F20)/SUM(C20:E20)-1</f>
        <v>0.12877530700298712</v>
      </c>
      <c r="G22" s="148">
        <f>SUM(E20:G20)/SUM(D20:F20)-1</f>
        <v>0.2337547780064686</v>
      </c>
      <c r="H22" s="148">
        <f t="shared" ref="H22" si="63">SUM(F20:H20)/SUM(E20:G20)-1</f>
        <v>0.31530028598665405</v>
      </c>
      <c r="I22" s="148">
        <f t="shared" ref="I22" si="64">SUM(G20:I20)/SUM(F20:H20)-1</f>
        <v>0.30766443196231208</v>
      </c>
      <c r="J22" s="148">
        <f t="shared" ref="J22" si="65">SUM(H20:J20)/SUM(G20:I20)-1</f>
        <v>0.23222945822363861</v>
      </c>
      <c r="K22" s="148">
        <f t="shared" ref="K22" si="66">SUM(I20:K20)/SUM(H20:J20)-1</f>
        <v>0.19847070729787464</v>
      </c>
      <c r="L22" s="148">
        <f t="shared" ref="L22" si="67">SUM(J20:L20)/SUM(I20:K20)-1</f>
        <v>0.36263839369487716</v>
      </c>
      <c r="M22" s="148">
        <f t="shared" ref="M22" si="68">SUM(K20:M20)/SUM(J20:L20)-1</f>
        <v>0.30579081456999235</v>
      </c>
      <c r="N22" s="148">
        <f t="shared" ref="N22" si="69">SUM(L20:N20)/SUM(K20:M20)-1</f>
        <v>0.19347184138367424</v>
      </c>
      <c r="O22" s="148">
        <f t="shared" ref="O22" si="70">SUM(M20:O20)/SUM(L20:N20)-1</f>
        <v>7.5199929306764446E-2</v>
      </c>
      <c r="P22" s="148">
        <f t="shared" ref="P22" si="71">SUM(N20:P20)/SUM(M20:O20)-1</f>
        <v>3.8668584343538148E-2</v>
      </c>
      <c r="Q22" s="148">
        <f t="shared" ref="Q22" si="72">SUM(O20:Q20)/SUM(N20:P20)-1</f>
        <v>5.9859154929577496E-2</v>
      </c>
      <c r="R22" s="148">
        <f t="shared" ref="R22" si="73">SUM(P20:R20)/SUM(O20:Q20)-1</f>
        <v>4.3711971331516608E-2</v>
      </c>
      <c r="S22" s="148">
        <f t="shared" ref="S22" si="74">SUM(Q20:S20)/SUM(P20:R20)-1</f>
        <v>4.0844062947067217E-2</v>
      </c>
      <c r="T22" s="148">
        <f t="shared" ref="T22" si="75">SUM(R20:T20)/SUM(Q20:S20)-1</f>
        <v>3.5633289808260526E-2</v>
      </c>
    </row>
    <row r="23" spans="1:20" s="146" customFormat="1">
      <c r="A23" s="149" t="s">
        <v>133</v>
      </c>
      <c r="C23" s="147"/>
      <c r="D23" s="147"/>
      <c r="E23" s="147"/>
      <c r="F23" s="147"/>
      <c r="G23" s="147"/>
      <c r="H23" s="148">
        <f>SUM(D20:H20)/SUM(C20:G20)-1</f>
        <v>0.25831285831285822</v>
      </c>
      <c r="I23" s="148">
        <f t="shared" ref="I23" si="76">SUM(E20:I20)/SUM(D20:H20)-1</f>
        <v>0.24433741213225724</v>
      </c>
      <c r="J23" s="148">
        <f t="shared" ref="J23" si="77">SUM(F20:J20)/SUM(E20:I20)-1</f>
        <v>0.25379223768176584</v>
      </c>
      <c r="K23" s="148">
        <f t="shared" ref="K23" si="78">SUM(G20:K20)/SUM(F20:J20)-1</f>
        <v>0.24647476011681269</v>
      </c>
      <c r="L23" s="148">
        <f t="shared" ref="L23" si="79">SUM(H20:L20)/SUM(G20:K20)-1</f>
        <v>0.33114666309659291</v>
      </c>
      <c r="M23" s="148">
        <f t="shared" ref="M23" si="80">SUM(I20:M20)/SUM(H20:L20)-1</f>
        <v>0.27878909785778938</v>
      </c>
      <c r="N23" s="148">
        <f t="shared" ref="N23" si="81">SUM(J20:N20)/SUM(I20:M20)-1</f>
        <v>0.19366889500589846</v>
      </c>
      <c r="O23" s="148">
        <f t="shared" ref="O23" si="82">SUM(K20:O20)/SUM(J20:N20)-1</f>
        <v>0.163828034920112</v>
      </c>
      <c r="P23" s="148">
        <f t="shared" ref="P23" si="83">SUM(L20:P20)/SUM(K20:O20)-1</f>
        <v>0.13360507246376807</v>
      </c>
      <c r="Q23" s="148">
        <f t="shared" ref="Q23" si="84">SUM(M20:Q20)/SUM(L20:P20)-1</f>
        <v>6.4247902516979538E-2</v>
      </c>
      <c r="R23" s="148">
        <f t="shared" ref="R23" si="85">SUM(N20:R20)/SUM(M20:Q20)-1</f>
        <v>3.9956828793317856E-2</v>
      </c>
      <c r="S23" s="148">
        <f t="shared" ref="S23" si="86">SUM(O20:S20)/SUM(N20:R20)-1</f>
        <v>4.947658153596235E-2</v>
      </c>
      <c r="T23" s="148">
        <f t="shared" ref="T23" si="87">SUM(P20:T20)/SUM(O20:S20)-1</f>
        <v>4.101726250618043E-2</v>
      </c>
    </row>
    <row r="24" spans="1:20">
      <c r="K24" s="142"/>
      <c r="L24" s="142"/>
      <c r="M24" s="142"/>
      <c r="N24" s="142"/>
      <c r="O24" s="142"/>
      <c r="P24" s="142"/>
      <c r="Q24" s="142"/>
      <c r="R24" s="142"/>
      <c r="S24" s="142"/>
      <c r="T24" s="142"/>
    </row>
    <row r="25" spans="1:20">
      <c r="A25" s="140" t="s">
        <v>235</v>
      </c>
      <c r="K25" s="142"/>
      <c r="L25" s="142"/>
      <c r="M25" s="178" t="s">
        <v>247</v>
      </c>
      <c r="N25" s="178"/>
      <c r="O25" s="178"/>
      <c r="P25" s="178"/>
      <c r="Q25" s="178"/>
      <c r="R25" s="178"/>
      <c r="S25" s="178"/>
      <c r="T25" s="178"/>
    </row>
    <row r="26" spans="1:20">
      <c r="A26" s="141" t="s">
        <v>228</v>
      </c>
      <c r="C26" s="142">
        <v>0</v>
      </c>
      <c r="D26" s="142">
        <v>0</v>
      </c>
      <c r="E26" s="142">
        <v>0</v>
      </c>
      <c r="F26" s="142">
        <v>0</v>
      </c>
      <c r="G26" s="142">
        <v>0</v>
      </c>
      <c r="H26" s="142">
        <v>78</v>
      </c>
      <c r="I26" s="141">
        <v>298</v>
      </c>
      <c r="K26" s="142"/>
      <c r="L26" s="142"/>
      <c r="M26" s="142"/>
      <c r="N26" s="142"/>
      <c r="O26" s="142"/>
      <c r="P26" s="142"/>
      <c r="Q26" s="142"/>
      <c r="R26" s="142"/>
      <c r="S26" s="142"/>
      <c r="T26" s="142"/>
    </row>
    <row r="27" spans="1:20">
      <c r="A27" s="141" t="s">
        <v>229</v>
      </c>
      <c r="C27" s="142">
        <v>0</v>
      </c>
      <c r="D27" s="142">
        <v>0</v>
      </c>
      <c r="E27" s="142">
        <v>0</v>
      </c>
      <c r="F27" s="142">
        <v>0</v>
      </c>
      <c r="G27" s="142">
        <v>0</v>
      </c>
      <c r="H27" s="142">
        <v>149</v>
      </c>
      <c r="I27" s="141">
        <v>400</v>
      </c>
      <c r="K27" s="142"/>
      <c r="L27" s="142"/>
      <c r="M27" s="142"/>
      <c r="N27" s="142"/>
      <c r="O27" s="142"/>
      <c r="P27" s="142"/>
      <c r="Q27" s="142"/>
      <c r="R27" s="142"/>
      <c r="S27" s="142"/>
      <c r="T27" s="142"/>
    </row>
    <row r="28" spans="1:20">
      <c r="A28" s="141" t="s">
        <v>230</v>
      </c>
      <c r="C28" s="142">
        <v>0</v>
      </c>
      <c r="D28" s="142">
        <v>0</v>
      </c>
      <c r="E28" s="142">
        <v>0</v>
      </c>
      <c r="F28" s="142">
        <v>0</v>
      </c>
      <c r="G28" s="142">
        <v>0</v>
      </c>
      <c r="H28" s="142">
        <v>0</v>
      </c>
      <c r="I28" s="141">
        <v>23</v>
      </c>
      <c r="K28" s="142"/>
      <c r="L28" s="142"/>
      <c r="M28" s="142"/>
      <c r="N28" s="142"/>
      <c r="O28" s="142"/>
      <c r="P28" s="142"/>
      <c r="Q28" s="142"/>
      <c r="R28" s="142"/>
      <c r="S28" s="142"/>
      <c r="T28" s="142"/>
    </row>
    <row r="29" spans="1:20">
      <c r="A29" s="141" t="s">
        <v>231</v>
      </c>
      <c r="C29" s="142">
        <v>0</v>
      </c>
      <c r="D29" s="142">
        <v>0</v>
      </c>
      <c r="E29" s="141">
        <v>24</v>
      </c>
      <c r="F29" s="142">
        <v>158</v>
      </c>
      <c r="G29" s="142">
        <v>473</v>
      </c>
      <c r="H29" s="142">
        <v>709</v>
      </c>
      <c r="I29" s="141">
        <v>877</v>
      </c>
      <c r="K29" s="142"/>
      <c r="L29" s="142"/>
      <c r="M29" s="142"/>
      <c r="N29" s="142"/>
      <c r="O29" s="142"/>
      <c r="P29" s="142"/>
      <c r="Q29" s="142"/>
      <c r="R29" s="142"/>
      <c r="S29" s="142"/>
      <c r="T29" s="142"/>
    </row>
    <row r="30" spans="1:20">
      <c r="A30" s="143" t="str">
        <f>"Total "&amp;A25</f>
        <v>Total Metabolics / Diabetes</v>
      </c>
      <c r="B30" s="143"/>
      <c r="C30" s="144">
        <f t="shared" ref="C30:E30" si="88">SUM(C26:C29)</f>
        <v>0</v>
      </c>
      <c r="D30" s="144">
        <f t="shared" si="88"/>
        <v>0</v>
      </c>
      <c r="E30" s="144">
        <f t="shared" si="88"/>
        <v>24</v>
      </c>
      <c r="F30" s="144">
        <f>SUM(F26:F29)</f>
        <v>158</v>
      </c>
      <c r="G30" s="144">
        <f t="shared" ref="G30:T30" si="89">SUM(G26:G29)</f>
        <v>473</v>
      </c>
      <c r="H30" s="144">
        <f t="shared" si="89"/>
        <v>936</v>
      </c>
      <c r="I30" s="144">
        <f t="shared" si="89"/>
        <v>1598</v>
      </c>
      <c r="J30" s="144">
        <f t="shared" si="89"/>
        <v>0</v>
      </c>
      <c r="K30" s="144">
        <f t="shared" si="89"/>
        <v>0</v>
      </c>
      <c r="L30" s="144">
        <f t="shared" si="89"/>
        <v>0</v>
      </c>
      <c r="M30" s="144">
        <f t="shared" si="89"/>
        <v>0</v>
      </c>
      <c r="N30" s="144">
        <f t="shared" si="89"/>
        <v>0</v>
      </c>
      <c r="O30" s="144">
        <f t="shared" si="89"/>
        <v>0</v>
      </c>
      <c r="P30" s="144">
        <f t="shared" si="89"/>
        <v>0</v>
      </c>
      <c r="Q30" s="144">
        <f t="shared" si="89"/>
        <v>0</v>
      </c>
      <c r="R30" s="144">
        <f t="shared" si="89"/>
        <v>0</v>
      </c>
      <c r="S30" s="144">
        <f t="shared" si="89"/>
        <v>0</v>
      </c>
      <c r="T30" s="144">
        <f t="shared" si="89"/>
        <v>0</v>
      </c>
    </row>
    <row r="31" spans="1:20" s="146" customFormat="1">
      <c r="A31" s="149" t="s">
        <v>138</v>
      </c>
      <c r="C31" s="147"/>
      <c r="D31" s="148"/>
      <c r="E31" s="148"/>
      <c r="F31" s="148">
        <f t="shared" ref="F31" si="90">F30/E30-1</f>
        <v>5.583333333333333</v>
      </c>
      <c r="G31" s="148">
        <f t="shared" ref="G31" si="91">G30/F30-1</f>
        <v>1.9936708860759493</v>
      </c>
      <c r="H31" s="148">
        <f t="shared" ref="H31" si="92">H30/G30-1</f>
        <v>0.97885835095137419</v>
      </c>
      <c r="I31" s="148">
        <f t="shared" ref="I31" si="93">I30/H30-1</f>
        <v>0.70726495726495719</v>
      </c>
      <c r="J31" s="148"/>
      <c r="K31" s="148"/>
      <c r="L31" s="148"/>
      <c r="M31" s="147"/>
      <c r="N31" s="147"/>
      <c r="O31" s="147"/>
      <c r="P31" s="147"/>
      <c r="Q31" s="147"/>
      <c r="R31" s="147"/>
      <c r="S31" s="147"/>
      <c r="T31" s="147"/>
    </row>
    <row r="32" spans="1:20" s="146" customFormat="1">
      <c r="A32" s="149" t="s">
        <v>139</v>
      </c>
      <c r="C32" s="147"/>
      <c r="D32" s="147"/>
      <c r="E32" s="147"/>
      <c r="F32" s="148">
        <f>SUM(D30:F30)/SUM(C30:E30)-1</f>
        <v>6.583333333333333</v>
      </c>
      <c r="G32" s="148">
        <f>SUM(E30:G30)/SUM(D30:F30)-1</f>
        <v>2.598901098901099</v>
      </c>
      <c r="H32" s="148">
        <f t="shared" ref="H32" si="94">SUM(F30:H30)/SUM(E30:G30)-1</f>
        <v>1.3923664122137405</v>
      </c>
      <c r="I32" s="148">
        <f t="shared" ref="I32" si="95">SUM(G30:I30)/SUM(F30:H30)-1</f>
        <v>0.91895341416719845</v>
      </c>
      <c r="J32" s="148"/>
      <c r="K32" s="148"/>
      <c r="L32" s="148"/>
      <c r="M32" s="147"/>
      <c r="N32" s="147"/>
      <c r="O32" s="147"/>
      <c r="P32" s="147"/>
      <c r="Q32" s="147"/>
      <c r="R32" s="147"/>
      <c r="S32" s="147"/>
      <c r="T32" s="147"/>
    </row>
    <row r="33" spans="1:20" s="146" customFormat="1">
      <c r="A33" s="149" t="s">
        <v>133</v>
      </c>
      <c r="C33" s="147"/>
      <c r="D33" s="147"/>
      <c r="E33" s="147"/>
      <c r="F33" s="147"/>
      <c r="G33" s="147"/>
      <c r="H33" s="148">
        <f>SUM(D30:H30)/SUM(C30:G30)-1</f>
        <v>1.4290076335877862</v>
      </c>
      <c r="I33" s="148">
        <f t="shared" ref="I33" si="96">SUM(E30:I30)/SUM(D30:H30)-1</f>
        <v>1.0043997485857949</v>
      </c>
      <c r="J33" s="148"/>
      <c r="K33" s="148"/>
      <c r="L33" s="148"/>
      <c r="M33" s="147"/>
      <c r="N33" s="147"/>
      <c r="O33" s="147"/>
      <c r="P33" s="147"/>
      <c r="Q33" s="147"/>
      <c r="R33" s="147"/>
      <c r="S33" s="147"/>
      <c r="T33" s="147"/>
    </row>
    <row r="34" spans="1:20">
      <c r="K34" s="142"/>
      <c r="L34" s="142"/>
      <c r="M34" s="142"/>
      <c r="N34" s="142"/>
      <c r="O34" s="142"/>
      <c r="P34" s="142"/>
      <c r="Q34" s="142"/>
      <c r="R34" s="142"/>
      <c r="S34" s="142"/>
      <c r="T34" s="142"/>
    </row>
    <row r="35" spans="1:20">
      <c r="A35" s="140" t="s">
        <v>223</v>
      </c>
      <c r="B35" s="140"/>
      <c r="C35" s="140"/>
      <c r="D35" s="140"/>
      <c r="E35" s="140"/>
      <c r="F35" s="140"/>
      <c r="G35" s="140"/>
      <c r="H35" s="140"/>
      <c r="I35" s="140"/>
      <c r="J35" s="140"/>
      <c r="K35" s="142"/>
      <c r="L35" s="142"/>
      <c r="M35" s="178" t="s">
        <v>247</v>
      </c>
      <c r="N35" s="178"/>
      <c r="O35" s="178"/>
      <c r="P35" s="178"/>
      <c r="Q35" s="178"/>
      <c r="R35" s="178"/>
      <c r="S35" s="178"/>
      <c r="T35" s="178"/>
    </row>
    <row r="36" spans="1:20">
      <c r="A36" s="141" t="s">
        <v>224</v>
      </c>
      <c r="B36" s="141" t="s">
        <v>218</v>
      </c>
      <c r="C36" s="142">
        <v>1660</v>
      </c>
      <c r="D36" s="142">
        <v>2153</v>
      </c>
      <c r="E36" s="142">
        <v>2592</v>
      </c>
      <c r="F36" s="142">
        <v>2565</v>
      </c>
      <c r="G36" s="142">
        <v>2758</v>
      </c>
      <c r="H36" s="142">
        <v>2827</v>
      </c>
      <c r="I36" s="142">
        <v>2289</v>
      </c>
      <c r="J36" s="142">
        <v>2020</v>
      </c>
      <c r="K36" s="142">
        <v>746</v>
      </c>
      <c r="L36" s="142">
        <v>128</v>
      </c>
      <c r="M36" s="142">
        <v>0</v>
      </c>
      <c r="N36" s="142">
        <v>0</v>
      </c>
      <c r="O36" s="142">
        <v>0</v>
      </c>
      <c r="P36" s="142">
        <v>0</v>
      </c>
      <c r="Q36" s="142">
        <v>0</v>
      </c>
      <c r="R36" s="142">
        <v>0</v>
      </c>
      <c r="S36" s="142">
        <v>0</v>
      </c>
      <c r="T36" s="142">
        <v>0</v>
      </c>
    </row>
    <row r="37" spans="1:20">
      <c r="A37" s="141" t="s">
        <v>225</v>
      </c>
      <c r="B37" s="141" t="s">
        <v>219</v>
      </c>
      <c r="C37" s="142">
        <v>231</v>
      </c>
      <c r="D37" s="142">
        <v>441</v>
      </c>
      <c r="E37" s="142">
        <v>602</v>
      </c>
      <c r="F37" s="142">
        <v>733</v>
      </c>
      <c r="G37" s="142">
        <v>917</v>
      </c>
      <c r="H37" s="142">
        <v>1176</v>
      </c>
      <c r="I37" s="142">
        <v>1444</v>
      </c>
      <c r="J37" s="142">
        <v>1652</v>
      </c>
      <c r="K37" s="142">
        <v>1885</v>
      </c>
      <c r="L37" s="142">
        <v>2265</v>
      </c>
      <c r="M37" s="142">
        <v>2472</v>
      </c>
      <c r="N37" s="142">
        <v>2621</v>
      </c>
      <c r="O37" s="142">
        <v>2726</v>
      </c>
      <c r="P37" s="142">
        <v>2725</v>
      </c>
      <c r="Q37" s="142">
        <v>2615</v>
      </c>
      <c r="R37" s="142">
        <v>2471</v>
      </c>
      <c r="S37" s="142">
        <v>2330</v>
      </c>
      <c r="T37" s="142">
        <v>2196</v>
      </c>
    </row>
    <row r="38" spans="1:20">
      <c r="A38" s="141" t="s">
        <v>226</v>
      </c>
      <c r="B38" s="141" t="s">
        <v>220</v>
      </c>
      <c r="C38" s="142">
        <v>0</v>
      </c>
      <c r="D38" s="142">
        <v>0</v>
      </c>
      <c r="E38" s="142">
        <v>0</v>
      </c>
      <c r="F38" s="142">
        <v>0</v>
      </c>
      <c r="G38" s="142">
        <v>0</v>
      </c>
      <c r="H38" s="142">
        <v>2</v>
      </c>
      <c r="I38" s="142">
        <v>146</v>
      </c>
      <c r="J38" s="142">
        <v>774</v>
      </c>
      <c r="K38" s="142">
        <v>1860</v>
      </c>
      <c r="L38" s="142">
        <v>3343</v>
      </c>
      <c r="M38" s="142">
        <v>4831</v>
      </c>
      <c r="N38" s="142">
        <v>5655</v>
      </c>
      <c r="O38" s="142">
        <v>6455</v>
      </c>
      <c r="P38" s="142">
        <v>7038</v>
      </c>
      <c r="Q38" s="142">
        <v>7390</v>
      </c>
      <c r="R38" s="142">
        <v>7612</v>
      </c>
      <c r="S38" s="142">
        <v>7840</v>
      </c>
      <c r="T38" s="142">
        <v>8075</v>
      </c>
    </row>
    <row r="39" spans="1:20">
      <c r="A39" s="141" t="s">
        <v>227</v>
      </c>
      <c r="C39" s="142">
        <v>4755</v>
      </c>
      <c r="D39" s="142">
        <v>5603</v>
      </c>
      <c r="E39" s="142">
        <v>6146</v>
      </c>
      <c r="F39" s="142">
        <v>6666</v>
      </c>
      <c r="G39" s="142">
        <v>7087</v>
      </c>
      <c r="H39" s="142">
        <v>2547</v>
      </c>
      <c r="I39" s="142">
        <v>258</v>
      </c>
      <c r="J39" s="142">
        <v>0</v>
      </c>
      <c r="K39" s="142">
        <v>0</v>
      </c>
      <c r="L39" s="142">
        <v>0</v>
      </c>
      <c r="M39" s="142">
        <v>0</v>
      </c>
      <c r="N39" s="142">
        <v>0</v>
      </c>
      <c r="O39" s="142">
        <v>0</v>
      </c>
      <c r="P39" s="142">
        <v>0</v>
      </c>
      <c r="Q39" s="142">
        <v>0</v>
      </c>
      <c r="R39" s="142">
        <v>0</v>
      </c>
      <c r="S39" s="142">
        <v>0</v>
      </c>
      <c r="T39" s="142">
        <v>0</v>
      </c>
    </row>
    <row r="40" spans="1:20">
      <c r="A40" s="141" t="s">
        <v>234</v>
      </c>
      <c r="C40" s="142">
        <v>1204</v>
      </c>
      <c r="D40" s="142">
        <v>1290</v>
      </c>
      <c r="E40" s="142">
        <v>1283</v>
      </c>
      <c r="F40" s="142">
        <v>1176</v>
      </c>
      <c r="G40" s="142">
        <v>952</v>
      </c>
      <c r="H40" s="142">
        <v>503</v>
      </c>
      <c r="I40" s="142">
        <v>231</v>
      </c>
      <c r="J40" s="142">
        <v>0</v>
      </c>
      <c r="K40" s="142">
        <v>0</v>
      </c>
      <c r="L40" s="142">
        <v>0</v>
      </c>
      <c r="M40" s="142">
        <v>0</v>
      </c>
      <c r="N40" s="142">
        <v>0</v>
      </c>
      <c r="O40" s="142">
        <v>0</v>
      </c>
      <c r="P40" s="142">
        <v>0</v>
      </c>
      <c r="Q40" s="142">
        <v>0</v>
      </c>
      <c r="R40" s="142">
        <v>0</v>
      </c>
      <c r="S40" s="142">
        <v>0</v>
      </c>
      <c r="T40" s="142">
        <v>0</v>
      </c>
    </row>
    <row r="41" spans="1:20" s="143" customFormat="1">
      <c r="A41" s="143" t="str">
        <f>"Total "&amp;A35</f>
        <v>Total Other</v>
      </c>
      <c r="C41" s="144">
        <f t="shared" ref="C41:D41" si="97">SUM(C36:C40)</f>
        <v>7850</v>
      </c>
      <c r="D41" s="144">
        <f t="shared" si="97"/>
        <v>9487</v>
      </c>
      <c r="E41" s="144">
        <f>SUM(E36:E40)</f>
        <v>10623</v>
      </c>
      <c r="F41" s="144">
        <f t="shared" ref="F41:T41" si="98">SUM(F36:F40)</f>
        <v>11140</v>
      </c>
      <c r="G41" s="144">
        <f t="shared" si="98"/>
        <v>11714</v>
      </c>
      <c r="H41" s="144">
        <f t="shared" si="98"/>
        <v>7055</v>
      </c>
      <c r="I41" s="144">
        <f t="shared" si="98"/>
        <v>4368</v>
      </c>
      <c r="J41" s="144">
        <f t="shared" si="98"/>
        <v>4446</v>
      </c>
      <c r="K41" s="144">
        <f t="shared" si="98"/>
        <v>4491</v>
      </c>
      <c r="L41" s="144">
        <f t="shared" si="98"/>
        <v>5736</v>
      </c>
      <c r="M41" s="144">
        <f t="shared" si="98"/>
        <v>7303</v>
      </c>
      <c r="N41" s="144">
        <f t="shared" si="98"/>
        <v>8276</v>
      </c>
      <c r="O41" s="144">
        <f t="shared" si="98"/>
        <v>9181</v>
      </c>
      <c r="P41" s="144">
        <f t="shared" si="98"/>
        <v>9763</v>
      </c>
      <c r="Q41" s="144">
        <f t="shared" si="98"/>
        <v>10005</v>
      </c>
      <c r="R41" s="144">
        <f t="shared" si="98"/>
        <v>10083</v>
      </c>
      <c r="S41" s="144">
        <f t="shared" si="98"/>
        <v>10170</v>
      </c>
      <c r="T41" s="144">
        <f t="shared" si="98"/>
        <v>10271</v>
      </c>
    </row>
    <row r="42" spans="1:20" s="146" customFormat="1">
      <c r="A42" s="149" t="s">
        <v>138</v>
      </c>
      <c r="C42" s="147"/>
      <c r="D42" s="148">
        <f>D41/C41-1</f>
        <v>0.20853503184713373</v>
      </c>
      <c r="E42" s="148">
        <f t="shared" ref="E42" si="99">E41/D41-1</f>
        <v>0.11974280594497744</v>
      </c>
      <c r="F42" s="148">
        <f t="shared" ref="F42" si="100">F41/E41-1</f>
        <v>4.8667984561799882E-2</v>
      </c>
      <c r="G42" s="148">
        <f t="shared" ref="G42" si="101">G41/F41-1</f>
        <v>5.1526032315978521E-2</v>
      </c>
      <c r="H42" s="148">
        <f t="shared" ref="H42" si="102">H41/G41-1</f>
        <v>-0.39772921290763186</v>
      </c>
      <c r="I42" s="148">
        <f t="shared" ref="I42" si="103">I41/H41-1</f>
        <v>-0.38086463501063073</v>
      </c>
      <c r="J42" s="148">
        <f t="shared" ref="J42" si="104">J41/I41-1</f>
        <v>1.7857142857142794E-2</v>
      </c>
      <c r="K42" s="148">
        <f t="shared" ref="K42" si="105">K41/J41-1</f>
        <v>1.0121457489878471E-2</v>
      </c>
      <c r="L42" s="148">
        <f t="shared" ref="L42" si="106">L41/K41-1</f>
        <v>0.27722110888443563</v>
      </c>
      <c r="M42" s="148">
        <f t="shared" ref="M42" si="107">M41/L41-1</f>
        <v>0.27318688981868888</v>
      </c>
      <c r="N42" s="148">
        <f t="shared" ref="N42" si="108">N41/M41-1</f>
        <v>0.13323291797891268</v>
      </c>
      <c r="O42" s="148">
        <f t="shared" ref="O42" si="109">O41/N41-1</f>
        <v>0.10935234412759787</v>
      </c>
      <c r="P42" s="148">
        <f t="shared" ref="P42" si="110">P41/O41-1</f>
        <v>6.3391787386994913E-2</v>
      </c>
      <c r="Q42" s="148">
        <f t="shared" ref="Q42" si="111">Q41/P41-1</f>
        <v>2.4787462870019539E-2</v>
      </c>
      <c r="R42" s="148">
        <f t="shared" ref="R42" si="112">R41/Q41-1</f>
        <v>7.7961019490255801E-3</v>
      </c>
      <c r="S42" s="148">
        <f t="shared" ref="S42" si="113">S41/R41-1</f>
        <v>8.6283844094019457E-3</v>
      </c>
      <c r="T42" s="148">
        <f t="shared" ref="T42" si="114">T41/S41-1</f>
        <v>9.9311701081612469E-3</v>
      </c>
    </row>
    <row r="43" spans="1:20" s="146" customFormat="1">
      <c r="A43" s="149" t="s">
        <v>139</v>
      </c>
      <c r="C43" s="147"/>
      <c r="D43" s="147"/>
      <c r="E43" s="147"/>
      <c r="F43" s="148">
        <f>SUM(D41:F41)/SUM(C41:E41)-1</f>
        <v>0.11766809728183114</v>
      </c>
      <c r="G43" s="148">
        <f>SUM(E41:G41)/SUM(D41:F41)-1</f>
        <v>7.1263999999999994E-2</v>
      </c>
      <c r="H43" s="148">
        <f t="shared" ref="H43" si="115">SUM(F41:H41)/SUM(E41:G41)-1</f>
        <v>-0.1065806374525794</v>
      </c>
      <c r="I43" s="148">
        <f t="shared" ref="I43" si="116">SUM(G41:I41)/SUM(F41:H41)-1</f>
        <v>-0.2264201410946538</v>
      </c>
      <c r="J43" s="148">
        <f t="shared" ref="J43" si="117">SUM(H41:J41)/SUM(G41:I41)-1</f>
        <v>-0.31412888447076115</v>
      </c>
      <c r="K43" s="148">
        <f t="shared" ref="K43" si="118">SUM(I41:K41)/SUM(H41:J41)-1</f>
        <v>-0.16157287793811836</v>
      </c>
      <c r="L43" s="148">
        <f t="shared" ref="L43" si="119">SUM(J41:L41)/SUM(I41:K41)-1</f>
        <v>0.1028184892897408</v>
      </c>
      <c r="M43" s="148">
        <f t="shared" ref="M43" si="120">SUM(K41:M41)/SUM(J41:L41)-1</f>
        <v>0.19471137463368082</v>
      </c>
      <c r="N43" s="148">
        <f t="shared" ref="N43" si="121">SUM(L41:N41)/SUM(K41:M41)-1</f>
        <v>0.21591557330290923</v>
      </c>
      <c r="O43" s="148">
        <f t="shared" ref="O43" si="122">SUM(M41:O41)/SUM(L41:N41)-1</f>
        <v>0.16162326999765431</v>
      </c>
      <c r="P43" s="148">
        <f t="shared" ref="P43" si="123">SUM(N41:P41)/SUM(M41:O41)-1</f>
        <v>9.9353796445880382E-2</v>
      </c>
      <c r="Q43" s="148">
        <f t="shared" ref="Q43" si="124">SUM(O41:Q41)/SUM(N41:P41)-1</f>
        <v>6.3519470977222658E-2</v>
      </c>
      <c r="R43" s="148">
        <f t="shared" ref="R43" si="125">SUM(P41:R41)/SUM(O41:Q41)-1</f>
        <v>3.1158243808076191E-2</v>
      </c>
      <c r="S43" s="148">
        <f t="shared" ref="S43" si="126">SUM(Q41:S41)/SUM(P41:R41)-1</f>
        <v>1.3634384107735098E-2</v>
      </c>
      <c r="T43" s="148">
        <f t="shared" ref="T43" si="127">SUM(R41:T41)/SUM(Q41:S41)-1</f>
        <v>8.7910635203913845E-3</v>
      </c>
    </row>
    <row r="44" spans="1:20" s="146" customFormat="1">
      <c r="A44" s="149" t="s">
        <v>133</v>
      </c>
      <c r="C44" s="147"/>
      <c r="D44" s="147"/>
      <c r="E44" s="147"/>
      <c r="F44" s="147"/>
      <c r="G44" s="147"/>
      <c r="H44" s="148">
        <f>SUM(D41:H41)/SUM(C41:G41)-1</f>
        <v>-1.5645294603849336E-2</v>
      </c>
      <c r="I44" s="148">
        <f t="shared" ref="I44" si="128">SUM(E41:I41)/SUM(D41:H41)-1</f>
        <v>-0.10234111037805638</v>
      </c>
      <c r="J44" s="148">
        <f t="shared" ref="J44" si="129">SUM(F41:J41)/SUM(E41:I41)-1</f>
        <v>-0.13757238307349662</v>
      </c>
      <c r="K44" s="148">
        <f t="shared" ref="K44" si="130">SUM(G41:K41)/SUM(F41:J41)-1</f>
        <v>-0.17170673759781008</v>
      </c>
      <c r="L44" s="148">
        <f t="shared" ref="L44" si="131">SUM(H41:L41)/SUM(G41:K41)-1</f>
        <v>-0.18638149279790484</v>
      </c>
      <c r="M44" s="148">
        <f t="shared" ref="M44" si="132">SUM(I41:M41)/SUM(H41:L41)-1</f>
        <v>9.5033721643162927E-3</v>
      </c>
      <c r="N44" s="148">
        <f t="shared" ref="N44" si="133">SUM(J41:N41)/SUM(I41:M41)-1</f>
        <v>0.14834497418767079</v>
      </c>
      <c r="O44" s="148">
        <f t="shared" ref="O44" si="134">SUM(K41:O41)/SUM(J41:N41)-1</f>
        <v>0.15651857728414642</v>
      </c>
      <c r="P44" s="148">
        <f t="shared" ref="P44" si="135">SUM(L41:P41)/SUM(K41:O41)-1</f>
        <v>0.15068453997198961</v>
      </c>
      <c r="Q44" s="148">
        <f t="shared" ref="Q44" si="136">SUM(M41:Q41)/SUM(L41:P41)-1</f>
        <v>0.10603840135125076</v>
      </c>
      <c r="R44" s="148">
        <f t="shared" ref="R44" si="137">SUM(N41:R41)/SUM(M41:Q41)-1</f>
        <v>6.2432626661875767E-2</v>
      </c>
      <c r="S44" s="148">
        <f t="shared" ref="S44" si="138">SUM(O41:S41)/SUM(N41:R41)-1</f>
        <v>4.0035511964149784E-2</v>
      </c>
      <c r="T44" s="148">
        <f t="shared" ref="T44" si="139">SUM(P41:T41)/SUM(O41:S41)-1</f>
        <v>2.2153570993049154E-2</v>
      </c>
    </row>
    <row r="45" spans="1:20">
      <c r="K45" s="142"/>
      <c r="L45" s="142"/>
      <c r="M45" s="142"/>
      <c r="N45" s="142"/>
      <c r="O45" s="142"/>
      <c r="P45" s="142"/>
      <c r="Q45" s="142"/>
      <c r="R45" s="142"/>
      <c r="S45" s="142"/>
      <c r="T45" s="142"/>
    </row>
    <row r="46" spans="1:20" s="143" customFormat="1">
      <c r="A46" s="143" t="s">
        <v>233</v>
      </c>
      <c r="C46" s="152">
        <f>SUM(C41,C30,C20,C9)</f>
        <v>11055</v>
      </c>
      <c r="D46" s="152">
        <f t="shared" ref="D46:T46" si="140">SUM(D41,D30,D20,D9)</f>
        <v>13528</v>
      </c>
      <c r="E46" s="152">
        <f t="shared" si="140"/>
        <v>15163</v>
      </c>
      <c r="F46" s="152">
        <f t="shared" si="140"/>
        <v>16314</v>
      </c>
      <c r="G46" s="152">
        <f t="shared" si="140"/>
        <v>18291</v>
      </c>
      <c r="H46" s="152">
        <f t="shared" si="140"/>
        <v>14854</v>
      </c>
      <c r="I46" s="152">
        <f t="shared" si="140"/>
        <v>13594</v>
      </c>
      <c r="J46" s="152">
        <f t="shared" si="140"/>
        <v>12479</v>
      </c>
      <c r="K46" s="152">
        <f t="shared" si="140"/>
        <v>15069</v>
      </c>
      <c r="L46" s="152">
        <f t="shared" si="140"/>
        <v>17284</v>
      </c>
      <c r="M46" s="152">
        <f t="shared" si="140"/>
        <v>18217</v>
      </c>
      <c r="N46" s="152">
        <f t="shared" si="140"/>
        <v>17718</v>
      </c>
      <c r="O46" s="152">
        <f t="shared" si="140"/>
        <v>18691</v>
      </c>
      <c r="P46" s="152">
        <f t="shared" si="140"/>
        <v>19404</v>
      </c>
      <c r="Q46" s="152">
        <f t="shared" si="140"/>
        <v>19980</v>
      </c>
      <c r="R46" s="152">
        <f t="shared" si="140"/>
        <v>20273</v>
      </c>
      <c r="S46" s="152">
        <f t="shared" si="140"/>
        <v>20675</v>
      </c>
      <c r="T46" s="152">
        <f t="shared" si="140"/>
        <v>21070</v>
      </c>
    </row>
    <row r="47" spans="1:20">
      <c r="K47" s="142"/>
      <c r="L47" s="142"/>
      <c r="M47" s="142"/>
      <c r="N47" s="142"/>
      <c r="O47" s="142"/>
      <c r="P47" s="142"/>
      <c r="Q47" s="142"/>
      <c r="R47" s="142"/>
      <c r="S47" s="142"/>
      <c r="T47" s="142"/>
    </row>
    <row r="48" spans="1:20" s="143" customFormat="1">
      <c r="A48" s="153" t="s">
        <v>221</v>
      </c>
      <c r="B48" s="143" t="s">
        <v>222</v>
      </c>
      <c r="C48" s="152">
        <f>C50-C46</f>
        <v>8293</v>
      </c>
      <c r="D48" s="152">
        <f t="shared" ref="D48:J48" si="141">D50-D46</f>
        <v>4187</v>
      </c>
      <c r="E48" s="152">
        <f t="shared" si="141"/>
        <v>3645</v>
      </c>
      <c r="F48" s="152">
        <f t="shared" si="141"/>
        <v>3170</v>
      </c>
      <c r="G48" s="152">
        <f t="shared" si="141"/>
        <v>2953</v>
      </c>
      <c r="H48" s="152">
        <f t="shared" si="141"/>
        <v>2767</v>
      </c>
      <c r="I48" s="152">
        <f t="shared" si="141"/>
        <v>2791</v>
      </c>
      <c r="J48" s="152">
        <f t="shared" si="141"/>
        <v>3400</v>
      </c>
      <c r="K48" s="144">
        <v>2571</v>
      </c>
      <c r="L48" s="144">
        <v>2143</v>
      </c>
      <c r="M48" s="144">
        <v>1900</v>
      </c>
      <c r="N48" s="144">
        <v>1741</v>
      </c>
      <c r="O48" s="144">
        <v>1800</v>
      </c>
      <c r="P48" s="144">
        <v>1814</v>
      </c>
      <c r="Q48" s="144">
        <v>1815</v>
      </c>
      <c r="R48" s="144">
        <v>1811</v>
      </c>
      <c r="S48" s="144">
        <v>1819</v>
      </c>
      <c r="T48" s="144">
        <v>1828</v>
      </c>
    </row>
    <row r="50" spans="1:20" s="150" customFormat="1" ht="13.5" thickBot="1">
      <c r="A50" s="150" t="s">
        <v>232</v>
      </c>
      <c r="C50" s="151">
        <f>'Company Analysis'!B3</f>
        <v>19348</v>
      </c>
      <c r="D50" s="151">
        <f>'Company Analysis'!C3</f>
        <v>17715</v>
      </c>
      <c r="E50" s="151">
        <f>'Company Analysis'!D3</f>
        <v>18808</v>
      </c>
      <c r="F50" s="151">
        <f>'Company Analysis'!E3</f>
        <v>19484</v>
      </c>
      <c r="G50" s="151">
        <f>'Company Analysis'!F3</f>
        <v>21244</v>
      </c>
      <c r="H50" s="151">
        <f>'Company Analysis'!G3</f>
        <v>17621</v>
      </c>
      <c r="I50" s="151">
        <f>'Company Analysis'!H3</f>
        <v>16385</v>
      </c>
      <c r="J50" s="151">
        <f>'Company Analysis'!I3</f>
        <v>15879</v>
      </c>
      <c r="K50" s="151">
        <f>'Company Analysis'!J3</f>
        <v>16560</v>
      </c>
      <c r="L50" s="151">
        <f>'Company Analysis'!K3</f>
        <v>19427</v>
      </c>
      <c r="M50" s="154">
        <f>SUM(M48,M46)</f>
        <v>20117</v>
      </c>
      <c r="N50" s="154">
        <f t="shared" ref="N50:T50" si="142">SUM(N48,N46)</f>
        <v>19459</v>
      </c>
      <c r="O50" s="154">
        <f t="shared" si="142"/>
        <v>20491</v>
      </c>
      <c r="P50" s="154">
        <f t="shared" si="142"/>
        <v>21218</v>
      </c>
      <c r="Q50" s="154">
        <f t="shared" si="142"/>
        <v>21795</v>
      </c>
      <c r="R50" s="154">
        <f t="shared" si="142"/>
        <v>22084</v>
      </c>
      <c r="S50" s="154">
        <f t="shared" si="142"/>
        <v>22494</v>
      </c>
      <c r="T50" s="154">
        <f t="shared" si="142"/>
        <v>22898</v>
      </c>
    </row>
    <row r="51" spans="1:20" s="146" customFormat="1" ht="13.5" thickTop="1">
      <c r="A51" s="149" t="s">
        <v>138</v>
      </c>
      <c r="C51" s="147"/>
      <c r="D51" s="148">
        <f>D50/C50-1</f>
        <v>-8.4401488525945867E-2</v>
      </c>
      <c r="E51" s="148">
        <f t="shared" ref="E51" si="143">E50/D50-1</f>
        <v>6.1699125035280744E-2</v>
      </c>
      <c r="F51" s="148">
        <f t="shared" ref="F51" si="144">F50/E50-1</f>
        <v>3.5942152275627359E-2</v>
      </c>
      <c r="G51" s="148">
        <f t="shared" ref="G51" si="145">G50/F50-1</f>
        <v>9.0330527612400013E-2</v>
      </c>
      <c r="H51" s="148">
        <f t="shared" ref="H51" si="146">H50/G50-1</f>
        <v>-0.17054227075880246</v>
      </c>
      <c r="I51" s="148">
        <f t="shared" ref="I51" si="147">I50/H50-1</f>
        <v>-7.0143578684524144E-2</v>
      </c>
      <c r="J51" s="148">
        <f t="shared" ref="J51" si="148">J50/I50-1</f>
        <v>-3.0881904180653064E-2</v>
      </c>
      <c r="K51" s="148">
        <f t="shared" ref="K51" si="149">K50/J50-1</f>
        <v>4.2886831664462388E-2</v>
      </c>
      <c r="L51" s="148">
        <f t="shared" ref="L51" si="150">L50/K50-1</f>
        <v>0.1731280193236715</v>
      </c>
      <c r="M51" s="148">
        <f t="shared" ref="M51" si="151">M50/L50-1</f>
        <v>3.5517578627683122E-2</v>
      </c>
      <c r="N51" s="148">
        <f t="shared" ref="N51" si="152">N50/M50-1</f>
        <v>-3.2708654371924273E-2</v>
      </c>
      <c r="O51" s="148">
        <f t="shared" ref="O51" si="153">O50/N50-1</f>
        <v>5.303458553882523E-2</v>
      </c>
      <c r="P51" s="148">
        <f t="shared" ref="P51" si="154">P50/O50-1</f>
        <v>3.5478990776438346E-2</v>
      </c>
      <c r="Q51" s="148">
        <f t="shared" ref="Q51" si="155">Q50/P50-1</f>
        <v>2.7193891978508855E-2</v>
      </c>
      <c r="R51" s="148">
        <f t="shared" ref="R51" si="156">R50/Q50-1</f>
        <v>1.3259922000458779E-2</v>
      </c>
      <c r="S51" s="148">
        <f t="shared" ref="S51" si="157">S50/R50-1</f>
        <v>1.8565477268610797E-2</v>
      </c>
      <c r="T51" s="148">
        <f t="shared" ref="T51" si="158">T50/S50-1</f>
        <v>1.7960344980883836E-2</v>
      </c>
    </row>
    <row r="52" spans="1:20" s="146" customFormat="1">
      <c r="A52" s="149" t="s">
        <v>139</v>
      </c>
      <c r="C52" s="147"/>
      <c r="D52" s="147"/>
      <c r="E52" s="147"/>
      <c r="F52" s="148">
        <f>SUM(D50:F50)/SUM(C50:E50)-1</f>
        <v>2.4341787331532139E-3</v>
      </c>
      <c r="G52" s="148">
        <f>SUM(E50:G50)/SUM(D50:F50)-1</f>
        <v>6.3009980895245343E-2</v>
      </c>
      <c r="H52" s="148">
        <f t="shared" ref="H52" si="159">SUM(F50:H50)/SUM(E50:G50)-1</f>
        <v>-1.9937516796560084E-2</v>
      </c>
      <c r="I52" s="148">
        <f t="shared" ref="I52" si="160">SUM(G50:I50)/SUM(F50:H50)-1</f>
        <v>-5.3111450067696131E-2</v>
      </c>
      <c r="J52" s="148">
        <f t="shared" ref="J52" si="161">SUM(H50:J50)/SUM(G50:I50)-1</f>
        <v>-9.7104072398190078E-2</v>
      </c>
      <c r="K52" s="148">
        <f t="shared" ref="K52" si="162">SUM(I50:K50)/SUM(H50:J50)-1</f>
        <v>-2.1268918512578949E-2</v>
      </c>
      <c r="L52" s="148">
        <f t="shared" ref="L52" si="163">SUM(J50:L50)/SUM(I50:K50)-1</f>
        <v>6.2305423562182494E-2</v>
      </c>
      <c r="M52" s="148">
        <f t="shared" ref="M52" si="164">SUM(K50:M50)/SUM(J50:L50)-1</f>
        <v>8.1710561832414319E-2</v>
      </c>
      <c r="N52" s="148">
        <f t="shared" ref="N52" si="165">SUM(L50:N50)/SUM(K50:M50)-1</f>
        <v>5.1671895052046279E-2</v>
      </c>
      <c r="O52" s="148">
        <f t="shared" ref="O52" si="166">SUM(M50:O50)/SUM(L50:N50)-1</f>
        <v>1.8032981373828472E-2</v>
      </c>
      <c r="P52" s="148">
        <f t="shared" ref="P52" si="167">SUM(N50:P50)/SUM(M50:O50)-1</f>
        <v>1.8329532022574702E-2</v>
      </c>
      <c r="Q52" s="148">
        <f t="shared" ref="Q52" si="168">SUM(O50:Q50)/SUM(N50:P50)-1</f>
        <v>3.8189903217368482E-2</v>
      </c>
      <c r="R52" s="148">
        <f t="shared" ref="R52" si="169">SUM(P50:R50)/SUM(O50:Q50)-1</f>
        <v>2.5085034013605512E-2</v>
      </c>
      <c r="S52" s="148">
        <f t="shared" ref="S52" si="170">SUM(Q50:S50)/SUM(P50:R50)-1</f>
        <v>1.9601517735072349E-2</v>
      </c>
      <c r="T52" s="148">
        <f t="shared" ref="T52" si="171">SUM(R50:T50)/SUM(Q50:S50)-1</f>
        <v>1.6618203185030156E-2</v>
      </c>
    </row>
    <row r="53" spans="1:20" s="146" customFormat="1">
      <c r="A53" s="149" t="s">
        <v>133</v>
      </c>
      <c r="C53" s="147"/>
      <c r="D53" s="147"/>
      <c r="E53" s="147"/>
      <c r="F53" s="147"/>
      <c r="G53" s="147"/>
      <c r="H53" s="148">
        <f>SUM(D50:H50)/SUM(C50:G50)-1</f>
        <v>-1.7878031863683863E-2</v>
      </c>
      <c r="I53" s="148">
        <f t="shared" ref="I53" si="172">SUM(E50:I50)/SUM(D50:H50)-1</f>
        <v>-1.4018888607808422E-2</v>
      </c>
      <c r="J53" s="148">
        <f t="shared" ref="J53" si="173">SUM(F50:J50)/SUM(E50:I50)-1</f>
        <v>-3.1312137863205858E-2</v>
      </c>
      <c r="K53" s="148">
        <f t="shared" ref="K53" si="174">SUM(G50:K50)/SUM(F50:J50)-1</f>
        <v>-3.2269100460198819E-2</v>
      </c>
      <c r="L53" s="148">
        <f t="shared" ref="L53" si="175">SUM(H50:L50)/SUM(G50:K50)-1</f>
        <v>-2.0720957018554254E-2</v>
      </c>
      <c r="M53" s="148">
        <f t="shared" ref="M53" si="176">SUM(I50:M50)/SUM(H50:L50)-1</f>
        <v>2.9066517607601927E-2</v>
      </c>
      <c r="N53" s="148">
        <f t="shared" ref="N53" si="177">SUM(J50:N50)/SUM(I50:M50)-1</f>
        <v>3.4786347999275824E-2</v>
      </c>
      <c r="O53" s="148">
        <f t="shared" ref="O53" si="178">SUM(K50:O50)/SUM(J50:N50)-1</f>
        <v>5.0436342162244907E-2</v>
      </c>
      <c r="P53" s="148">
        <f t="shared" ref="P53" si="179">SUM(L50:P50)/SUM(K50:O50)-1</f>
        <v>4.8493555708247538E-2</v>
      </c>
      <c r="Q53" s="148">
        <f t="shared" ref="Q53" si="180">SUM(M50:Q50)/SUM(L50:P50)-1</f>
        <v>2.3512590356660645E-2</v>
      </c>
      <c r="R53" s="148">
        <f t="shared" ref="R53" si="181">SUM(N50:R50)/SUM(M50:Q50)-1</f>
        <v>1.9082266201008835E-2</v>
      </c>
      <c r="S53" s="148">
        <f t="shared" ref="S53" si="182">SUM(O50:S50)/SUM(N50:R50)-1</f>
        <v>2.8891829371614719E-2</v>
      </c>
      <c r="T53" s="148">
        <f t="shared" ref="T53" si="183">SUM(P50:T50)/SUM(O50:S50)-1</f>
        <v>2.2270128235968967E-2</v>
      </c>
    </row>
  </sheetData>
  <mergeCells count="4">
    <mergeCell ref="M2:T2"/>
    <mergeCell ref="M14:T14"/>
    <mergeCell ref="M25:T25"/>
    <mergeCell ref="M35:T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B2" sqref="B2"/>
    </sheetView>
  </sheetViews>
  <sheetFormatPr defaultRowHeight="15"/>
  <cols>
    <col min="1" max="1" width="10.7109375" style="133" customWidth="1"/>
    <col min="2" max="4" width="9.5703125" bestFit="1" customWidth="1"/>
  </cols>
  <sheetData>
    <row r="1" spans="1:4">
      <c r="A1" s="133" t="s">
        <v>250</v>
      </c>
      <c r="B1" t="s">
        <v>251</v>
      </c>
      <c r="C1" t="s">
        <v>248</v>
      </c>
      <c r="D1" t="s">
        <v>249</v>
      </c>
    </row>
    <row r="2" spans="1:4">
      <c r="A2" s="19">
        <v>1989</v>
      </c>
      <c r="B2" s="17">
        <v>984.8913</v>
      </c>
      <c r="C2" s="17"/>
      <c r="D2" s="17"/>
    </row>
    <row r="3" spans="1:4">
      <c r="A3" s="19">
        <v>1990</v>
      </c>
      <c r="B3" s="17">
        <v>1493.1006</v>
      </c>
      <c r="C3" s="17"/>
      <c r="D3" s="17"/>
    </row>
    <row r="4" spans="1:4">
      <c r="A4" s="19">
        <v>1991</v>
      </c>
      <c r="B4" s="17">
        <v>1581.4618</v>
      </c>
      <c r="C4" s="17"/>
      <c r="D4" s="17"/>
    </row>
    <row r="5" spans="1:4">
      <c r="A5" s="19">
        <v>1992</v>
      </c>
      <c r="B5" s="17">
        <v>1724.4429</v>
      </c>
      <c r="C5" s="17"/>
      <c r="D5" s="17"/>
    </row>
    <row r="6" spans="1:4">
      <c r="A6" s="19">
        <v>1993</v>
      </c>
      <c r="B6" s="17">
        <v>2263.5349000000001</v>
      </c>
      <c r="C6" s="17"/>
      <c r="D6" s="17"/>
    </row>
    <row r="7" spans="1:4">
      <c r="A7" s="19">
        <v>1994</v>
      </c>
      <c r="B7" s="17">
        <v>1964.2263</v>
      </c>
      <c r="C7" s="17"/>
      <c r="D7" s="17"/>
    </row>
    <row r="8" spans="1:4">
      <c r="A8" s="19">
        <v>1995</v>
      </c>
      <c r="B8" s="17">
        <v>2039.6279999999999</v>
      </c>
      <c r="C8" s="17"/>
      <c r="D8" s="17"/>
    </row>
    <row r="9" spans="1:4">
      <c r="A9" s="19">
        <v>1996</v>
      </c>
      <c r="B9" s="17">
        <v>2104.7561999999998</v>
      </c>
      <c r="C9" s="17"/>
      <c r="D9" s="17"/>
    </row>
    <row r="10" spans="1:4">
      <c r="A10" s="19">
        <v>1997</v>
      </c>
      <c r="B10" s="17">
        <v>1874.9387999999999</v>
      </c>
      <c r="C10" s="17"/>
      <c r="D10" s="17"/>
    </row>
    <row r="11" spans="1:4">
      <c r="A11" s="19">
        <v>1998</v>
      </c>
      <c r="B11" s="17">
        <v>3146.9256</v>
      </c>
      <c r="C11" s="17"/>
      <c r="D11" s="17"/>
    </row>
    <row r="12" spans="1:4">
      <c r="A12" s="19">
        <v>1999</v>
      </c>
      <c r="B12" s="17">
        <v>3527.7984000000001</v>
      </c>
      <c r="C12" s="17"/>
      <c r="D12" s="17"/>
    </row>
    <row r="13" spans="1:4">
      <c r="A13" s="19">
        <v>2000</v>
      </c>
      <c r="B13" s="17">
        <v>3880.7345</v>
      </c>
      <c r="C13" s="17"/>
      <c r="D13" s="17"/>
    </row>
    <row r="14" spans="1:4">
      <c r="A14" s="19">
        <v>2001</v>
      </c>
      <c r="B14" s="17">
        <v>4662.7035999999998</v>
      </c>
      <c r="C14" s="17"/>
      <c r="D14" s="17"/>
    </row>
    <row r="15" spans="1:4">
      <c r="A15" s="19">
        <v>2002</v>
      </c>
      <c r="B15" s="17">
        <v>192.52979999999999</v>
      </c>
      <c r="C15" s="17"/>
      <c r="D15" s="17"/>
    </row>
    <row r="16" spans="1:4">
      <c r="A16" s="19">
        <v>2003</v>
      </c>
      <c r="B16" s="17">
        <v>2708.1707000000001</v>
      </c>
      <c r="C16" s="17"/>
      <c r="D16" s="17"/>
    </row>
    <row r="17" spans="1:4">
      <c r="A17" s="19">
        <v>2004</v>
      </c>
      <c r="B17" s="17">
        <v>2237.4065999999998</v>
      </c>
      <c r="C17" s="17"/>
      <c r="D17" s="17"/>
    </row>
    <row r="18" spans="1:4">
      <c r="A18" s="19">
        <v>2005</v>
      </c>
      <c r="B18" s="17">
        <v>875.2681</v>
      </c>
      <c r="C18" s="17"/>
      <c r="D18" s="17"/>
    </row>
    <row r="19" spans="1:4">
      <c r="A19" s="19">
        <v>2006</v>
      </c>
      <c r="B19" s="17">
        <v>1132.4476999999999</v>
      </c>
      <c r="C19" s="17"/>
      <c r="D19" s="17"/>
    </row>
    <row r="20" spans="1:4">
      <c r="A20" s="19">
        <v>2007</v>
      </c>
      <c r="B20" s="17">
        <v>2224.5947999999999</v>
      </c>
      <c r="C20" s="17"/>
      <c r="D20" s="17"/>
    </row>
    <row r="21" spans="1:4">
      <c r="A21" s="19">
        <v>2008</v>
      </c>
      <c r="B21" s="17">
        <v>2890.2541999999999</v>
      </c>
      <c r="C21" s="17"/>
      <c r="D21" s="17"/>
    </row>
    <row r="22" spans="1:4">
      <c r="A22" s="19">
        <v>2009</v>
      </c>
      <c r="B22" s="17">
        <v>3338.7604000000001</v>
      </c>
      <c r="C22" s="17"/>
      <c r="D22" s="17"/>
    </row>
    <row r="23" spans="1:4">
      <c r="A23" s="19">
        <v>2010</v>
      </c>
      <c r="B23" s="17">
        <v>3874.9211</v>
      </c>
      <c r="C23" s="17"/>
      <c r="D23" s="17"/>
    </row>
    <row r="24" spans="1:4">
      <c r="A24" s="19">
        <v>2011</v>
      </c>
      <c r="B24" s="17">
        <v>4193.3960999999999</v>
      </c>
      <c r="C24" s="17"/>
      <c r="D24" s="17"/>
    </row>
    <row r="25" spans="1:4">
      <c r="A25" s="19">
        <v>2012</v>
      </c>
      <c r="B25" s="17">
        <v>6248.1437999999998</v>
      </c>
      <c r="C25" s="17"/>
      <c r="D25" s="17"/>
    </row>
    <row r="26" spans="1:4">
      <c r="A26" s="19">
        <v>2013</v>
      </c>
      <c r="B26" s="17">
        <v>2770.5419999999999</v>
      </c>
      <c r="C26" s="17"/>
      <c r="D26" s="17"/>
    </row>
    <row r="27" spans="1:4">
      <c r="A27" s="19">
        <v>2014</v>
      </c>
      <c r="B27" s="17">
        <v>2677.4670999999998</v>
      </c>
      <c r="C27" s="17"/>
      <c r="D27" s="17"/>
    </row>
    <row r="28" spans="1:4">
      <c r="A28" s="19">
        <v>2015</v>
      </c>
      <c r="B28" s="17">
        <v>1453.2571</v>
      </c>
      <c r="C28" s="17"/>
      <c r="D28" s="17"/>
    </row>
    <row r="29" spans="1:4">
      <c r="A29" s="19">
        <v>2016</v>
      </c>
      <c r="B29" s="17">
        <v>2460.0749999999998</v>
      </c>
      <c r="C29" s="17">
        <f>B29</f>
        <v>2460.0749999999998</v>
      </c>
      <c r="D29" s="17">
        <f>C29</f>
        <v>2460.0749999999998</v>
      </c>
    </row>
    <row r="30" spans="1:4">
      <c r="A30" s="19">
        <v>2017</v>
      </c>
      <c r="B30" s="17"/>
      <c r="C30" s="17">
        <v>4487.6370000000006</v>
      </c>
      <c r="D30" s="17">
        <v>3319.10295</v>
      </c>
    </row>
    <row r="31" spans="1:4">
      <c r="A31" s="19">
        <v>2018</v>
      </c>
      <c r="B31" s="17"/>
      <c r="C31" s="17">
        <v>4622.2661100000005</v>
      </c>
      <c r="D31" s="17">
        <v>3319.10295</v>
      </c>
    </row>
    <row r="32" spans="1:4">
      <c r="A32" s="19">
        <v>2019</v>
      </c>
      <c r="B32" s="17"/>
      <c r="C32" s="17">
        <v>4899.6020766000011</v>
      </c>
      <c r="D32" s="17">
        <v>3219.5298614999997</v>
      </c>
    </row>
    <row r="33" spans="1:4">
      <c r="A33" s="19">
        <v>2020</v>
      </c>
      <c r="B33" s="17"/>
      <c r="C33" s="17">
        <v>5193.5782011960009</v>
      </c>
      <c r="D33" s="17">
        <v>3122.9439656549998</v>
      </c>
    </row>
    <row r="34" spans="1:4">
      <c r="A34" s="19">
        <v>2021</v>
      </c>
      <c r="B34" s="17"/>
      <c r="C34" s="17">
        <v>5505.1928932677611</v>
      </c>
      <c r="D34" s="17">
        <v>3029.2556466853498</v>
      </c>
    </row>
    <row r="35" spans="1:4">
      <c r="A35" s="19">
        <v>2022</v>
      </c>
      <c r="B35" s="17"/>
      <c r="C35" s="17">
        <v>6055.7121825945378</v>
      </c>
      <c r="D35" s="17">
        <v>2726.3300820168147</v>
      </c>
    </row>
    <row r="36" spans="1:4">
      <c r="A36" s="19">
        <v>2023</v>
      </c>
      <c r="B36" s="17"/>
      <c r="C36" s="17">
        <v>6661.2834008539921</v>
      </c>
      <c r="D36" s="17">
        <v>2453.6970738151331</v>
      </c>
    </row>
    <row r="37" spans="1:4">
      <c r="A37" s="19">
        <v>2024</v>
      </c>
      <c r="B37" s="17"/>
      <c r="C37" s="17">
        <v>7327.4117409393921</v>
      </c>
      <c r="D37" s="17">
        <v>2208.3273664336198</v>
      </c>
    </row>
    <row r="38" spans="1:4">
      <c r="A38" s="19">
        <v>2025</v>
      </c>
      <c r="B38" s="17"/>
      <c r="C38" s="17">
        <v>8060.1529150333317</v>
      </c>
      <c r="D38" s="17">
        <v>1987.4946297902579</v>
      </c>
    </row>
    <row r="39" spans="1:4">
      <c r="A39" s="19">
        <v>2026</v>
      </c>
      <c r="B39" s="17"/>
      <c r="C39" s="17">
        <v>8866.1682065366658</v>
      </c>
      <c r="D39" s="17">
        <v>1788.7451668112321</v>
      </c>
    </row>
    <row r="41" spans="1:4">
      <c r="B41" s="17">
        <f>SUM(B2:B29)</f>
        <v>70526.377399999998</v>
      </c>
      <c r="C41" s="17">
        <f>SUM(C30:C39)</f>
        <v>61679.004727021689</v>
      </c>
      <c r="D41" s="17">
        <f>SUM(D30:D39)</f>
        <v>27174.529692707405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6"/>
  <sheetViews>
    <sheetView topLeftCell="A47" workbookViewId="0">
      <selection activeCell="Q56" sqref="Q56:U56"/>
    </sheetView>
  </sheetViews>
  <sheetFormatPr defaultRowHeight="15"/>
  <cols>
    <col min="1" max="1" width="37.42578125" bestFit="1" customWidth="1"/>
    <col min="12" max="12" width="9.5703125" bestFit="1" customWidth="1"/>
  </cols>
  <sheetData>
    <row r="1" spans="1:21">
      <c r="A1" s="10" t="s">
        <v>37</v>
      </c>
      <c r="B1" s="134">
        <f>'Company Analysis'!B2</f>
        <v>39447</v>
      </c>
      <c r="C1" s="134">
        <f>'Company Analysis'!C2</f>
        <v>39813</v>
      </c>
      <c r="D1" s="134">
        <f>'Company Analysis'!D2</f>
        <v>40178</v>
      </c>
      <c r="E1" s="134">
        <f>'Company Analysis'!E2</f>
        <v>40543</v>
      </c>
      <c r="F1" s="134">
        <f>'Company Analysis'!F2</f>
        <v>40908</v>
      </c>
      <c r="G1" s="134">
        <f>'Company Analysis'!G2</f>
        <v>41274</v>
      </c>
      <c r="H1" s="134">
        <f>'Company Analysis'!H2</f>
        <v>41639</v>
      </c>
      <c r="I1" s="134">
        <f>'Company Analysis'!I2</f>
        <v>42004</v>
      </c>
      <c r="J1" s="134">
        <f>'Company Analysis'!J2</f>
        <v>42369</v>
      </c>
      <c r="K1" s="134">
        <f>'Company Analysis'!K2</f>
        <v>42735</v>
      </c>
      <c r="L1" s="134">
        <f>'Graphing Data'!K1+365</f>
        <v>43100</v>
      </c>
      <c r="M1" s="134">
        <f>'Graphing Data'!L1+365</f>
        <v>43465</v>
      </c>
      <c r="N1" s="134">
        <f>'Graphing Data'!M1+365</f>
        <v>43830</v>
      </c>
      <c r="O1" s="134">
        <f>'Graphing Data'!N1+365</f>
        <v>44195</v>
      </c>
      <c r="P1" s="134">
        <f>'Graphing Data'!O1+365</f>
        <v>44560</v>
      </c>
      <c r="Q1" s="134">
        <f>'Graphing Data'!P1+365</f>
        <v>44925</v>
      </c>
      <c r="R1" s="134">
        <f>'Graphing Data'!Q1+365</f>
        <v>45290</v>
      </c>
      <c r="S1" s="134">
        <f>'Graphing Data'!R1+365</f>
        <v>45655</v>
      </c>
      <c r="T1" s="134">
        <f>'Graphing Data'!S1+365</f>
        <v>46020</v>
      </c>
      <c r="U1" s="134">
        <f>'Graphing Data'!T1+365</f>
        <v>46385</v>
      </c>
    </row>
    <row r="2" spans="1:21">
      <c r="A2" t="s">
        <v>163</v>
      </c>
      <c r="B2" s="17">
        <f>'Company Analysis'!B3</f>
        <v>19348</v>
      </c>
      <c r="C2" s="17">
        <f>'Company Analysis'!C3</f>
        <v>17715</v>
      </c>
      <c r="D2" s="17">
        <f>'Company Analysis'!D3</f>
        <v>18808</v>
      </c>
      <c r="E2" s="17">
        <f>'Company Analysis'!E3</f>
        <v>19484</v>
      </c>
      <c r="F2" s="17">
        <f>'Company Analysis'!F3</f>
        <v>21244</v>
      </c>
      <c r="G2" s="17">
        <f>'Company Analysis'!G3</f>
        <v>17621</v>
      </c>
      <c r="H2" s="17">
        <f>'Company Analysis'!H3</f>
        <v>16385</v>
      </c>
      <c r="I2" s="17">
        <f>'Company Analysis'!I3</f>
        <v>15879</v>
      </c>
      <c r="J2" s="17">
        <f>'Company Analysis'!J3</f>
        <v>16560</v>
      </c>
      <c r="K2" s="17">
        <f>'Company Analysis'!K3</f>
        <v>19427</v>
      </c>
      <c r="L2" s="17"/>
      <c r="M2" s="17"/>
      <c r="N2" s="17"/>
      <c r="O2" s="17"/>
      <c r="P2" s="17"/>
    </row>
    <row r="3" spans="1:21">
      <c r="A3" t="s">
        <v>164</v>
      </c>
      <c r="L3" s="17">
        <f>$K$2*(1+'Valuation Model'!C8)</f>
        <v>20398.350000000002</v>
      </c>
      <c r="M3" s="17">
        <f>L3*(1+'Valuation Model'!D8)</f>
        <v>21010.300500000001</v>
      </c>
      <c r="N3" s="17">
        <f>M3*(1+'Valuation Model'!E8)</f>
        <v>22270.918530000003</v>
      </c>
      <c r="O3" s="17">
        <f>N3*(1+'Valuation Model'!F8)</f>
        <v>23607.173641800004</v>
      </c>
      <c r="P3" s="17">
        <f>O3*(1+'Valuation Model'!G8)</f>
        <v>25023.604060308004</v>
      </c>
    </row>
    <row r="4" spans="1:21">
      <c r="A4" t="s">
        <v>165</v>
      </c>
      <c r="L4" s="17">
        <f>$K$2*(1+'Valuation Model'!C9)</f>
        <v>19524.134999999998</v>
      </c>
      <c r="M4" s="17">
        <f>L4*(1+'Valuation Model'!D9)</f>
        <v>19524.134999999998</v>
      </c>
      <c r="N4" s="17">
        <f>M4*(1+'Valuation Model'!E9)</f>
        <v>18938.410949999998</v>
      </c>
      <c r="O4" s="17">
        <f>N4*(1+'Valuation Model'!F9)</f>
        <v>18370.258621499997</v>
      </c>
      <c r="P4" s="17">
        <f>O4*(1+'Valuation Model'!G9)</f>
        <v>17819.150862854996</v>
      </c>
    </row>
    <row r="5" spans="1:21">
      <c r="A5" t="s">
        <v>166</v>
      </c>
      <c r="C5" s="20">
        <f>C2/B2-1</f>
        <v>-8.4401488525945867E-2</v>
      </c>
      <c r="D5" s="20">
        <f t="shared" ref="D5:K5" si="0">D2/C2-1</f>
        <v>6.1699125035280744E-2</v>
      </c>
      <c r="E5" s="20">
        <f t="shared" si="0"/>
        <v>3.5942152275627359E-2</v>
      </c>
      <c r="F5" s="20">
        <f t="shared" si="0"/>
        <v>9.0330527612400013E-2</v>
      </c>
      <c r="G5" s="20">
        <f t="shared" si="0"/>
        <v>-0.17054227075880246</v>
      </c>
      <c r="H5" s="20">
        <f t="shared" si="0"/>
        <v>-7.0143578684524144E-2</v>
      </c>
      <c r="I5" s="20">
        <f t="shared" si="0"/>
        <v>-3.0881904180653064E-2</v>
      </c>
      <c r="J5" s="20">
        <f t="shared" si="0"/>
        <v>4.2886831664462388E-2</v>
      </c>
      <c r="K5" s="20">
        <f t="shared" si="0"/>
        <v>0.1731280193236715</v>
      </c>
    </row>
    <row r="6" spans="1:21">
      <c r="A6" t="s">
        <v>167</v>
      </c>
      <c r="K6" s="99">
        <f>K5</f>
        <v>0.1731280193236715</v>
      </c>
      <c r="L6" s="99">
        <f>'Valuation Model'!C8</f>
        <v>0.05</v>
      </c>
      <c r="M6" s="99">
        <f>'Valuation Model'!D8</f>
        <v>0.03</v>
      </c>
      <c r="N6" s="99">
        <f>'Valuation Model'!E8</f>
        <v>0.06</v>
      </c>
      <c r="O6" s="99">
        <f>'Valuation Model'!F8</f>
        <v>0.06</v>
      </c>
      <c r="P6" s="99">
        <f>'Valuation Model'!G8</f>
        <v>0.06</v>
      </c>
    </row>
    <row r="7" spans="1:21">
      <c r="A7" t="s">
        <v>168</v>
      </c>
      <c r="K7" s="99">
        <f>K5</f>
        <v>0.1731280193236715</v>
      </c>
      <c r="L7" s="99">
        <f>'Valuation Model'!C9</f>
        <v>5.0000000000000001E-3</v>
      </c>
      <c r="M7" s="99">
        <f>'Valuation Model'!D9</f>
        <v>0</v>
      </c>
      <c r="N7" s="99">
        <f>'Valuation Model'!E9</f>
        <v>-0.03</v>
      </c>
      <c r="O7" s="99">
        <f>'Valuation Model'!F9</f>
        <v>-0.03</v>
      </c>
      <c r="P7" s="99">
        <f>'Valuation Model'!G9</f>
        <v>-0.03</v>
      </c>
    </row>
    <row r="9" spans="1:21">
      <c r="A9" s="10" t="s">
        <v>71</v>
      </c>
      <c r="B9" s="134">
        <f>B1</f>
        <v>39447</v>
      </c>
      <c r="C9" s="134">
        <f t="shared" ref="C9:P9" si="1">C1</f>
        <v>39813</v>
      </c>
      <c r="D9" s="134">
        <f t="shared" si="1"/>
        <v>40178</v>
      </c>
      <c r="E9" s="134">
        <f t="shared" si="1"/>
        <v>40543</v>
      </c>
      <c r="F9" s="134">
        <f t="shared" si="1"/>
        <v>40908</v>
      </c>
      <c r="G9" s="134">
        <f t="shared" si="1"/>
        <v>41274</v>
      </c>
      <c r="H9" s="134">
        <f t="shared" si="1"/>
        <v>41639</v>
      </c>
      <c r="I9" s="134">
        <f t="shared" si="1"/>
        <v>42004</v>
      </c>
      <c r="J9" s="134">
        <f t="shared" si="1"/>
        <v>42369</v>
      </c>
      <c r="K9" s="134">
        <f t="shared" si="1"/>
        <v>42735</v>
      </c>
      <c r="L9" s="134">
        <f t="shared" si="1"/>
        <v>43100</v>
      </c>
      <c r="M9" s="134">
        <f t="shared" si="1"/>
        <v>43465</v>
      </c>
      <c r="N9" s="134">
        <f t="shared" si="1"/>
        <v>43830</v>
      </c>
      <c r="O9" s="134">
        <f t="shared" si="1"/>
        <v>44195</v>
      </c>
      <c r="P9" s="134">
        <f t="shared" si="1"/>
        <v>44560</v>
      </c>
    </row>
    <row r="10" spans="1:21">
      <c r="A10" t="s">
        <v>169</v>
      </c>
      <c r="B10" s="17">
        <f>'Company Analysis'!B11</f>
        <v>2224.5947999999999</v>
      </c>
      <c r="C10" s="17">
        <f>'Company Analysis'!C11</f>
        <v>2890.2541999999999</v>
      </c>
      <c r="D10" s="17">
        <f>'Company Analysis'!D11</f>
        <v>3338.7604000000001</v>
      </c>
      <c r="E10" s="17">
        <f>'Company Analysis'!E11</f>
        <v>3874.9211</v>
      </c>
      <c r="F10" s="17">
        <f>'Company Analysis'!F11</f>
        <v>4193.3960999999999</v>
      </c>
      <c r="G10" s="17">
        <f>'Company Analysis'!G11</f>
        <v>6248.1437999999998</v>
      </c>
      <c r="H10" s="17">
        <f>'Company Analysis'!H11</f>
        <v>2770.5419999999999</v>
      </c>
      <c r="I10" s="17">
        <f>'Company Analysis'!I11</f>
        <v>2677.4670999999998</v>
      </c>
      <c r="J10" s="17">
        <f>'Company Analysis'!J11</f>
        <v>1453.2571</v>
      </c>
      <c r="K10" s="17">
        <f>'Company Analysis'!K11</f>
        <v>2460.0749999999998</v>
      </c>
    </row>
    <row r="11" spans="1:21">
      <c r="A11" t="s">
        <v>170</v>
      </c>
      <c r="L11" s="18">
        <f>'Valuation Model'!C10*'Graphing Data'!L3</f>
        <v>4487.6370000000006</v>
      </c>
      <c r="M11" s="18">
        <f>'Valuation Model'!D10*'Graphing Data'!M3</f>
        <v>4622.2661100000005</v>
      </c>
      <c r="N11" s="18">
        <f>'Valuation Model'!E10*'Graphing Data'!N3</f>
        <v>4899.6020766000011</v>
      </c>
      <c r="O11" s="18">
        <f>'Valuation Model'!F10*'Graphing Data'!O3</f>
        <v>5193.5782011960009</v>
      </c>
      <c r="P11" s="18">
        <f>'Valuation Model'!G10*'Graphing Data'!P3</f>
        <v>5505.1928932677611</v>
      </c>
    </row>
    <row r="12" spans="1:21">
      <c r="A12" t="s">
        <v>171</v>
      </c>
      <c r="L12" s="18">
        <f>'Valuation Model'!C11*'Graphing Data'!L4</f>
        <v>3319.10295</v>
      </c>
      <c r="M12" s="18">
        <f>'Valuation Model'!D11*'Graphing Data'!M4</f>
        <v>3319.10295</v>
      </c>
      <c r="N12" s="18">
        <f>'Valuation Model'!E11*'Graphing Data'!N4</f>
        <v>3219.5298614999997</v>
      </c>
      <c r="O12" s="18">
        <f>'Valuation Model'!F11*'Graphing Data'!O4</f>
        <v>3122.9439656549998</v>
      </c>
      <c r="P12" s="18">
        <f>'Valuation Model'!G11*'Graphing Data'!P4</f>
        <v>3029.2556466853498</v>
      </c>
    </row>
    <row r="13" spans="1:21">
      <c r="A13" t="s">
        <v>172</v>
      </c>
      <c r="B13" s="20">
        <f>B10/B2</f>
        <v>0.11497802356832747</v>
      </c>
      <c r="C13" s="20">
        <f t="shared" ref="C13:K13" si="2">C10/C2</f>
        <v>0.16315293254304261</v>
      </c>
      <c r="D13" s="20">
        <f t="shared" si="2"/>
        <v>0.17751809868141216</v>
      </c>
      <c r="E13" s="20">
        <f t="shared" si="2"/>
        <v>0.19887708376103469</v>
      </c>
      <c r="F13" s="20">
        <f t="shared" si="2"/>
        <v>0.19739202127659575</v>
      </c>
      <c r="G13" s="20">
        <f t="shared" si="2"/>
        <v>0.35458508597695931</v>
      </c>
      <c r="H13" s="20">
        <f t="shared" si="2"/>
        <v>0.16909014342386328</v>
      </c>
      <c r="I13" s="20">
        <f t="shared" si="2"/>
        <v>0.16861685874425342</v>
      </c>
      <c r="J13" s="20">
        <f t="shared" si="2"/>
        <v>8.7757071256038655E-2</v>
      </c>
      <c r="K13" s="20">
        <f t="shared" si="2"/>
        <v>0.12663174962680804</v>
      </c>
    </row>
    <row r="14" spans="1:21">
      <c r="A14" t="s">
        <v>173</v>
      </c>
      <c r="K14" s="99">
        <f>K13</f>
        <v>0.12663174962680804</v>
      </c>
      <c r="L14" s="99">
        <f>'Valuation Model'!C10</f>
        <v>0.22</v>
      </c>
      <c r="M14" s="99">
        <f>'Valuation Model'!D10</f>
        <v>0.22</v>
      </c>
      <c r="N14" s="99">
        <f>'Valuation Model'!E10</f>
        <v>0.22</v>
      </c>
      <c r="O14" s="99">
        <f>'Valuation Model'!F10</f>
        <v>0.22</v>
      </c>
      <c r="P14" s="99">
        <f>'Valuation Model'!G10</f>
        <v>0.22</v>
      </c>
    </row>
    <row r="15" spans="1:21">
      <c r="A15" t="s">
        <v>174</v>
      </c>
      <c r="K15" s="99">
        <f>K13</f>
        <v>0.12663174962680804</v>
      </c>
      <c r="L15" s="99">
        <f>'Valuation Model'!C11</f>
        <v>0.17</v>
      </c>
      <c r="M15" s="99">
        <f>'Valuation Model'!D11</f>
        <v>0.17</v>
      </c>
      <c r="N15" s="99">
        <f>'Valuation Model'!E11</f>
        <v>0.17</v>
      </c>
      <c r="O15" s="99">
        <f>'Valuation Model'!F11</f>
        <v>0.17</v>
      </c>
      <c r="P15" s="99">
        <f>'Valuation Model'!G11</f>
        <v>0.17</v>
      </c>
    </row>
    <row r="17" spans="1:16">
      <c r="A17" s="10" t="s">
        <v>175</v>
      </c>
      <c r="B17" s="134">
        <f>B9</f>
        <v>39447</v>
      </c>
      <c r="C17" s="134">
        <f t="shared" ref="C17:K17" si="3">C9</f>
        <v>39813</v>
      </c>
      <c r="D17" s="134">
        <f t="shared" si="3"/>
        <v>40178</v>
      </c>
      <c r="E17" s="134">
        <f t="shared" si="3"/>
        <v>40543</v>
      </c>
      <c r="F17" s="134">
        <f t="shared" si="3"/>
        <v>40908</v>
      </c>
      <c r="G17" s="134">
        <f t="shared" si="3"/>
        <v>41274</v>
      </c>
      <c r="H17" s="134">
        <f t="shared" si="3"/>
        <v>41639</v>
      </c>
      <c r="I17" s="134">
        <f t="shared" si="3"/>
        <v>42004</v>
      </c>
      <c r="J17" s="134">
        <f t="shared" si="3"/>
        <v>42369</v>
      </c>
      <c r="K17" s="134">
        <f t="shared" si="3"/>
        <v>42735</v>
      </c>
    </row>
    <row r="18" spans="1:16">
      <c r="A18" t="s">
        <v>137</v>
      </c>
      <c r="B18" s="18">
        <f>B10</f>
        <v>2224.5947999999999</v>
      </c>
      <c r="C18" s="18">
        <f t="shared" ref="C18:K18" si="4">C10</f>
        <v>2890.2541999999999</v>
      </c>
      <c r="D18" s="18">
        <f t="shared" si="4"/>
        <v>3338.7604000000001</v>
      </c>
      <c r="E18" s="18">
        <f t="shared" si="4"/>
        <v>3874.9211</v>
      </c>
      <c r="F18" s="18">
        <f t="shared" si="4"/>
        <v>4193.3960999999999</v>
      </c>
      <c r="G18" s="18">
        <f t="shared" si="4"/>
        <v>6248.1437999999998</v>
      </c>
      <c r="H18" s="18">
        <f t="shared" si="4"/>
        <v>2770.5419999999999</v>
      </c>
      <c r="I18" s="18">
        <f t="shared" si="4"/>
        <v>2677.4670999999998</v>
      </c>
      <c r="J18" s="18">
        <f t="shared" si="4"/>
        <v>1453.2571</v>
      </c>
      <c r="K18" s="18">
        <f t="shared" si="4"/>
        <v>2460.0749999999998</v>
      </c>
    </row>
    <row r="19" spans="1:16">
      <c r="A19" t="s">
        <v>176</v>
      </c>
      <c r="B19" s="18">
        <f>-'Company Analysis'!B28</f>
        <v>110.27378964193184</v>
      </c>
      <c r="C19" s="18">
        <f>-'Company Analysis'!C28</f>
        <v>-4457.0887482212856</v>
      </c>
      <c r="D19" s="18">
        <f>-'Company Analysis'!D28</f>
        <v>2275.0567765871165</v>
      </c>
      <c r="E19" s="18">
        <f>-'Company Analysis'!E28</f>
        <v>694.63735880922059</v>
      </c>
      <c r="F19" s="18">
        <f>-'Company Analysis'!F28</f>
        <v>205.79377301712157</v>
      </c>
      <c r="G19" s="18">
        <f>-'Company Analysis'!G28</f>
        <v>7571.6820819999994</v>
      </c>
      <c r="H19" s="18">
        <f>-'Company Analysis'!H28</f>
        <v>240.13095238049596</v>
      </c>
      <c r="I19" s="18">
        <f>-'Company Analysis'!I28</f>
        <v>-2892.3549321432438</v>
      </c>
      <c r="J19" s="18">
        <f>-'Company Analysis'!J28</f>
        <v>1243.4963488096218</v>
      </c>
      <c r="K19" s="18">
        <f>-'Company Analysis'!K28</f>
        <v>206.71273857122571</v>
      </c>
    </row>
    <row r="21" spans="1:16">
      <c r="A21" s="10" t="s">
        <v>177</v>
      </c>
      <c r="B21" s="134">
        <f>B17</f>
        <v>39447</v>
      </c>
      <c r="C21" s="134">
        <f t="shared" ref="C21:K21" si="5">C17</f>
        <v>39813</v>
      </c>
      <c r="D21" s="134">
        <f t="shared" si="5"/>
        <v>40178</v>
      </c>
      <c r="E21" s="134">
        <f t="shared" si="5"/>
        <v>40543</v>
      </c>
      <c r="F21" s="134">
        <f t="shared" si="5"/>
        <v>40908</v>
      </c>
      <c r="G21" s="134">
        <f t="shared" si="5"/>
        <v>41274</v>
      </c>
      <c r="H21" s="134">
        <f t="shared" si="5"/>
        <v>41639</v>
      </c>
      <c r="I21" s="134">
        <f t="shared" si="5"/>
        <v>42004</v>
      </c>
      <c r="J21" s="134">
        <f t="shared" si="5"/>
        <v>42369</v>
      </c>
      <c r="K21" s="134">
        <f t="shared" si="5"/>
        <v>42735</v>
      </c>
    </row>
    <row r="22" spans="1:16">
      <c r="A22" t="str">
        <f>'Company Analysis'!A19</f>
        <v>Capex in Excess of Maintenance</v>
      </c>
      <c r="B22" s="18">
        <f>-'Company Analysis'!B19</f>
        <v>-85.40520000000015</v>
      </c>
      <c r="C22" s="18">
        <f>-'Company Analysis'!C19</f>
        <v>124.25419999999986</v>
      </c>
      <c r="D22" s="18">
        <f>-'Company Analysis'!D19</f>
        <v>3.7604000000001179</v>
      </c>
      <c r="E22" s="18">
        <f>-'Company Analysis'!E19</f>
        <v>-192.07889999999998</v>
      </c>
      <c r="F22" s="18">
        <f>-'Company Analysis'!F19</f>
        <v>-279.60390000000007</v>
      </c>
      <c r="G22" s="18">
        <f>-'Company Analysis'!G19</f>
        <v>-144.85620000000017</v>
      </c>
      <c r="H22" s="18">
        <f>-'Company Analysis'!H19</f>
        <v>-237.45800000000008</v>
      </c>
      <c r="I22" s="18">
        <f>-'Company Analysis'!I19</f>
        <v>55.467099999999846</v>
      </c>
      <c r="J22" s="18">
        <f>-'Company Analysis'!J19</f>
        <v>441.25710000000004</v>
      </c>
      <c r="K22" s="18">
        <f>-'Company Analysis'!K19</f>
        <v>825.07499999999982</v>
      </c>
    </row>
    <row r="23" spans="1:16">
      <c r="A23" t="s">
        <v>179</v>
      </c>
      <c r="B23" s="18">
        <f>-'Company Analysis'!B20</f>
        <v>-317</v>
      </c>
      <c r="C23" s="18">
        <f>-'Company Analysis'!C20</f>
        <v>-4839</v>
      </c>
      <c r="D23" s="18">
        <f>-'Company Analysis'!D20</f>
        <v>-26</v>
      </c>
      <c r="E23" s="18">
        <f>-'Company Analysis'!E20</f>
        <v>-67</v>
      </c>
      <c r="F23" s="18">
        <f>-'Company Analysis'!F20</f>
        <v>-149</v>
      </c>
      <c r="G23" s="18">
        <f>-'Company Analysis'!G20</f>
        <v>-68</v>
      </c>
      <c r="H23" s="18">
        <f>-'Company Analysis'!H20</f>
        <v>-9</v>
      </c>
      <c r="I23" s="18">
        <f>-'Company Analysis'!I20</f>
        <v>-3585</v>
      </c>
      <c r="J23" s="18">
        <f>-'Company Analysis'!J20</f>
        <v>-708</v>
      </c>
      <c r="K23" s="18">
        <f>-'Company Analysis'!K20</f>
        <v>-1334</v>
      </c>
    </row>
    <row r="24" spans="1:16">
      <c r="A24" t="s">
        <v>180</v>
      </c>
      <c r="B24" s="18">
        <f>-'Company Analysis'!B21</f>
        <v>432</v>
      </c>
      <c r="C24" s="18">
        <f>-'Company Analysis'!C21</f>
        <v>191</v>
      </c>
      <c r="D24" s="18">
        <f>-'Company Analysis'!D21</f>
        <v>2232</v>
      </c>
      <c r="E24" s="18">
        <f>-'Company Analysis'!E21</f>
        <v>829</v>
      </c>
      <c r="F24" s="18">
        <f>-'Company Analysis'!F21</f>
        <v>360</v>
      </c>
      <c r="G24" s="18">
        <f>-'Company Analysis'!G21</f>
        <v>7530</v>
      </c>
      <c r="H24" s="18">
        <f>-'Company Analysis'!H21</f>
        <v>0</v>
      </c>
      <c r="I24" s="18">
        <f>-'Company Analysis'!I21</f>
        <v>219</v>
      </c>
      <c r="J24" s="18">
        <f>-'Company Analysis'!J21</f>
        <v>1111</v>
      </c>
      <c r="K24" s="18">
        <f>-'Company Analysis'!K21</f>
        <v>359</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80.678989641931992</v>
      </c>
      <c r="C27" s="18">
        <f>-'Company Analysis'!C27</f>
        <v>66.657051778715001</v>
      </c>
      <c r="D27" s="18">
        <f>-'Company Analysis'!D27</f>
        <v>65.296376587116185</v>
      </c>
      <c r="E27" s="18">
        <f>-'Company Analysis'!E27</f>
        <v>124.71625880922056</v>
      </c>
      <c r="F27" s="18">
        <f>-'Company Analysis'!F27</f>
        <v>274.39767301712163</v>
      </c>
      <c r="G27" s="18">
        <f>-'Company Analysis'!G27</f>
        <v>254.53828199999998</v>
      </c>
      <c r="H27" s="18">
        <f>-'Company Analysis'!H27</f>
        <v>486.58895238049604</v>
      </c>
      <c r="I27" s="18">
        <f>-'Company Analysis'!I27</f>
        <v>418.17796785675637</v>
      </c>
      <c r="J27" s="18">
        <f>-'Company Analysis'!J27</f>
        <v>399.23924880962193</v>
      </c>
      <c r="K27" s="18">
        <f>-'Company Analysis'!K27</f>
        <v>356.6377385712259</v>
      </c>
    </row>
    <row r="29" spans="1:16">
      <c r="A29" s="10" t="s">
        <v>73</v>
      </c>
      <c r="B29" s="134">
        <f>B1</f>
        <v>39447</v>
      </c>
      <c r="C29" s="134">
        <f t="shared" ref="C29:P29" si="6">C1</f>
        <v>39813</v>
      </c>
      <c r="D29" s="134">
        <f t="shared" si="6"/>
        <v>40178</v>
      </c>
      <c r="E29" s="134">
        <f t="shared" si="6"/>
        <v>40543</v>
      </c>
      <c r="F29" s="134">
        <f t="shared" si="6"/>
        <v>40908</v>
      </c>
      <c r="G29" s="134">
        <f t="shared" si="6"/>
        <v>41274</v>
      </c>
      <c r="H29" s="134">
        <f t="shared" si="6"/>
        <v>41639</v>
      </c>
      <c r="I29" s="134">
        <f t="shared" si="6"/>
        <v>42004</v>
      </c>
      <c r="J29" s="134">
        <f t="shared" si="6"/>
        <v>42369</v>
      </c>
      <c r="K29" s="134">
        <f t="shared" si="6"/>
        <v>42735</v>
      </c>
      <c r="L29" s="134">
        <f t="shared" si="6"/>
        <v>43100</v>
      </c>
      <c r="M29" s="134">
        <f t="shared" si="6"/>
        <v>43465</v>
      </c>
      <c r="N29" s="134">
        <f t="shared" si="6"/>
        <v>43830</v>
      </c>
      <c r="O29" s="134">
        <f t="shared" si="6"/>
        <v>44195</v>
      </c>
      <c r="P29" s="134">
        <f t="shared" si="6"/>
        <v>44560</v>
      </c>
    </row>
    <row r="30" spans="1:16">
      <c r="A30" t="s">
        <v>183</v>
      </c>
      <c r="B30" s="18">
        <f>'Company Analysis'!B32</f>
        <v>2114.3210103580682</v>
      </c>
      <c r="C30" s="18">
        <f>'Company Analysis'!C32</f>
        <v>7347.342948221285</v>
      </c>
      <c r="D30" s="18">
        <f>'Company Analysis'!D32</f>
        <v>1063.7036234128836</v>
      </c>
      <c r="E30" s="18">
        <f>'Company Analysis'!E32</f>
        <v>3180.2837411907794</v>
      </c>
      <c r="F30" s="18">
        <f>'Company Analysis'!F32</f>
        <v>3987.6023269828784</v>
      </c>
      <c r="G30" s="18">
        <f>'Company Analysis'!G32</f>
        <v>-1323.5382819999995</v>
      </c>
      <c r="H30" s="18">
        <f>'Company Analysis'!H32</f>
        <v>2530.4110476195037</v>
      </c>
      <c r="I30" s="18">
        <f>'Company Analysis'!I32</f>
        <v>5569.8220321432436</v>
      </c>
      <c r="J30" s="18">
        <f>'Company Analysis'!J32</f>
        <v>209.76075119037819</v>
      </c>
      <c r="K30" s="18">
        <f>'Company Analysis'!K32</f>
        <v>2253.3622614287742</v>
      </c>
    </row>
    <row r="31" spans="1:16">
      <c r="A31" t="s">
        <v>184</v>
      </c>
      <c r="L31" s="18">
        <f>L11*(1-'Valuation Model'!C12)</f>
        <v>3769.6150800000005</v>
      </c>
      <c r="M31" s="18">
        <f>M11*(1-'Valuation Model'!D12)</f>
        <v>3882.7035324000003</v>
      </c>
      <c r="N31" s="18">
        <f>N11*(1-'Valuation Model'!E12)</f>
        <v>4115.6657443440008</v>
      </c>
      <c r="O31" s="18">
        <f>O11*(1-'Valuation Model'!F12)</f>
        <v>4362.6056890046402</v>
      </c>
      <c r="P31" s="18">
        <f>P11*(1-'Valuation Model'!G12)</f>
        <v>4624.3620303449188</v>
      </c>
    </row>
    <row r="32" spans="1:16">
      <c r="A32" t="s">
        <v>185</v>
      </c>
      <c r="L32" s="18">
        <f>L12*(1-'Valuation Model'!C12)</f>
        <v>2788.0464779999998</v>
      </c>
      <c r="M32" s="18">
        <f>M12*(1-'Valuation Model'!D12)</f>
        <v>2788.0464779999998</v>
      </c>
      <c r="N32" s="18">
        <f>N12*(1-'Valuation Model'!E12)</f>
        <v>2704.4050836599995</v>
      </c>
      <c r="O32" s="18">
        <f>O12*(1-'Valuation Model'!F12)</f>
        <v>2623.2729311501998</v>
      </c>
      <c r="P32" s="18">
        <f>P12*(1-'Valuation Model'!G12)</f>
        <v>2544.5747432156936</v>
      </c>
    </row>
    <row r="33" spans="1:21">
      <c r="A33" t="s">
        <v>186</v>
      </c>
      <c r="B33" s="20">
        <f t="shared" ref="B33:J33" si="7">B30/B2</f>
        <v>0.1092785306159845</v>
      </c>
      <c r="C33" s="20">
        <f t="shared" si="7"/>
        <v>0.41475263608361757</v>
      </c>
      <c r="D33" s="20">
        <f t="shared" si="7"/>
        <v>5.6555913622548047E-2</v>
      </c>
      <c r="E33" s="20">
        <f t="shared" si="7"/>
        <v>0.16322540244255693</v>
      </c>
      <c r="F33" s="20">
        <f t="shared" si="7"/>
        <v>0.18770487323398977</v>
      </c>
      <c r="G33" s="20">
        <f t="shared" si="7"/>
        <v>-7.5111417172691652E-2</v>
      </c>
      <c r="H33" s="20">
        <f t="shared" si="7"/>
        <v>0.15443460772776954</v>
      </c>
      <c r="I33" s="20">
        <f t="shared" si="7"/>
        <v>0.35076654903603777</v>
      </c>
      <c r="J33" s="20">
        <f t="shared" si="7"/>
        <v>1.266671202840448E-2</v>
      </c>
      <c r="K33" s="20">
        <f>K30/K2</f>
        <v>0.11599126274920339</v>
      </c>
    </row>
    <row r="34" spans="1:21">
      <c r="A34" t="s">
        <v>187</v>
      </c>
      <c r="K34" s="99">
        <f>K33</f>
        <v>0.11599126274920339</v>
      </c>
      <c r="L34" s="135">
        <f>(1-'Valuation Model'!C12)*'Valuation Model'!C10</f>
        <v>0.18479999999999999</v>
      </c>
      <c r="M34" s="135">
        <f>(1-'Valuation Model'!D12)*'Valuation Model'!D10</f>
        <v>0.18479999999999999</v>
      </c>
      <c r="N34" s="135">
        <f>(1-'Valuation Model'!E12)*'Valuation Model'!E10</f>
        <v>0.18479999999999999</v>
      </c>
      <c r="O34" s="135">
        <f>(1-'Valuation Model'!F12)*'Valuation Model'!F10</f>
        <v>0.18479999999999999</v>
      </c>
      <c r="P34" s="135">
        <f>(1-'Valuation Model'!G12)*'Valuation Model'!G10</f>
        <v>0.18479999999999999</v>
      </c>
    </row>
    <row r="35" spans="1:21">
      <c r="A35" t="s">
        <v>188</v>
      </c>
      <c r="K35" s="99">
        <f>K33</f>
        <v>0.11599126274920339</v>
      </c>
      <c r="L35" s="135">
        <f>(1-'Valuation Model'!C12)*'Valuation Model'!C11</f>
        <v>0.14280000000000001</v>
      </c>
      <c r="M35" s="135">
        <f>(1-'Valuation Model'!D12)*'Valuation Model'!D11</f>
        <v>0.14280000000000001</v>
      </c>
      <c r="N35" s="135">
        <f>(1-'Valuation Model'!E12)*'Valuation Model'!E11</f>
        <v>0.14280000000000001</v>
      </c>
      <c r="O35" s="135">
        <f>(1-'Valuation Model'!F12)*'Valuation Model'!F11</f>
        <v>0.14280000000000001</v>
      </c>
      <c r="P35" s="135">
        <f>(1-'Valuation Model'!G12)*'Valuation Model'!G11</f>
        <v>0.14280000000000001</v>
      </c>
    </row>
    <row r="37" spans="1:21">
      <c r="A37" s="10" t="s">
        <v>153</v>
      </c>
      <c r="B37" s="134">
        <f>B1</f>
        <v>39447</v>
      </c>
      <c r="C37" s="134">
        <f t="shared" ref="C37:K37" si="8">C1</f>
        <v>39813</v>
      </c>
      <c r="D37" s="134">
        <f t="shared" si="8"/>
        <v>40178</v>
      </c>
      <c r="E37" s="134">
        <f t="shared" si="8"/>
        <v>40543</v>
      </c>
      <c r="F37" s="134">
        <f t="shared" si="8"/>
        <v>40908</v>
      </c>
      <c r="G37" s="134">
        <f t="shared" si="8"/>
        <v>41274</v>
      </c>
      <c r="H37" s="134">
        <f t="shared" si="8"/>
        <v>41639</v>
      </c>
      <c r="I37" s="134">
        <f t="shared" si="8"/>
        <v>42004</v>
      </c>
      <c r="J37" s="134">
        <f t="shared" si="8"/>
        <v>42369</v>
      </c>
      <c r="K37" s="134">
        <f t="shared" si="8"/>
        <v>42735</v>
      </c>
    </row>
    <row r="38" spans="1:21">
      <c r="A38" t="str">
        <f>ticker&amp;" Actual OCP ($, LHS)"</f>
        <v>BMY Actual OCP ($, LHS)</v>
      </c>
      <c r="B38" s="18">
        <f>B10</f>
        <v>2224.5947999999999</v>
      </c>
      <c r="C38" s="18">
        <f t="shared" ref="C38:K38" si="9">C10</f>
        <v>2890.2541999999999</v>
      </c>
      <c r="D38" s="18">
        <f t="shared" si="9"/>
        <v>3338.7604000000001</v>
      </c>
      <c r="E38" s="18">
        <f t="shared" si="9"/>
        <v>3874.9211</v>
      </c>
      <c r="F38" s="18">
        <f t="shared" si="9"/>
        <v>4193.3960999999999</v>
      </c>
      <c r="G38" s="18">
        <f t="shared" si="9"/>
        <v>6248.1437999999998</v>
      </c>
      <c r="H38" s="18">
        <f t="shared" si="9"/>
        <v>2770.5419999999999</v>
      </c>
      <c r="I38" s="18">
        <f t="shared" si="9"/>
        <v>2677.4670999999998</v>
      </c>
      <c r="J38" s="18">
        <f t="shared" si="9"/>
        <v>1453.2571</v>
      </c>
      <c r="K38" s="18">
        <f t="shared" si="9"/>
        <v>2460.0749999999998</v>
      </c>
    </row>
    <row r="39" spans="1:21">
      <c r="A39" t="str">
        <f>ticker&amp;" OCP if GDP-Growth ($, LHS)"</f>
        <v>BMY OCP if GDP-Growth ($, LHS)</v>
      </c>
      <c r="B39" s="18">
        <f>B38</f>
        <v>2224.5947999999999</v>
      </c>
      <c r="C39" s="18">
        <f>(1+'Company Analysis'!C40)*B39</f>
        <v>2203.3786167814837</v>
      </c>
      <c r="D39" s="18">
        <f>(1+'Company Analysis'!D40)*C39</f>
        <v>2205.8924543362828</v>
      </c>
      <c r="E39" s="18">
        <f>(1+'Company Analysis'!E40)*D39</f>
        <v>2306.4005257290673</v>
      </c>
      <c r="F39" s="18">
        <f>(1+'Company Analysis'!F40)*E39</f>
        <v>2390.4626478175628</v>
      </c>
      <c r="G39" s="18">
        <f>(1+'Company Analysis'!G40)*F39</f>
        <v>2473.3284255275698</v>
      </c>
      <c r="H39" s="18">
        <f>(1+'Company Analysis'!H40)*G39</f>
        <v>2586.2693922968006</v>
      </c>
      <c r="I39" s="18">
        <f>(1+'Company Analysis'!I40)*H39</f>
        <v>2680.9774649938736</v>
      </c>
      <c r="J39" s="18">
        <f>(1+'Company Analysis'!J40)*I39</f>
        <v>2675.1168918992512</v>
      </c>
      <c r="K39" s="18">
        <f>(1+'Company Analysis'!K40)*J39</f>
        <v>2675.1168918992512</v>
      </c>
    </row>
    <row r="40" spans="1:21" ht="16.5">
      <c r="A40" t="str">
        <f>ticker&amp;" - GDP Growth Difference (YoY, %, RHS)"</f>
        <v>BMY - GDP Growth Difference (YoY, %, RHS)</v>
      </c>
      <c r="B40" s="136"/>
      <c r="C40" s="99">
        <f>'Company Analysis'!C41-'Company Analysis'!C40</f>
        <v>0.30876435709483641</v>
      </c>
      <c r="D40" s="99">
        <f>'Company Analysis'!D41-'Company Analysis'!D40</f>
        <v>0.15403790614372315</v>
      </c>
      <c r="E40" s="99">
        <f>'Company Analysis'!E41-'Company Analysis'!E40</f>
        <v>0.11502330510892134</v>
      </c>
      <c r="F40" s="99">
        <f>'Company Analysis'!F41-'Company Analysis'!F40</f>
        <v>4.574144847501449E-2</v>
      </c>
      <c r="G40" s="99">
        <f>'Company Analysis'!G41-'Company Analysis'!G40</f>
        <v>0.45533092855378987</v>
      </c>
      <c r="H40" s="99">
        <f>'Company Analysis'!H41-'Company Analysis'!H40</f>
        <v>-0.60224514254203876</v>
      </c>
      <c r="I40" s="99">
        <f>'Company Analysis'!I41-'Company Analysis'!I40</f>
        <v>-7.0214043435830042E-2</v>
      </c>
      <c r="J40" s="99">
        <f>'Company Analysis'!J41-'Company Analysis'!J40</f>
        <v>-0.45504092300746057</v>
      </c>
      <c r="K40" s="99">
        <f>'Company Analysis'!K41-'Company Analysis'!K40</f>
        <v>0.69280095036177691</v>
      </c>
    </row>
    <row r="41" spans="1:21" ht="16.5">
      <c r="A41" t="str">
        <f>ticker&amp;" - GDP Growth Difference (3Y, %, RHS)"</f>
        <v>BMY - GDP Growth Difference (3Y, %, RHS)</v>
      </c>
      <c r="B41" s="137"/>
      <c r="C41" s="99"/>
      <c r="D41" s="99"/>
      <c r="E41" s="99">
        <f>'Company Analysis'!E43-'Company Analysis'!E42</f>
        <v>0.1828899676492004</v>
      </c>
      <c r="F41" s="99">
        <f>'Company Analysis'!F43-'Company Analysis'!F42</f>
        <v>0.10111586388417337</v>
      </c>
      <c r="G41" s="99">
        <f>'Company Analysis'!G43-'Company Analysis'!G42</f>
        <v>0.21630736033859232</v>
      </c>
      <c r="H41" s="99">
        <f>'Company Analysis'!H43-'Company Analysis'!H42</f>
        <v>-0.11617278148544563</v>
      </c>
      <c r="I41" s="99">
        <f>'Company Analysis'!I43-'Company Analysis'!I42</f>
        <v>-0.15373304779396413</v>
      </c>
      <c r="J41" s="99">
        <f>'Company Analysis'!J43-'Company Analysis'!J42</f>
        <v>-0.43602309759712032</v>
      </c>
      <c r="K41" s="99">
        <f>'Company Analysis'!K43-'Company Analysis'!K42</f>
        <v>-5.617349312258757E-2</v>
      </c>
    </row>
    <row r="44" spans="1:21">
      <c r="A44" s="10" t="s">
        <v>73</v>
      </c>
    </row>
    <row r="45" spans="1:21">
      <c r="A45" t="s">
        <v>236</v>
      </c>
      <c r="B45" s="18">
        <f>B30</f>
        <v>2114.3210103580682</v>
      </c>
      <c r="C45" s="18">
        <f t="shared" ref="C45:K45" si="10">C30</f>
        <v>7347.342948221285</v>
      </c>
      <c r="D45" s="18">
        <f t="shared" si="10"/>
        <v>1063.7036234128836</v>
      </c>
      <c r="E45" s="18">
        <f t="shared" si="10"/>
        <v>3180.2837411907794</v>
      </c>
      <c r="F45" s="18">
        <f t="shared" si="10"/>
        <v>3987.6023269828784</v>
      </c>
      <c r="G45" s="18">
        <f t="shared" si="10"/>
        <v>-1323.5382819999995</v>
      </c>
      <c r="H45" s="18">
        <f t="shared" si="10"/>
        <v>2530.4110476195037</v>
      </c>
      <c r="I45" s="18">
        <f t="shared" si="10"/>
        <v>5569.8220321432436</v>
      </c>
      <c r="J45" s="18">
        <f t="shared" si="10"/>
        <v>209.76075119037819</v>
      </c>
      <c r="K45" s="18">
        <f t="shared" si="10"/>
        <v>2253.3622614287742</v>
      </c>
    </row>
    <row r="46" spans="1:21">
      <c r="A46" t="s">
        <v>240</v>
      </c>
      <c r="K46" s="18">
        <f>K45</f>
        <v>2253.3622614287742</v>
      </c>
      <c r="L46" s="18">
        <f>L31</f>
        <v>3769.6150800000005</v>
      </c>
      <c r="M46" s="18">
        <f t="shared" ref="M46:P46" si="11">M31</f>
        <v>3882.7035324000003</v>
      </c>
      <c r="N46" s="18">
        <f t="shared" si="11"/>
        <v>4115.6657443440008</v>
      </c>
      <c r="O46" s="18">
        <f t="shared" si="11"/>
        <v>4362.6056890046402</v>
      </c>
      <c r="P46" s="18">
        <f t="shared" si="11"/>
        <v>4624.3620303449188</v>
      </c>
    </row>
    <row r="47" spans="1:21">
      <c r="A47" t="s">
        <v>241</v>
      </c>
      <c r="P47" s="18">
        <f>P46</f>
        <v>4624.3620303449188</v>
      </c>
      <c r="Q47" s="18">
        <f>P46*(1+'Valuation Model'!$C$17)</f>
        <v>5086.7982333794107</v>
      </c>
      <c r="R47" s="18">
        <f>Q47*(1+'Valuation Model'!$C$17)</f>
        <v>5595.478056717352</v>
      </c>
      <c r="S47" s="18">
        <f>R47*(1+'Valuation Model'!$C$17)</f>
        <v>6155.0258623890877</v>
      </c>
      <c r="T47" s="18">
        <f>S47*(1+'Valuation Model'!$C$17)</f>
        <v>6770.528448627997</v>
      </c>
      <c r="U47" s="18">
        <f>T47*(1+'Valuation Model'!$C$17)</f>
        <v>7447.5812934907972</v>
      </c>
    </row>
    <row r="48" spans="1:21">
      <c r="A48" t="s">
        <v>242</v>
      </c>
      <c r="P48" s="18">
        <f>P46</f>
        <v>4624.3620303449188</v>
      </c>
      <c r="Q48" s="18">
        <f>P46*(1+'Valuation Model'!$C$18)</f>
        <v>4161.9258273104269</v>
      </c>
      <c r="R48" s="18">
        <f>Q48*(1+'Valuation Model'!$C$18)</f>
        <v>3745.7332445793845</v>
      </c>
      <c r="S48" s="18">
        <f>R48*(1+'Valuation Model'!$C$18)</f>
        <v>3371.1599201214462</v>
      </c>
      <c r="T48" s="18">
        <f>S48*(1+'Valuation Model'!$C$18)</f>
        <v>3034.0439281093018</v>
      </c>
      <c r="U48" s="18">
        <f>T48*(1+'Valuation Model'!$C$18)</f>
        <v>2730.6395352983718</v>
      </c>
    </row>
    <row r="49" spans="1:21">
      <c r="A49" t="s">
        <v>239</v>
      </c>
      <c r="K49" s="18">
        <f>K45</f>
        <v>2253.3622614287742</v>
      </c>
      <c r="L49" s="18">
        <f>L32</f>
        <v>2788.0464779999998</v>
      </c>
      <c r="M49" s="18">
        <f t="shared" ref="M49:P49" si="12">M32</f>
        <v>2788.0464779999998</v>
      </c>
      <c r="N49" s="18">
        <f t="shared" si="12"/>
        <v>2704.4050836599995</v>
      </c>
      <c r="O49" s="18">
        <f t="shared" si="12"/>
        <v>2623.2729311501998</v>
      </c>
      <c r="P49" s="18">
        <f t="shared" si="12"/>
        <v>2544.5747432156936</v>
      </c>
    </row>
    <row r="50" spans="1:21">
      <c r="A50" t="s">
        <v>237</v>
      </c>
      <c r="P50" s="18">
        <f>P49</f>
        <v>2544.5747432156936</v>
      </c>
      <c r="Q50" s="18">
        <f>P49*(1+'Valuation Model'!$C$17)</f>
        <v>2799.032217537263</v>
      </c>
      <c r="R50" s="18">
        <f>Q50*(1+'Valuation Model'!$C$17)</f>
        <v>3078.9354392909895</v>
      </c>
      <c r="S50" s="18">
        <f>R50*(1+'Valuation Model'!$C$17)</f>
        <v>3386.828983220089</v>
      </c>
      <c r="T50" s="18">
        <f>S50*(1+'Valuation Model'!$C$17)</f>
        <v>3725.5118815420983</v>
      </c>
      <c r="U50" s="18">
        <f>T50*(1+'Valuation Model'!$C$17)</f>
        <v>4098.063069696308</v>
      </c>
    </row>
    <row r="51" spans="1:21">
      <c r="A51" t="s">
        <v>238</v>
      </c>
      <c r="P51" s="18">
        <f>P49</f>
        <v>2544.5747432156936</v>
      </c>
      <c r="Q51" s="18">
        <f>P49*(1+'Valuation Model'!$C$18)</f>
        <v>2290.1172688941242</v>
      </c>
      <c r="R51" s="18">
        <f>Q51*(1+'Valuation Model'!$C$18)</f>
        <v>2061.1055420047119</v>
      </c>
      <c r="S51" s="18">
        <f>R51*(1+'Valuation Model'!$C$18)</f>
        <v>1854.9949878042407</v>
      </c>
      <c r="T51" s="18">
        <f>S51*(1+'Valuation Model'!$C$18)</f>
        <v>1669.4954890238166</v>
      </c>
      <c r="U51" s="18">
        <f>T51*(1+'Valuation Model'!$C$18)</f>
        <v>1502.545940121435</v>
      </c>
    </row>
    <row r="53" spans="1:21">
      <c r="A53" s="10" t="s">
        <v>137</v>
      </c>
    </row>
    <row r="54" spans="1:21">
      <c r="A54" t="s">
        <v>236</v>
      </c>
      <c r="B54" s="18">
        <f>B10</f>
        <v>2224.5947999999999</v>
      </c>
      <c r="C54" s="18">
        <f t="shared" ref="C54:K54" si="13">C10</f>
        <v>2890.2541999999999</v>
      </c>
      <c r="D54" s="18">
        <f t="shared" si="13"/>
        <v>3338.7604000000001</v>
      </c>
      <c r="E54" s="18">
        <f t="shared" si="13"/>
        <v>3874.9211</v>
      </c>
      <c r="F54" s="18">
        <f t="shared" si="13"/>
        <v>4193.3960999999999</v>
      </c>
      <c r="G54" s="18">
        <f t="shared" si="13"/>
        <v>6248.1437999999998</v>
      </c>
      <c r="H54" s="18">
        <f t="shared" si="13"/>
        <v>2770.5419999999999</v>
      </c>
      <c r="I54" s="18">
        <f t="shared" si="13"/>
        <v>2677.4670999999998</v>
      </c>
      <c r="J54" s="18">
        <f t="shared" si="13"/>
        <v>1453.2571</v>
      </c>
      <c r="K54" s="18">
        <f t="shared" si="13"/>
        <v>2460.0749999999998</v>
      </c>
    </row>
    <row r="55" spans="1:21">
      <c r="A55" t="s">
        <v>240</v>
      </c>
      <c r="K55" s="18">
        <f>K54</f>
        <v>2460.0749999999998</v>
      </c>
      <c r="L55" s="18">
        <f>L11</f>
        <v>4487.6370000000006</v>
      </c>
      <c r="M55" s="18">
        <f t="shared" ref="M55:P55" si="14">M11</f>
        <v>4622.2661100000005</v>
      </c>
      <c r="N55" s="18">
        <f t="shared" si="14"/>
        <v>4899.6020766000011</v>
      </c>
      <c r="O55" s="18">
        <f t="shared" si="14"/>
        <v>5193.5782011960009</v>
      </c>
      <c r="P55" s="18">
        <f t="shared" si="14"/>
        <v>5505.1928932677611</v>
      </c>
    </row>
    <row r="56" spans="1:21">
      <c r="A56" t="s">
        <v>241</v>
      </c>
      <c r="P56" s="18">
        <f>P55</f>
        <v>5505.1928932677611</v>
      </c>
      <c r="Q56" s="18">
        <f>P55*(1+'Valuation Model'!$C$17)</f>
        <v>6055.7121825945378</v>
      </c>
      <c r="R56" s="18">
        <f>Q56*(1+'Valuation Model'!$C$17)</f>
        <v>6661.2834008539921</v>
      </c>
      <c r="S56" s="18">
        <f>R56*(1+'Valuation Model'!$C$17)</f>
        <v>7327.4117409393921</v>
      </c>
      <c r="T56" s="18">
        <f>S56*(1+'Valuation Model'!$C$17)</f>
        <v>8060.1529150333317</v>
      </c>
      <c r="U56" s="18">
        <f>T56*(1+'Valuation Model'!$C$17)</f>
        <v>8866.1682065366658</v>
      </c>
    </row>
    <row r="57" spans="1:21">
      <c r="A57" t="s">
        <v>242</v>
      </c>
      <c r="P57" s="18">
        <f>P56</f>
        <v>5505.1928932677611</v>
      </c>
      <c r="Q57" s="18">
        <f>P55*(1+'Valuation Model'!$C$18)</f>
        <v>4954.6736039409852</v>
      </c>
      <c r="R57" s="18">
        <f>Q57*(1+'Valuation Model'!$C$18)</f>
        <v>4459.206243546887</v>
      </c>
      <c r="S57" s="18">
        <f>R57*(1+'Valuation Model'!$C$18)</f>
        <v>4013.2856191921983</v>
      </c>
      <c r="T57" s="18">
        <f>S57*(1+'Valuation Model'!$C$18)</f>
        <v>3611.9570572729785</v>
      </c>
      <c r="U57" s="18">
        <f>T57*(1+'Valuation Model'!$C$18)</f>
        <v>3250.7613515456806</v>
      </c>
    </row>
    <row r="58" spans="1:21">
      <c r="A58" t="s">
        <v>239</v>
      </c>
      <c r="K58" s="18">
        <f>K54</f>
        <v>2460.0749999999998</v>
      </c>
      <c r="L58" s="18">
        <f>L12</f>
        <v>3319.10295</v>
      </c>
      <c r="M58" s="18">
        <f t="shared" ref="M58:P58" si="15">M12</f>
        <v>3319.10295</v>
      </c>
      <c r="N58" s="18">
        <f t="shared" si="15"/>
        <v>3219.5298614999997</v>
      </c>
      <c r="O58" s="18">
        <f t="shared" si="15"/>
        <v>3122.9439656549998</v>
      </c>
      <c r="P58" s="18">
        <f t="shared" si="15"/>
        <v>3029.2556466853498</v>
      </c>
    </row>
    <row r="59" spans="1:21">
      <c r="A59" t="s">
        <v>237</v>
      </c>
      <c r="P59" s="18">
        <f>P58</f>
        <v>3029.2556466853498</v>
      </c>
      <c r="Q59" s="18">
        <f>P58*(1+'Valuation Model'!$C$17)</f>
        <v>3332.1812113538849</v>
      </c>
      <c r="R59" s="18">
        <f>Q59*(1+'Valuation Model'!$C$17)</f>
        <v>3665.3993324892735</v>
      </c>
      <c r="S59" s="18">
        <f>R59*(1+'Valuation Model'!$C$17)</f>
        <v>4031.9392657382014</v>
      </c>
      <c r="T59" s="18">
        <f>S59*(1+'Valuation Model'!$C$17)</f>
        <v>4435.1331923120215</v>
      </c>
      <c r="U59" s="18">
        <f>T59*(1+'Valuation Model'!$C$17)</f>
        <v>4878.6465115432238</v>
      </c>
    </row>
    <row r="60" spans="1:21">
      <c r="A60" t="s">
        <v>238</v>
      </c>
      <c r="P60" s="18">
        <f>P59</f>
        <v>3029.2556466853498</v>
      </c>
      <c r="Q60" s="18">
        <f>P58*(1+'Valuation Model'!$C$18)</f>
        <v>2726.3300820168147</v>
      </c>
      <c r="R60" s="18">
        <f>Q60*(1+'Valuation Model'!$C$18)</f>
        <v>2453.6970738151331</v>
      </c>
      <c r="S60" s="18">
        <f>R60*(1+'Valuation Model'!$C$18)</f>
        <v>2208.3273664336198</v>
      </c>
      <c r="T60" s="18">
        <f>S60*(1+'Valuation Model'!$C$18)</f>
        <v>1987.4946297902579</v>
      </c>
      <c r="U60" s="18">
        <f>T60*(1+'Valuation Model'!$C$18)</f>
        <v>1788.7451668112321</v>
      </c>
    </row>
    <row r="63" spans="1:21">
      <c r="B63" t="s">
        <v>246</v>
      </c>
      <c r="C63" t="s">
        <v>245</v>
      </c>
    </row>
    <row r="64" spans="1:21">
      <c r="A64" t="s">
        <v>236</v>
      </c>
      <c r="B64" s="18">
        <f>SUM(B45:K45)</f>
        <v>26933.071460547792</v>
      </c>
    </row>
    <row r="65" spans="1:3">
      <c r="A65" t="s">
        <v>243</v>
      </c>
      <c r="B65" s="18">
        <f>SUM(L46:P46,Q48:U48)</f>
        <v>37798.454531512492</v>
      </c>
      <c r="C65" s="20">
        <f>B65/B64-1</f>
        <v>0.40342161074649718</v>
      </c>
    </row>
    <row r="66" spans="1:3">
      <c r="A66" t="s">
        <v>244</v>
      </c>
      <c r="B66" s="18">
        <f>SUM(L49:P49,Q51:U51)</f>
        <v>22826.604941874215</v>
      </c>
      <c r="C66" s="20">
        <f>B66/B64-1</f>
        <v>-0.15246929874629511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zoomScale="110" zoomScaleNormal="110" workbookViewId="0">
      <selection activeCell="C5" sqref="C5"/>
    </sheetView>
  </sheetViews>
  <sheetFormatPr defaultColWidth="9.140625" defaultRowHeight="15"/>
  <cols>
    <col min="1" max="1" width="4.7109375" style="77" bestFit="1" customWidth="1"/>
    <col min="2" max="2" width="14.42578125" style="77" bestFit="1" customWidth="1"/>
    <col min="3" max="3" width="9.28515625" style="77" bestFit="1" customWidth="1"/>
    <col min="4" max="4" width="12.28515625" style="77" bestFit="1" customWidth="1"/>
    <col min="5" max="7" width="12.28515625" style="77" customWidth="1"/>
    <col min="8" max="8" width="16.140625" style="77" bestFit="1" customWidth="1"/>
    <col min="9" max="10" width="12.28515625" style="77" customWidth="1"/>
    <col min="11" max="11" width="10.85546875" style="77" bestFit="1" customWidth="1"/>
    <col min="12" max="12" width="10.5703125" style="77" bestFit="1" customWidth="1"/>
    <col min="13" max="14" width="9.140625" style="77"/>
    <col min="15" max="15" width="13.85546875" style="77" bestFit="1" customWidth="1"/>
    <col min="16" max="16384" width="9.140625" style="77"/>
  </cols>
  <sheetData>
    <row r="1" spans="1:15">
      <c r="A1" s="77" t="s">
        <v>100</v>
      </c>
      <c r="B1" s="78">
        <f ca="1">MAX(C5:C12)+10</f>
        <v>66</v>
      </c>
      <c r="D1" s="77" t="s">
        <v>101</v>
      </c>
      <c r="E1" s="77">
        <v>5</v>
      </c>
    </row>
    <row r="2" spans="1:15">
      <c r="A2" s="77" t="s">
        <v>102</v>
      </c>
      <c r="B2" s="78">
        <f ca="1">MIN(C5:C12)-10</f>
        <v>6</v>
      </c>
    </row>
    <row r="4" spans="1:15" s="79" customFormat="1" ht="12">
      <c r="B4" s="80" t="s">
        <v>103</v>
      </c>
      <c r="C4" s="81" t="s">
        <v>104</v>
      </c>
      <c r="D4" s="79" t="s">
        <v>105</v>
      </c>
      <c r="E4" s="79" t="s">
        <v>106</v>
      </c>
      <c r="F4" s="79" t="s">
        <v>107</v>
      </c>
      <c r="G4" s="79" t="s">
        <v>108</v>
      </c>
      <c r="H4" s="79" t="s">
        <v>109</v>
      </c>
      <c r="J4" s="79" t="s">
        <v>110</v>
      </c>
      <c r="K4" s="79" t="s">
        <v>111</v>
      </c>
      <c r="L4" s="79" t="s">
        <v>56</v>
      </c>
      <c r="M4" s="79" t="s">
        <v>112</v>
      </c>
      <c r="N4" s="79" t="s">
        <v>113</v>
      </c>
      <c r="O4" s="79" t="s">
        <v>114</v>
      </c>
    </row>
    <row r="5" spans="1:15" s="79" customFormat="1" ht="12">
      <c r="A5" s="82"/>
      <c r="B5" s="88" t="str">
        <f>'Valuation Model'!I2</f>
        <v>-2% | 17% | -10%</v>
      </c>
      <c r="C5" s="89">
        <f ca="1">'Valuation Model'!K2</f>
        <v>16</v>
      </c>
      <c r="D5" s="84">
        <f t="shared" ref="D5:D12" ca="1" si="0">IF(ABS(INDEX($K$6:$K$55,MATCH(C5,$K$6:$K$55,1)+IF(C5&gt;=MAX($K$6:$K$55),0,1),1)-C5)&lt;ABS(INDEX($K$6:$K$55,MATCH(C5,$K$6:$K$55,1))-C5),INDEX($K$6:$K$55,MATCH(C5,$K$6:$K$55,1)+IF(C5&gt;=MAX($K$6:$K$55),0,1),1),INDEX($K$6:$K$55,MATCH(C5,$K$6:$K$55,1)))</f>
        <v>15.839999999999998</v>
      </c>
      <c r="E5" s="85">
        <f>IF(H5="N",5%/COUNTIF('Valuation Model'!$L$2:$L$9,"No"),IF(G5&lt;&gt;"Y",50%/(COUNTIF('Valuation Model'!$L$2:$L$9,"Yes")-COUNTIF(G$5:G$12,"Y")),45%/(COUNTIF(G$5:G$12,"Y"))))</f>
        <v>6.25E-2</v>
      </c>
      <c r="F5" s="79" t="s">
        <v>51</v>
      </c>
      <c r="G5" s="79" t="str">
        <f>IF(LEFT('Valuation Model'!L2,1)="M","Y","")</f>
        <v/>
      </c>
      <c r="H5" s="79" t="str">
        <f>IF(LEFT('Valuation Model'!L2,1)="M","Y",LEFT('Valuation Model'!L2,1))</f>
        <v>Y</v>
      </c>
      <c r="J5" s="86">
        <v>0</v>
      </c>
      <c r="K5" s="84">
        <f t="shared" ref="K5:K55" ca="1" si="1">$B$1*J5</f>
        <v>0</v>
      </c>
      <c r="L5" s="87" t="str">
        <f t="shared" ref="L5:L55" ca="1" si="2">IFERROR(IF(VLOOKUP(K5,$D$5:$F$16,3,FALSE)="Scenario",IF(VLOOKUP(K5,$D$5:$H$16,5,FALSE)="Y",VLOOKUP(K5,$D$5:$E$16,2,0),""),IF(VLOOKUP(K5,$D$5:$F$16,3,FALSE)&lt;&gt;"Scenario","")),"")</f>
        <v/>
      </c>
      <c r="M5" s="85" t="str">
        <f t="shared" ref="M5:M55" ca="1" si="3">IFERROR(IF(VLOOKUP(K5,$D$5:$F$16,3,FALSE)="Scenario",IF(VLOOKUP(K5,$D$5:$H$16,5,FALSE)="N",VLOOKUP(K5,$D$5:$E$16,2,0),""),IF(VLOOKUP(K5,$D$5:$F$16,3,FALSE)&lt;&gt;"Scenario","")),"")</f>
        <v/>
      </c>
      <c r="N5" s="84">
        <f ca="1">LN('Histogram Data'!K5+0.01)-LN(price)</f>
        <v>-8.6119577678606589</v>
      </c>
      <c r="O5" s="84">
        <f ca="1">_xlfn.NORM.DIST(N5,0+0.03^3,AVERAGE('Valuation Model'!$K$22:$L$22),FALSE)/scaling</f>
        <v>7.8256953798583577E-253</v>
      </c>
    </row>
    <row r="6" spans="1:15" s="79" customFormat="1" ht="12">
      <c r="A6" s="82"/>
      <c r="B6" s="88" t="str">
        <f>'Valuation Model'!I4</f>
        <v>-2% | 22% | -10%</v>
      </c>
      <c r="C6" s="89">
        <f ca="1">'Valuation Model'!K4</f>
        <v>21</v>
      </c>
      <c r="D6" s="84">
        <f t="shared" ca="1" si="0"/>
        <v>21.12</v>
      </c>
      <c r="E6" s="85">
        <f>IF(H6="N",5%/COUNTIF('Valuation Model'!$L$2:$L$9,"No"),IF(G6&lt;&gt;"Y",50%/(COUNTIF('Valuation Model'!$L$2:$L$9,"Yes")-COUNTIF(G$5:G$12,"Y")),45%/(COUNTIF(G$5:G$12,"Y"))))</f>
        <v>6.25E-2</v>
      </c>
      <c r="F6" s="79" t="s">
        <v>51</v>
      </c>
      <c r="G6" s="79" t="str">
        <f>IF(LEFT('Valuation Model'!L4,1)="M","Y","")</f>
        <v/>
      </c>
      <c r="H6" s="79" t="str">
        <f>IF(LEFT('Valuation Model'!L4,1)="M","Y",LEFT('Valuation Model'!L4,1))</f>
        <v>Y</v>
      </c>
      <c r="J6" s="86">
        <v>0.02</v>
      </c>
      <c r="K6" s="84">
        <f t="shared" ca="1" si="1"/>
        <v>1.32</v>
      </c>
      <c r="L6" s="87" t="str">
        <f t="shared" ca="1" si="2"/>
        <v/>
      </c>
      <c r="M6" s="85" t="str">
        <f t="shared" ca="1" si="3"/>
        <v/>
      </c>
      <c r="N6" s="84">
        <f ca="1">LN('Histogram Data'!K6+0.01)-LN(price)</f>
        <v>-3.7216086396389065</v>
      </c>
      <c r="O6" s="84">
        <f ca="1">_xlfn.NORM.DIST(N6,0+0.03^3,AVERAGE('Valuation Model'!$K$22:$L$22),FALSE)/scaling</f>
        <v>3.246884452450332E-48</v>
      </c>
    </row>
    <row r="7" spans="1:15" s="79" customFormat="1" ht="12">
      <c r="A7" s="82"/>
      <c r="B7" s="88" t="str">
        <f>'Valuation Model'!I6</f>
        <v>5% | 17% | -10%</v>
      </c>
      <c r="C7" s="89">
        <f ca="1">'Valuation Model'!K6</f>
        <v>22</v>
      </c>
      <c r="D7" s="84">
        <f t="shared" ca="1" si="0"/>
        <v>22.44</v>
      </c>
      <c r="E7" s="85">
        <f>IF(H7="N",5%/COUNTIF('Valuation Model'!$L$2:$L$9,"No"),IF(G7&lt;&gt;"Y",50%/(COUNTIF('Valuation Model'!$L$2:$L$9,"Yes")-COUNTIF(G$5:G$12,"Y")),45%/(COUNTIF(G$5:G$12,"Y"))))</f>
        <v>6.25E-2</v>
      </c>
      <c r="F7" s="79" t="s">
        <v>51</v>
      </c>
      <c r="G7" s="79" t="str">
        <f>IF(LEFT('Valuation Model'!L3,1)="M","Y","")</f>
        <v/>
      </c>
      <c r="H7" s="79" t="str">
        <f>IF(LEFT('Valuation Model'!L6,1)="M","Y",LEFT('Valuation Model'!L6,1))</f>
        <v>Y</v>
      </c>
      <c r="J7" s="86">
        <f>J6+2%</f>
        <v>0.04</v>
      </c>
      <c r="K7" s="84">
        <f t="shared" ca="1" si="1"/>
        <v>2.64</v>
      </c>
      <c r="L7" s="87" t="str">
        <f t="shared" ca="1" si="2"/>
        <v/>
      </c>
      <c r="M7" s="85" t="str">
        <f t="shared" ca="1" si="3"/>
        <v/>
      </c>
      <c r="N7" s="84">
        <f ca="1">LN('Histogram Data'!K7+0.01)-LN(price)</f>
        <v>-3.0322279418744382</v>
      </c>
      <c r="O7" s="84">
        <f ca="1">_xlfn.NORM.DIST(N7,0+0.03^3,AVERAGE('Valuation Model'!$K$22:$L$22),FALSE)/scaling</f>
        <v>2.0263456074106413E-32</v>
      </c>
    </row>
    <row r="8" spans="1:15" s="79" customFormat="1" ht="12">
      <c r="A8" s="82"/>
      <c r="B8" s="88" t="str">
        <f>'Valuation Model'!I3</f>
        <v>-2% | 17% | 10%</v>
      </c>
      <c r="C8" s="89">
        <f ca="1">'Valuation Model'!K3</f>
        <v>31</v>
      </c>
      <c r="D8" s="84">
        <f t="shared" ca="1" si="0"/>
        <v>30.36000000000001</v>
      </c>
      <c r="E8" s="85">
        <f>IF(H8="N",5%/COUNTIF('Valuation Model'!$L$2:$L$9,"No"),IF(G8&lt;&gt;"Y",50%/(COUNTIF('Valuation Model'!$L$2:$L$9,"Yes")-COUNTIF(G$5:G$12,"Y")),45%/(COUNTIF(G$5:G$12,"Y"))))</f>
        <v>6.25E-2</v>
      </c>
      <c r="F8" s="79" t="s">
        <v>51</v>
      </c>
      <c r="G8" s="79" t="str">
        <f>IF(LEFT('Valuation Model'!L6,1)="M","Y","")</f>
        <v/>
      </c>
      <c r="H8" s="79" t="str">
        <f>IF(LEFT('Valuation Model'!L3,1)="M","Y",LEFT('Valuation Model'!L3,1))</f>
        <v>Y</v>
      </c>
      <c r="J8" s="86">
        <f t="shared" ref="J8:J55" si="4">J7+2%</f>
        <v>0.06</v>
      </c>
      <c r="K8" s="84">
        <f t="shared" ca="1" si="1"/>
        <v>3.96</v>
      </c>
      <c r="L8" s="87" t="str">
        <f t="shared" ca="1" si="2"/>
        <v/>
      </c>
      <c r="M8" s="85" t="str">
        <f t="shared" ca="1" si="3"/>
        <v/>
      </c>
      <c r="N8" s="84">
        <f ca="1">LN('Histogram Data'!K8+0.01)-LN(price)</f>
        <v>-2.6280214871734699</v>
      </c>
      <c r="O8" s="84">
        <f ca="1">_xlfn.NORM.DIST(N8,0+0.03^3,AVERAGE('Valuation Model'!$K$22:$L$22),FALSE)/scaling</f>
        <v>1.1705835050078754E-24</v>
      </c>
    </row>
    <row r="9" spans="1:15" s="79" customFormat="1" ht="12">
      <c r="A9" s="82"/>
      <c r="B9" s="88" t="str">
        <f>'Valuation Model'!I8</f>
        <v>5% | 22% | -10%</v>
      </c>
      <c r="C9" s="89">
        <f ca="1">'Valuation Model'!K8</f>
        <v>28</v>
      </c>
      <c r="D9" s="84">
        <f t="shared" ca="1" si="0"/>
        <v>27.720000000000006</v>
      </c>
      <c r="E9" s="85">
        <f>IF(H9="N",5%/COUNTIF('Valuation Model'!$L$2:$L$9,"No"),IF(G9&lt;&gt;"Y",50%/(COUNTIF('Valuation Model'!$L$2:$L$9,"Yes")-COUNTIF(G$5:G$12,"Y")),45%/(COUNTIF(G$5:G$12,"Y"))))</f>
        <v>6.25E-2</v>
      </c>
      <c r="F9" s="79" t="s">
        <v>51</v>
      </c>
      <c r="G9" s="79" t="str">
        <f>IF(LEFT('Valuation Model'!L5,1)="M","Y","")</f>
        <v/>
      </c>
      <c r="H9" s="79" t="str">
        <f>IF(LEFT('Valuation Model'!L8,1)="M","Y",LEFT('Valuation Model'!L8,1))</f>
        <v>Y</v>
      </c>
      <c r="J9" s="86">
        <f t="shared" si="4"/>
        <v>0.08</v>
      </c>
      <c r="K9" s="84">
        <f t="shared" ca="1" si="1"/>
        <v>5.28</v>
      </c>
      <c r="L9" s="87" t="str">
        <f t="shared" ca="1" si="2"/>
        <v/>
      </c>
      <c r="M9" s="85" t="str">
        <f t="shared" ca="1" si="3"/>
        <v/>
      </c>
      <c r="N9" s="84">
        <f ca="1">LN('Histogram Data'!K9+0.01)-LN(price)</f>
        <v>-2.3409693360023609</v>
      </c>
      <c r="O9" s="84">
        <f ca="1">_xlfn.NORM.DIST(N9,0+0.03^3,AVERAGE('Valuation Model'!$K$22:$L$22),FALSE)/scaling</f>
        <v>8.0780448171924552E-20</v>
      </c>
    </row>
    <row r="10" spans="1:15" s="79" customFormat="1" ht="12">
      <c r="A10" s="82"/>
      <c r="B10" s="88" t="str">
        <f>'Valuation Model'!I5</f>
        <v>-2% | 22% | 10%</v>
      </c>
      <c r="C10" s="89">
        <f ca="1">'Valuation Model'!K5</f>
        <v>41</v>
      </c>
      <c r="D10" s="84">
        <f t="shared" ca="1" si="0"/>
        <v>40.920000000000016</v>
      </c>
      <c r="E10" s="85">
        <f>IF(H10="N",5%/COUNTIF('Valuation Model'!$L$2:$L$9,"No"),IF(G10&lt;&gt;"Y",50%/(COUNTIF('Valuation Model'!$L$2:$L$9,"Yes")-COUNTIF(G$5:G$12,"Y")),45%/(COUNTIF(G$5:G$12,"Y"))))</f>
        <v>6.25E-2</v>
      </c>
      <c r="F10" s="79" t="s">
        <v>51</v>
      </c>
      <c r="G10" s="79" t="str">
        <f>IF(LEFT('Valuation Model'!L8,1)="M","Y","")</f>
        <v/>
      </c>
      <c r="H10" s="79" t="str">
        <f>IF(LEFT('Valuation Model'!L5,1)="M","Y",LEFT('Valuation Model'!L5,1))</f>
        <v>Y</v>
      </c>
      <c r="J10" s="86">
        <f t="shared" si="4"/>
        <v>0.1</v>
      </c>
      <c r="K10" s="84">
        <f t="shared" ca="1" si="1"/>
        <v>6.6000000000000005</v>
      </c>
      <c r="L10" s="87" t="str">
        <f t="shared" ca="1" si="2"/>
        <v/>
      </c>
      <c r="M10" s="85" t="str">
        <f t="shared" ca="1" si="3"/>
        <v/>
      </c>
      <c r="N10" s="84">
        <f ca="1">LN('Histogram Data'!K10+0.01)-LN(price)</f>
        <v>-2.1182039280089739</v>
      </c>
      <c r="O10" s="84">
        <f ca="1">_xlfn.NORM.DIST(N10,0+0.03^3,AVERAGE('Valuation Model'!$K$22:$L$22),FALSE)/scaling</f>
        <v>1.8933649768440238E-16</v>
      </c>
    </row>
    <row r="11" spans="1:15" s="79" customFormat="1" ht="12">
      <c r="A11" s="82"/>
      <c r="B11" s="88" t="str">
        <f>'Valuation Model'!I7</f>
        <v>5% | 17% | 10%</v>
      </c>
      <c r="C11" s="89">
        <f ca="1">'Valuation Model'!K7</f>
        <v>43</v>
      </c>
      <c r="D11" s="84">
        <f t="shared" ca="1" si="0"/>
        <v>43.560000000000016</v>
      </c>
      <c r="E11" s="85">
        <f>IF(H11="N",5%/COUNTIF('Valuation Model'!$L$2:$L$9,"No"),IF(G11&lt;&gt;"Y",50%/(COUNTIF('Valuation Model'!$L$2:$L$9,"Yes")-COUNTIF(G$5:G$12,"Y")),45%/(COUNTIF(G$5:G$12,"Y"))))</f>
        <v>6.25E-2</v>
      </c>
      <c r="F11" s="79" t="s">
        <v>51</v>
      </c>
      <c r="G11" s="79" t="str">
        <f>IF(LEFT('Valuation Model'!L7,1)="M","Y","")</f>
        <v/>
      </c>
      <c r="H11" s="79" t="str">
        <f>IF(LEFT('Valuation Model'!L7,1)="M","Y",LEFT('Valuation Model'!L7,1))</f>
        <v>Y</v>
      </c>
      <c r="J11" s="86">
        <f t="shared" si="4"/>
        <v>0.12000000000000001</v>
      </c>
      <c r="K11" s="84">
        <f t="shared" ca="1" si="1"/>
        <v>7.9200000000000008</v>
      </c>
      <c r="L11" s="87" t="str">
        <f t="shared" ca="1" si="2"/>
        <v/>
      </c>
      <c r="M11" s="85" t="str">
        <f t="shared" ca="1" si="3"/>
        <v/>
      </c>
      <c r="N11" s="84">
        <f ca="1">LN('Histogram Data'!K11+0.01)-LN(price)</f>
        <v>-1.9361345462258122</v>
      </c>
      <c r="O11" s="84">
        <f ca="1">_xlfn.NORM.DIST(N11,0+0.03^3,AVERAGE('Valuation Model'!$K$22:$L$22),FALSE)/scaling</f>
        <v>6.0460886492973991E-14</v>
      </c>
    </row>
    <row r="12" spans="1:15" s="79" customFormat="1" ht="12">
      <c r="A12" s="82"/>
      <c r="B12" s="88" t="str">
        <f>'Valuation Model'!I9</f>
        <v>5% | 22% | 10%</v>
      </c>
      <c r="C12" s="89">
        <f ca="1">'Valuation Model'!K9</f>
        <v>56</v>
      </c>
      <c r="D12" s="84">
        <f t="shared" ca="1" si="0"/>
        <v>55.440000000000026</v>
      </c>
      <c r="E12" s="85">
        <f>IF(H12="N",5%/COUNTIF('Valuation Model'!$L$2:$L$9,"No"),IF(G12&lt;&gt;"Y",50%/(COUNTIF('Valuation Model'!$L$2:$L$9,"Yes")-COUNTIF(G$5:G$12,"Y")),45%/(COUNTIF(G$5:G$12,"Y"))))</f>
        <v>6.25E-2</v>
      </c>
      <c r="F12" s="79" t="s">
        <v>51</v>
      </c>
      <c r="G12" s="79" t="str">
        <f>IF(LEFT('Valuation Model'!L9,1)="M","Y","")</f>
        <v/>
      </c>
      <c r="H12" s="79" t="str">
        <f>IF(LEFT('Valuation Model'!L9,1)="M","Y",LEFT('Valuation Model'!L9,1))</f>
        <v>Y</v>
      </c>
      <c r="J12" s="86">
        <f t="shared" si="4"/>
        <v>0.14000000000000001</v>
      </c>
      <c r="K12" s="84">
        <f t="shared" ca="1" si="1"/>
        <v>9.24</v>
      </c>
      <c r="L12" s="87" t="str">
        <f t="shared" ca="1" si="2"/>
        <v/>
      </c>
      <c r="M12" s="85" t="str">
        <f t="shared" ca="1" si="3"/>
        <v/>
      </c>
      <c r="N12" s="84">
        <f ca="1">LN('Histogram Data'!K12+0.01)-LN(price)</f>
        <v>-1.7821640303482349</v>
      </c>
      <c r="O12" s="84">
        <f ca="1">_xlfn.NORM.DIST(N12,0+0.03^3,AVERAGE('Valuation Model'!$K$22:$L$22),FALSE)/scaling</f>
        <v>5.2930726393008486E-12</v>
      </c>
    </row>
    <row r="13" spans="1:15" s="79" customFormat="1" ht="12">
      <c r="A13" s="82"/>
      <c r="J13" s="86">
        <f t="shared" si="4"/>
        <v>0.16</v>
      </c>
      <c r="K13" s="84">
        <f t="shared" ca="1" si="1"/>
        <v>10.56</v>
      </c>
      <c r="L13" s="87" t="str">
        <f t="shared" ca="1" si="2"/>
        <v/>
      </c>
      <c r="M13" s="85" t="str">
        <f t="shared" ca="1" si="3"/>
        <v/>
      </c>
      <c r="N13" s="84">
        <f ca="1">LN('Histogram Data'!K13+0.01)-LN(price)</f>
        <v>-1.6487677819904225</v>
      </c>
      <c r="O13" s="84">
        <f ca="1">_xlfn.NORM.DIST(N13,0+0.03^3,AVERAGE('Valuation Model'!$K$22:$L$22),FALSE)/scaling</f>
        <v>1.8895825719942958E-10</v>
      </c>
    </row>
    <row r="14" spans="1:15" s="79" customFormat="1" ht="12">
      <c r="A14" s="82"/>
      <c r="J14" s="86">
        <f t="shared" si="4"/>
        <v>0.18</v>
      </c>
      <c r="K14" s="84">
        <f t="shared" ca="1" si="1"/>
        <v>11.879999999999999</v>
      </c>
      <c r="L14" s="87" t="str">
        <f t="shared" ca="1" si="2"/>
        <v/>
      </c>
      <c r="M14" s="85" t="str">
        <f t="shared" ca="1" si="3"/>
        <v/>
      </c>
      <c r="N14" s="84">
        <f ca="1">LN('Histogram Data'!K14+0.01)-LN(price)</f>
        <v>-1.5310898711698786</v>
      </c>
      <c r="O14" s="84">
        <f ca="1">_xlfn.NORM.DIST(N14,0+0.03^3,AVERAGE('Valuation Model'!$K$22:$L$22),FALSE)/scaling</f>
        <v>3.5142958159537424E-9</v>
      </c>
    </row>
    <row r="15" spans="1:15" s="79" customFormat="1" ht="12">
      <c r="A15" s="82"/>
      <c r="J15" s="86">
        <f t="shared" si="4"/>
        <v>0.19999999999999998</v>
      </c>
      <c r="K15" s="84">
        <f t="shared" ca="1" si="1"/>
        <v>13.2</v>
      </c>
      <c r="L15" s="87" t="str">
        <f t="shared" ca="1" si="2"/>
        <v/>
      </c>
      <c r="M15" s="85" t="str">
        <f t="shared" ca="1" si="3"/>
        <v/>
      </c>
      <c r="N15" s="84">
        <f ca="1">LN('Histogram Data'!K15+0.01)-LN(price)</f>
        <v>-1.425813463338335</v>
      </c>
      <c r="O15" s="84">
        <f ca="1">_xlfn.NORM.DIST(N15,0+0.03^3,AVERAGE('Valuation Model'!$K$22:$L$22),FALSE)/scaling</f>
        <v>3.9985290081772498E-8</v>
      </c>
    </row>
    <row r="16" spans="1:15" s="79" customFormat="1" ht="12">
      <c r="A16" s="82"/>
      <c r="C16" s="83"/>
      <c r="D16" s="84"/>
      <c r="E16" s="85"/>
      <c r="J16" s="86">
        <f t="shared" si="4"/>
        <v>0.21999999999999997</v>
      </c>
      <c r="K16" s="84">
        <f t="shared" ca="1" si="1"/>
        <v>14.519999999999998</v>
      </c>
      <c r="L16" s="87" t="str">
        <f t="shared" ca="1" si="2"/>
        <v/>
      </c>
      <c r="M16" s="85" t="str">
        <f t="shared" ca="1" si="3"/>
        <v/>
      </c>
      <c r="N16" s="84">
        <f ca="1">LN('Histogram Data'!K16+0.01)-LN(price)</f>
        <v>-1.3305721042903773</v>
      </c>
      <c r="O16" s="84">
        <f ca="1">_xlfn.NORM.DIST(N16,0+0.03^3,AVERAGE('Valuation Model'!$K$22:$L$22),FALSE)/scaling</f>
        <v>3.1082058254364906E-7</v>
      </c>
    </row>
    <row r="17" spans="4:15" s="79" customFormat="1" ht="12">
      <c r="J17" s="86">
        <f t="shared" si="4"/>
        <v>0.23999999999999996</v>
      </c>
      <c r="K17" s="84">
        <f t="shared" ca="1" si="1"/>
        <v>15.839999999999998</v>
      </c>
      <c r="L17" s="87">
        <f t="shared" ca="1" si="2"/>
        <v>6.25E-2</v>
      </c>
      <c r="M17" s="85" t="str">
        <f t="shared" ca="1" si="3"/>
        <v/>
      </c>
      <c r="N17" s="84">
        <f ca="1">LN('Histogram Data'!K17+0.01)-LN(price)</f>
        <v>-1.2436180815492794</v>
      </c>
      <c r="O17" s="84">
        <f ca="1">_xlfn.NORM.DIST(N17,0+0.03^3,AVERAGE('Valuation Model'!$K$22:$L$22),FALSE)/scaling</f>
        <v>1.7859877272033063E-6</v>
      </c>
    </row>
    <row r="18" spans="4:15" s="79" customFormat="1" ht="12">
      <c r="D18" s="86"/>
      <c r="J18" s="86">
        <f t="shared" si="4"/>
        <v>0.25999999999999995</v>
      </c>
      <c r="K18" s="84">
        <f t="shared" ca="1" si="1"/>
        <v>17.159999999999997</v>
      </c>
      <c r="L18" s="87" t="str">
        <f t="shared" ca="1" si="2"/>
        <v/>
      </c>
      <c r="M18" s="85" t="str">
        <f t="shared" ca="1" si="3"/>
        <v/>
      </c>
      <c r="N18" s="84">
        <f ca="1">LN('Histogram Data'!K18+0.01)-LN(price)</f>
        <v>-1.1636239069631849</v>
      </c>
      <c r="O18" s="84">
        <f ca="1">_xlfn.NORM.DIST(N18,0+0.03^3,AVERAGE('Valuation Model'!$K$22:$L$22),FALSE)/scaling</f>
        <v>8.0382428750793113E-6</v>
      </c>
    </row>
    <row r="19" spans="4:15" s="79" customFormat="1" ht="12">
      <c r="D19" s="90"/>
      <c r="J19" s="86">
        <f t="shared" si="4"/>
        <v>0.27999999999999997</v>
      </c>
      <c r="K19" s="84">
        <f t="shared" ca="1" si="1"/>
        <v>18.479999999999997</v>
      </c>
      <c r="L19" s="87" t="str">
        <f t="shared" ca="1" si="2"/>
        <v/>
      </c>
      <c r="M19" s="85" t="str">
        <f t="shared" ca="1" si="3"/>
        <v/>
      </c>
      <c r="N19" s="84">
        <f ca="1">LN('Histogram Data'!K19+0.01)-LN(price)</f>
        <v>-1.0895575364735355</v>
      </c>
      <c r="O19" s="84">
        <f ca="1">_xlfn.NORM.DIST(N19,0+0.03^3,AVERAGE('Valuation Model'!$K$22:$L$22),FALSE)/scaling</f>
        <v>2.9602158312980603E-5</v>
      </c>
    </row>
    <row r="20" spans="4:15" s="79" customFormat="1" ht="12">
      <c r="J20" s="86">
        <f t="shared" si="4"/>
        <v>0.3</v>
      </c>
      <c r="K20" s="84">
        <f t="shared" ca="1" si="1"/>
        <v>19.8</v>
      </c>
      <c r="L20" s="87" t="str">
        <f t="shared" ca="1" si="2"/>
        <v/>
      </c>
      <c r="M20" s="85" t="str">
        <f t="shared" ca="1" si="3"/>
        <v/>
      </c>
      <c r="N20" s="84">
        <f ca="1">LN('Histogram Data'!K20+0.01)-LN(price)</f>
        <v>-1.0206007211621091</v>
      </c>
      <c r="O20" s="84">
        <f ca="1">_xlfn.NORM.DIST(N20,0+0.03^3,AVERAGE('Valuation Model'!$K$22:$L$22),FALSE)/scaling</f>
        <v>9.2250876305666234E-5</v>
      </c>
    </row>
    <row r="21" spans="4:15" s="79" customFormat="1" ht="12">
      <c r="J21" s="86">
        <f t="shared" si="4"/>
        <v>0.32</v>
      </c>
      <c r="K21" s="84">
        <f t="shared" ca="1" si="1"/>
        <v>21.12</v>
      </c>
      <c r="L21" s="87">
        <f t="shared" ca="1" si="2"/>
        <v>6.25E-2</v>
      </c>
      <c r="M21" s="85" t="str">
        <f t="shared" ca="1" si="3"/>
        <v/>
      </c>
      <c r="N21" s="84">
        <f ca="1">LN('Histogram Data'!K21+0.01)-LN(price)</f>
        <v>-0.95609375024460341</v>
      </c>
      <c r="O21" s="84">
        <f ca="1">_xlfn.NORM.DIST(N21,0+0.03^3,AVERAGE('Valuation Model'!$K$22:$L$22),FALSE)/scaling</f>
        <v>2.4977868715506037E-4</v>
      </c>
    </row>
    <row r="22" spans="4:15" s="79" customFormat="1" ht="12">
      <c r="J22" s="86">
        <f t="shared" si="4"/>
        <v>0.34</v>
      </c>
      <c r="K22" s="84">
        <f t="shared" ca="1" si="1"/>
        <v>22.44</v>
      </c>
      <c r="L22" s="87">
        <f t="shared" ca="1" si="2"/>
        <v>6.25E-2</v>
      </c>
      <c r="M22" s="85" t="str">
        <f t="shared" ca="1" si="3"/>
        <v/>
      </c>
      <c r="N22" s="84">
        <f ca="1">LN('Histogram Data'!K22+0.01)-LN(price)</f>
        <v>-0.89549696768430564</v>
      </c>
      <c r="O22" s="84">
        <f ca="1">_xlfn.NORM.DIST(N22,0+0.03^3,AVERAGE('Valuation Model'!$K$22:$L$22),FALSE)/scaling</f>
        <v>6.0006832504792547E-4</v>
      </c>
    </row>
    <row r="23" spans="4:15" s="79" customFormat="1" ht="12">
      <c r="J23" s="86">
        <f t="shared" si="4"/>
        <v>0.36000000000000004</v>
      </c>
      <c r="K23" s="84">
        <f t="shared" ca="1" si="1"/>
        <v>23.76</v>
      </c>
      <c r="L23" s="87" t="str">
        <f t="shared" ca="1" si="2"/>
        <v/>
      </c>
      <c r="M23" s="85" t="str">
        <f t="shared" ca="1" si="3"/>
        <v/>
      </c>
      <c r="N23" s="84">
        <f ca="1">LN('Histogram Data'!K23+0.01)-LN(price)</f>
        <v>-0.83836330050046604</v>
      </c>
      <c r="O23" s="84">
        <f ca="1">_xlfn.NORM.DIST(N23,0+0.03^3,AVERAGE('Valuation Model'!$K$22:$L$22),FALSE)/scaling</f>
        <v>1.3009877775906251E-3</v>
      </c>
    </row>
    <row r="24" spans="4:15" s="79" customFormat="1" ht="12">
      <c r="J24" s="86">
        <f t="shared" si="4"/>
        <v>0.38000000000000006</v>
      </c>
      <c r="K24" s="84">
        <f t="shared" ca="1" si="1"/>
        <v>25.080000000000005</v>
      </c>
      <c r="L24" s="87" t="str">
        <f t="shared" ca="1" si="2"/>
        <v/>
      </c>
      <c r="M24" s="85" t="str">
        <f t="shared" ca="1" si="3"/>
        <v/>
      </c>
      <c r="N24" s="84">
        <f ca="1">LN('Histogram Data'!K24+0.01)-LN(price)</f>
        <v>-0.78431822149423791</v>
      </c>
      <c r="O24" s="84">
        <f ca="1">_xlfn.NORM.DIST(N24,0+0.03^3,AVERAGE('Valuation Model'!$K$22:$L$22),FALSE)/scaling</f>
        <v>2.5810350748077418E-3</v>
      </c>
    </row>
    <row r="25" spans="4:15" s="79" customFormat="1" ht="12">
      <c r="J25" s="86">
        <f t="shared" si="4"/>
        <v>0.40000000000000008</v>
      </c>
      <c r="K25" s="84">
        <f t="shared" ca="1" si="1"/>
        <v>26.400000000000006</v>
      </c>
      <c r="L25" s="87" t="str">
        <f t="shared" ca="1" si="2"/>
        <v/>
      </c>
      <c r="M25" s="85" t="str">
        <f t="shared" ca="1" si="3"/>
        <v/>
      </c>
      <c r="N25" s="84">
        <f ca="1">LN('Histogram Data'!K25+0.01)-LN(price)</f>
        <v>-0.73304485556352761</v>
      </c>
      <c r="O25" s="84">
        <f ca="1">_xlfn.NORM.DIST(N25,0+0.03^3,AVERAGE('Valuation Model'!$K$22:$L$22),FALSE)/scaling</f>
        <v>4.7395472584832983E-3</v>
      </c>
    </row>
    <row r="26" spans="4:15" s="79" customFormat="1" ht="12">
      <c r="J26" s="86">
        <f t="shared" si="4"/>
        <v>0.4200000000000001</v>
      </c>
      <c r="K26" s="84">
        <f t="shared" ca="1" si="1"/>
        <v>27.720000000000006</v>
      </c>
      <c r="L26" s="87">
        <f t="shared" ca="1" si="2"/>
        <v>6.25E-2</v>
      </c>
      <c r="M26" s="85" t="str">
        <f t="shared" ca="1" si="3"/>
        <v/>
      </c>
      <c r="N26" s="84">
        <f ca="1">LN('Histogram Data'!K26+0.01)-LN(price)</f>
        <v>-0.68427272224488211</v>
      </c>
      <c r="O26" s="84">
        <f ca="1">_xlfn.NORM.DIST(N26,0+0.03^3,AVERAGE('Valuation Model'!$K$22:$L$22),FALSE)/scaling</f>
        <v>8.1330013116586754E-3</v>
      </c>
    </row>
    <row r="27" spans="4:15" s="79" customFormat="1" ht="12">
      <c r="J27" s="86">
        <f t="shared" si="4"/>
        <v>0.44000000000000011</v>
      </c>
      <c r="K27" s="84">
        <f t="shared" ca="1" si="1"/>
        <v>29.040000000000006</v>
      </c>
      <c r="L27" s="87" t="str">
        <f t="shared" ca="1" si="2"/>
        <v/>
      </c>
      <c r="M27" s="85" t="str">
        <f t="shared" ca="1" si="3"/>
        <v/>
      </c>
      <c r="N27" s="84">
        <f ca="1">LN('Histogram Data'!K27+0.01)-LN(price)</f>
        <v>-0.63776909857464847</v>
      </c>
      <c r="O27" s="84">
        <f ca="1">_xlfn.NORM.DIST(N27,0+0.03^3,AVERAGE('Valuation Model'!$K$22:$L$22),FALSE)/scaling</f>
        <v>1.3146986046690892E-2</v>
      </c>
    </row>
    <row r="28" spans="4:15" s="79" customFormat="1" ht="12">
      <c r="J28" s="86">
        <f t="shared" si="4"/>
        <v>0.46000000000000013</v>
      </c>
      <c r="K28" s="84">
        <f t="shared" ca="1" si="1"/>
        <v>30.36000000000001</v>
      </c>
      <c r="L28" s="87">
        <f t="shared" ca="1" si="2"/>
        <v>6.25E-2</v>
      </c>
      <c r="M28" s="85" t="str">
        <f t="shared" ca="1" si="3"/>
        <v/>
      </c>
      <c r="N28" s="84">
        <f ca="1">LN('Histogram Data'!K28+0.01)-LN(price)</f>
        <v>-0.59333230281491112</v>
      </c>
      <c r="O28" s="84">
        <f ca="1">_xlfn.NORM.DIST(N28,0+0.03^3,AVERAGE('Valuation Model'!$K$22:$L$22),FALSE)/scaling</f>
        <v>2.0156833943580397E-2</v>
      </c>
    </row>
    <row r="29" spans="4:15" s="79" customFormat="1" ht="12">
      <c r="J29" s="86">
        <f t="shared" si="4"/>
        <v>0.48000000000000015</v>
      </c>
      <c r="K29" s="84">
        <f t="shared" ca="1" si="1"/>
        <v>31.68000000000001</v>
      </c>
      <c r="L29" s="87" t="str">
        <f t="shared" ca="1" si="2"/>
        <v/>
      </c>
      <c r="M29" s="85" t="str">
        <f t="shared" ca="1" si="3"/>
        <v/>
      </c>
      <c r="N29" s="84">
        <f ca="1">LN('Histogram Data'!K29+0.01)-LN(price)</f>
        <v>-0.55078640816973934</v>
      </c>
      <c r="O29" s="84">
        <f ca="1">_xlfn.NORM.DIST(N29,0+0.03^3,AVERAGE('Valuation Model'!$K$22:$L$22),FALSE)/scaling</f>
        <v>2.9482629264457928E-2</v>
      </c>
    </row>
    <row r="30" spans="4:15" s="79" customFormat="1" ht="12">
      <c r="J30" s="86">
        <f t="shared" si="4"/>
        <v>0.50000000000000011</v>
      </c>
      <c r="K30" s="84">
        <f t="shared" ca="1" si="1"/>
        <v>33.000000000000007</v>
      </c>
      <c r="L30" s="87" t="str">
        <f ca="1">L33</f>
        <v/>
      </c>
      <c r="M30" s="85" t="str">
        <f t="shared" ca="1" si="3"/>
        <v/>
      </c>
      <c r="N30" s="84">
        <f ca="1">LN('Histogram Data'!K30+0.01)-LN(price)</f>
        <v>-0.50997703600746691</v>
      </c>
      <c r="O30" s="84">
        <f ca="1">_xlfn.NORM.DIST(N30,0+0.03^3,AVERAGE('Valuation Model'!$K$22:$L$22),FALSE)/scaling</f>
        <v>4.134563816914337E-2</v>
      </c>
    </row>
    <row r="31" spans="4:15" s="79" customFormat="1" ht="12">
      <c r="J31" s="86">
        <f t="shared" si="4"/>
        <v>0.52000000000000013</v>
      </c>
      <c r="K31" s="84">
        <f t="shared" ca="1" si="1"/>
        <v>34.320000000000007</v>
      </c>
      <c r="L31" s="87" t="str">
        <f t="shared" ca="1" si="2"/>
        <v/>
      </c>
      <c r="M31" s="85" t="str">
        <f t="shared" ca="1" si="3"/>
        <v/>
      </c>
      <c r="N31" s="84">
        <f ca="1">LN('Histogram Data'!K31+0.01)-LN(price)</f>
        <v>-0.47076797440296803</v>
      </c>
      <c r="O31" s="84">
        <f ca="1">_xlfn.NORM.DIST(N31,0+0.03^3,AVERAGE('Valuation Model'!$K$22:$L$22),FALSE)/scaling</f>
        <v>5.5832928865711742E-2</v>
      </c>
    </row>
    <row r="32" spans="4:15" s="79" customFormat="1" ht="12">
      <c r="J32" s="86">
        <f t="shared" si="4"/>
        <v>0.54000000000000015</v>
      </c>
      <c r="K32" s="84">
        <f t="shared" ca="1" si="1"/>
        <v>35.640000000000008</v>
      </c>
      <c r="L32" s="87" t="str">
        <f t="shared" ca="1" si="2"/>
        <v/>
      </c>
      <c r="M32" s="85" t="str">
        <f t="shared" ca="1" si="3"/>
        <v/>
      </c>
      <c r="N32" s="84">
        <f ca="1">LN('Histogram Data'!K32+0.01)-LN(price)</f>
        <v>-0.4330384350122638</v>
      </c>
      <c r="O32" s="84">
        <f ca="1">_xlfn.NORM.DIST(N32,0+0.03^3,AVERAGE('Valuation Model'!$K$22:$L$22),FALSE)/scaling</f>
        <v>7.2875323498566832E-2</v>
      </c>
    </row>
    <row r="33" spans="10:15" s="79" customFormat="1" ht="12">
      <c r="J33" s="86">
        <f t="shared" si="4"/>
        <v>0.56000000000000016</v>
      </c>
      <c r="K33" s="84">
        <f t="shared" ca="1" si="1"/>
        <v>36.960000000000008</v>
      </c>
      <c r="L33" s="87" t="str">
        <f t="shared" ca="1" si="2"/>
        <v/>
      </c>
      <c r="M33" s="85" t="str">
        <f t="shared" ca="1" si="3"/>
        <v/>
      </c>
      <c r="N33" s="84">
        <f ca="1">LN('Histogram Data'!K33+0.01)-LN(price)</f>
        <v>-0.39668080892402813</v>
      </c>
      <c r="O33" s="84">
        <f ca="1">_xlfn.NORM.DIST(N33,0+0.03^3,AVERAGE('Valuation Model'!$K$22:$L$22),FALSE)/scaling</f>
        <v>9.2241396637434636E-2</v>
      </c>
    </row>
    <row r="34" spans="10:15" s="79" customFormat="1" ht="12">
      <c r="J34" s="86">
        <f t="shared" si="4"/>
        <v>0.58000000000000018</v>
      </c>
      <c r="K34" s="84">
        <f t="shared" ca="1" si="1"/>
        <v>38.280000000000015</v>
      </c>
      <c r="L34" s="87" t="str">
        <f t="shared" ca="1" si="2"/>
        <v/>
      </c>
      <c r="M34" s="85" t="str">
        <f t="shared" ca="1" si="3"/>
        <v/>
      </c>
      <c r="N34" s="84">
        <f ca="1">LN('Histogram Data'!K34+0.01)-LN(price)</f>
        <v>-0.36159881638336522</v>
      </c>
      <c r="O34" s="84">
        <f ca="1">_xlfn.NORM.DIST(N34,0+0.03^3,AVERAGE('Valuation Model'!$K$22:$L$22),FALSE)/scaling</f>
        <v>0.11354763123943727</v>
      </c>
    </row>
    <row r="35" spans="10:15" s="79" customFormat="1" ht="12">
      <c r="J35" s="86">
        <f t="shared" si="4"/>
        <v>0.6000000000000002</v>
      </c>
      <c r="K35" s="84">
        <f t="shared" ca="1" si="1"/>
        <v>39.600000000000016</v>
      </c>
      <c r="L35" s="87" t="str">
        <f t="shared" ca="1" si="2"/>
        <v/>
      </c>
      <c r="M35" s="85" t="str">
        <f t="shared" ca="1" si="3"/>
        <v/>
      </c>
      <c r="N35" s="84">
        <f ca="1">LN('Histogram Data'!K35+0.01)-LN(price)</f>
        <v>-0.32770597023874348</v>
      </c>
      <c r="O35" s="84">
        <f ca="1">_xlfn.NORM.DIST(N35,0+0.03^3,AVERAGE('Valuation Model'!$K$22:$L$22),FALSE)/scaling</f>
        <v>0.13628258765632989</v>
      </c>
    </row>
    <row r="36" spans="10:15" s="79" customFormat="1" ht="12">
      <c r="J36" s="86">
        <f t="shared" si="4"/>
        <v>0.62000000000000022</v>
      </c>
      <c r="K36" s="84">
        <f t="shared" ca="1" si="1"/>
        <v>40.920000000000016</v>
      </c>
      <c r="L36" s="87">
        <f t="shared" ca="1" si="2"/>
        <v>6.25E-2</v>
      </c>
      <c r="M36" s="85" t="str">
        <f t="shared" ca="1" si="3"/>
        <v/>
      </c>
      <c r="N36" s="84">
        <f ca="1">LN('Histogram Data'!K36+0.01)-LN(price)</f>
        <v>-0.29492429136825704</v>
      </c>
      <c r="O36" s="84">
        <f ca="1">_xlfn.NORM.DIST(N36,0+0.03^3,AVERAGE('Valuation Model'!$K$22:$L$22),FALSE)/scaling</f>
        <v>0.15984136784043521</v>
      </c>
    </row>
    <row r="37" spans="10:15" s="79" customFormat="1" ht="12">
      <c r="J37" s="86">
        <f t="shared" si="4"/>
        <v>0.64000000000000024</v>
      </c>
      <c r="K37" s="84">
        <f t="shared" ca="1" si="1"/>
        <v>42.240000000000016</v>
      </c>
      <c r="L37" s="87" t="str">
        <f t="shared" ca="1" si="2"/>
        <v/>
      </c>
      <c r="M37" s="85" t="str">
        <f t="shared" ca="1" si="3"/>
        <v/>
      </c>
      <c r="N37" s="84">
        <f ca="1">LN('Histogram Data'!K37+0.01)-LN(price)</f>
        <v>-0.26318322806938577</v>
      </c>
      <c r="O37" s="84">
        <f ca="1">_xlfn.NORM.DIST(N37,0+0.03^3,AVERAGE('Valuation Model'!$K$22:$L$22),FALSE)/scaling</f>
        <v>0.18356588731978962</v>
      </c>
    </row>
    <row r="38" spans="10:15" s="79" customFormat="1" ht="12">
      <c r="J38" s="86">
        <f t="shared" si="4"/>
        <v>0.66000000000000025</v>
      </c>
      <c r="K38" s="84">
        <f t="shared" ca="1" si="1"/>
        <v>43.560000000000016</v>
      </c>
      <c r="L38" s="87">
        <f t="shared" ca="1" si="2"/>
        <v>6.25E-2</v>
      </c>
      <c r="M38" s="85" t="str">
        <f t="shared" ca="1" si="3"/>
        <v/>
      </c>
      <c r="N38" s="84">
        <f ca="1">LN('Histogram Data'!K38+0.01)-LN(price)</f>
        <v>-0.23241874174321797</v>
      </c>
      <c r="O38" s="84">
        <f ca="1">_xlfn.NORM.DIST(N38,0+0.03^3,AVERAGE('Valuation Model'!$K$22:$L$22),FALSE)/scaling</f>
        <v>0.20678644818257999</v>
      </c>
    </row>
    <row r="39" spans="10:15" s="79" customFormat="1" ht="12">
      <c r="J39" s="86">
        <f t="shared" si="4"/>
        <v>0.68000000000000027</v>
      </c>
      <c r="K39" s="84">
        <f t="shared" ca="1" si="1"/>
        <v>44.880000000000017</v>
      </c>
      <c r="L39" s="87" t="str">
        <f t="shared" ca="1" si="2"/>
        <v/>
      </c>
      <c r="M39" s="85" t="str">
        <f t="shared" ca="1" si="3"/>
        <v/>
      </c>
      <c r="N39" s="84">
        <f ca="1">LN('Histogram Data'!K39+0.01)-LN(price)</f>
        <v>-0.20257252907872791</v>
      </c>
      <c r="O39" s="84">
        <f ca="1">_xlfn.NORM.DIST(N39,0+0.03^3,AVERAGE('Valuation Model'!$K$22:$L$22),FALSE)/scaling</f>
        <v>0.22886067004217686</v>
      </c>
    </row>
    <row r="40" spans="10:15" s="79" customFormat="1" ht="12">
      <c r="J40" s="86">
        <f t="shared" si="4"/>
        <v>0.70000000000000029</v>
      </c>
      <c r="K40" s="84">
        <f t="shared" ca="1" si="1"/>
        <v>46.200000000000017</v>
      </c>
      <c r="L40" s="87" t="str">
        <f t="shared" ca="1" si="2"/>
        <v/>
      </c>
      <c r="M40" s="85" t="str">
        <f t="shared" ca="1" si="3"/>
        <v/>
      </c>
      <c r="N40" s="84">
        <f ca="1">LN('Histogram Data'!K40+0.01)-LN(price)</f>
        <v>-0.17359135699039374</v>
      </c>
      <c r="O40" s="84">
        <f ca="1">_xlfn.NORM.DIST(N40,0+0.03^3,AVERAGE('Valuation Model'!$K$22:$L$22),FALSE)/scaling</f>
        <v>0.24920676649858309</v>
      </c>
    </row>
    <row r="41" spans="10:15" s="79" customFormat="1" ht="12">
      <c r="J41" s="86">
        <f t="shared" si="4"/>
        <v>0.72000000000000031</v>
      </c>
      <c r="K41" s="84">
        <f t="shared" ca="1" si="1"/>
        <v>47.520000000000017</v>
      </c>
      <c r="L41" s="87" t="str">
        <f t="shared" ca="1" si="2"/>
        <v/>
      </c>
      <c r="M41" s="85" t="str">
        <f t="shared" ca="1" si="3"/>
        <v/>
      </c>
      <c r="N41" s="84">
        <f ca="1">LN('Histogram Data'!K41+0.01)-LN(price)</f>
        <v>-0.14542649124665052</v>
      </c>
      <c r="O41" s="84">
        <f ca="1">_xlfn.NORM.DIST(N41,0+0.03^3,AVERAGE('Valuation Model'!$K$22:$L$22),FALSE)/scaling</f>
        <v>0.26732923897187272</v>
      </c>
    </row>
    <row r="42" spans="10:15" s="79" customFormat="1" ht="12">
      <c r="J42" s="86">
        <f t="shared" si="4"/>
        <v>0.74000000000000032</v>
      </c>
      <c r="K42" s="84">
        <f t="shared" ca="1" si="1"/>
        <v>48.840000000000025</v>
      </c>
      <c r="L42" s="87" t="str">
        <f t="shared" ca="1" si="2"/>
        <v/>
      </c>
      <c r="M42" s="85" t="str">
        <f t="shared" ca="1" si="3"/>
        <v/>
      </c>
      <c r="N42" s="84">
        <f ca="1">LN('Histogram Data'!K42+0.01)-LN(price)</f>
        <v>-0.11803320338377654</v>
      </c>
      <c r="O42" s="84">
        <f ca="1">_xlfn.NORM.DIST(N42,0+0.03^3,AVERAGE('Valuation Model'!$K$22:$L$22),FALSE)/scaling</f>
        <v>0.28283612211500986</v>
      </c>
    </row>
    <row r="43" spans="10:15" s="79" customFormat="1" ht="12">
      <c r="J43" s="86">
        <f t="shared" si="4"/>
        <v>0.76000000000000034</v>
      </c>
      <c r="K43" s="84">
        <f t="shared" ca="1" si="1"/>
        <v>50.160000000000025</v>
      </c>
      <c r="L43" s="87" t="str">
        <f t="shared" ca="1" si="2"/>
        <v/>
      </c>
      <c r="M43" s="85" t="str">
        <f t="shared" ca="1" si="3"/>
        <v/>
      </c>
      <c r="N43" s="84">
        <f ca="1">LN('Histogram Data'!K43+0.01)-LN(price)</f>
        <v>-9.1370343376406815E-2</v>
      </c>
      <c r="O43" s="84">
        <f ca="1">_xlfn.NORM.DIST(N43,0+0.03^3,AVERAGE('Valuation Model'!$K$22:$L$22),FALSE)/scaling</f>
        <v>0.29544783239541389</v>
      </c>
    </row>
    <row r="44" spans="10:15" s="79" customFormat="1" ht="12">
      <c r="J44" s="86">
        <f t="shared" si="4"/>
        <v>0.78000000000000036</v>
      </c>
      <c r="K44" s="84">
        <f t="shared" ca="1" si="1"/>
        <v>51.480000000000025</v>
      </c>
      <c r="L44" s="87" t="str">
        <f t="shared" ca="1" si="2"/>
        <v/>
      </c>
      <c r="M44" s="85" t="str">
        <f t="shared" ca="1" si="3"/>
        <v/>
      </c>
      <c r="N44" s="84">
        <f ca="1">LN('Histogram Data'!K44+0.01)-LN(price)</f>
        <v>-6.5399967814518511E-2</v>
      </c>
      <c r="O44" s="84">
        <f ca="1">_xlfn.NORM.DIST(N44,0+0.03^3,AVERAGE('Valuation Model'!$K$22:$L$22),FALSE)/scaling</f>
        <v>0.30499837536587127</v>
      </c>
    </row>
    <row r="45" spans="10:15" s="79" customFormat="1" ht="12">
      <c r="J45" s="86">
        <f t="shared" si="4"/>
        <v>0.80000000000000038</v>
      </c>
      <c r="K45" s="84">
        <f t="shared" ca="1" si="1"/>
        <v>52.800000000000026</v>
      </c>
      <c r="L45" s="87" t="str">
        <f t="shared" ca="1" si="2"/>
        <v/>
      </c>
      <c r="M45" s="85" t="str">
        <f t="shared" ca="1" si="3"/>
        <v/>
      </c>
      <c r="N45" s="84">
        <f ca="1">LN('Histogram Data'!K45+0.01)-LN(price)</f>
        <v>-4.008701515372648E-2</v>
      </c>
      <c r="O45" s="84">
        <f ca="1">_xlfn.NORM.DIST(N45,0+0.03^3,AVERAGE('Valuation Model'!$K$22:$L$22),FALSE)/scaling</f>
        <v>0.3114301358752164</v>
      </c>
    </row>
    <row r="46" spans="10:15" s="79" customFormat="1" ht="12">
      <c r="J46" s="86">
        <f t="shared" si="4"/>
        <v>0.8200000000000004</v>
      </c>
      <c r="K46" s="84">
        <f t="shared" ca="1" si="1"/>
        <v>54.120000000000026</v>
      </c>
      <c r="L46" s="87" t="str">
        <f t="shared" ca="1" si="2"/>
        <v/>
      </c>
      <c r="M46" s="85" t="str">
        <f t="shared" ca="1" si="3"/>
        <v/>
      </c>
      <c r="N46" s="84">
        <f ca="1">LN('Histogram Data'!K46+0.01)-LN(price)</f>
        <v>-1.539902106368185E-2</v>
      </c>
      <c r="O46" s="84">
        <f ca="1">_xlfn.NORM.DIST(N46,0+0.03^3,AVERAGE('Valuation Model'!$K$22:$L$22),FALSE)/scaling</f>
        <v>0.3147837219059656</v>
      </c>
    </row>
    <row r="47" spans="10:15" s="79" customFormat="1" ht="12">
      <c r="J47" s="86">
        <f t="shared" si="4"/>
        <v>0.84000000000000041</v>
      </c>
      <c r="K47" s="84">
        <f t="shared" ca="1" si="1"/>
        <v>55.440000000000026</v>
      </c>
      <c r="L47" s="87">
        <f t="shared" ca="1" si="2"/>
        <v>6.25E-2</v>
      </c>
      <c r="M47" s="85" t="str">
        <f t="shared" ca="1" si="3"/>
        <v/>
      </c>
      <c r="N47" s="84">
        <f ca="1">LN('Histogram Data'!K47+0.01)-LN(price)</f>
        <v>8.6941319238071912E-3</v>
      </c>
      <c r="O47" s="84">
        <f ca="1">_xlfn.NORM.DIST(N47,0+0.03^3,AVERAGE('Valuation Model'!$K$22:$L$22),FALSE)/scaling</f>
        <v>0.31518439154700723</v>
      </c>
    </row>
    <row r="48" spans="10:15" s="79" customFormat="1" ht="12">
      <c r="J48" s="86">
        <f t="shared" si="4"/>
        <v>0.86000000000000043</v>
      </c>
      <c r="K48" s="84">
        <f t="shared" ca="1" si="1"/>
        <v>56.760000000000026</v>
      </c>
      <c r="L48" s="87" t="str">
        <f t="shared" ca="1" si="2"/>
        <v/>
      </c>
      <c r="M48" s="85" t="str">
        <f t="shared" ca="1" si="3"/>
        <v/>
      </c>
      <c r="N48" s="84">
        <f ca="1">LN('Histogram Data'!K48+0.01)-LN(price)</f>
        <v>3.2220435310066797E-2</v>
      </c>
      <c r="O48" s="84">
        <f ca="1">_xlfn.NORM.DIST(N48,0+0.03^3,AVERAGE('Valuation Model'!$K$22:$L$22),FALSE)/scaling</f>
        <v>0.31282650886864477</v>
      </c>
    </row>
    <row r="49" spans="10:15" s="79" customFormat="1" ht="12">
      <c r="J49" s="86">
        <f t="shared" si="4"/>
        <v>0.88000000000000045</v>
      </c>
      <c r="K49" s="84">
        <f t="shared" ca="1" si="1"/>
        <v>58.080000000000027</v>
      </c>
      <c r="L49" s="87" t="str">
        <f t="shared" ca="1" si="2"/>
        <v/>
      </c>
      <c r="M49" s="85" t="str">
        <f t="shared" ca="1" si="3"/>
        <v/>
      </c>
      <c r="N49" s="84">
        <f ca="1">LN('Histogram Data'!K49+0.01)-LN(price)</f>
        <v>5.5205950131872683E-2</v>
      </c>
      <c r="O49" s="84">
        <f ca="1">_xlfn.NORM.DIST(N49,0+0.03^3,AVERAGE('Valuation Model'!$K$22:$L$22),FALSE)/scaling</f>
        <v>0.30795729482745116</v>
      </c>
    </row>
    <row r="50" spans="10:15" s="79" customFormat="1" ht="12">
      <c r="J50" s="86">
        <f t="shared" si="4"/>
        <v>0.90000000000000047</v>
      </c>
      <c r="K50" s="84">
        <f t="shared" ca="1" si="1"/>
        <v>59.400000000000034</v>
      </c>
      <c r="L50" s="87" t="str">
        <f t="shared" ca="1" si="2"/>
        <v/>
      </c>
      <c r="M50" s="85" t="str">
        <f t="shared" ca="1" si="3"/>
        <v/>
      </c>
      <c r="N50" s="84">
        <f ca="1">LN('Histogram Data'!K50+0.01)-LN(price)</f>
        <v>7.7674980495081591E-2</v>
      </c>
      <c r="O50" s="84">
        <f ca="1">_xlfn.NORM.DIST(N50,0+0.03^3,AVERAGE('Valuation Model'!$K$22:$L$22),FALSE)/scaling</f>
        <v>0.30086090617603778</v>
      </c>
    </row>
    <row r="51" spans="10:15" s="79" customFormat="1" ht="12">
      <c r="J51" s="86">
        <f t="shared" si="4"/>
        <v>0.92000000000000048</v>
      </c>
      <c r="K51" s="84">
        <f t="shared" ca="1" si="1"/>
        <v>60.720000000000034</v>
      </c>
      <c r="L51" s="87" t="str">
        <f t="shared" ca="1" si="2"/>
        <v/>
      </c>
      <c r="M51" s="85" t="str">
        <f t="shared" ca="1" si="3"/>
        <v/>
      </c>
      <c r="N51" s="84">
        <f ca="1">LN('Histogram Data'!K51+0.01)-LN(price)</f>
        <v>9.9650228036916033E-2</v>
      </c>
      <c r="O51" s="84">
        <f ca="1">_xlfn.NORM.DIST(N51,0+0.03^3,AVERAGE('Valuation Model'!$K$22:$L$22),FALSE)/scaling</f>
        <v>0.29184362351626764</v>
      </c>
    </row>
    <row r="52" spans="10:15" s="79" customFormat="1" ht="12">
      <c r="J52" s="86">
        <f t="shared" si="4"/>
        <v>0.9400000000000005</v>
      </c>
      <c r="K52" s="84">
        <f t="shared" ca="1" si="1"/>
        <v>62.040000000000035</v>
      </c>
      <c r="L52" s="87" t="str">
        <f t="shared" ca="1" si="2"/>
        <v/>
      </c>
      <c r="M52" s="85" t="str">
        <f t="shared" ca="1" si="3"/>
        <v/>
      </c>
      <c r="N52" s="84">
        <f ca="1">LN('Histogram Data'!K52+0.01)-LN(price)</f>
        <v>0.12115292977804781</v>
      </c>
      <c r="O52" s="84">
        <f ca="1">_xlfn.NORM.DIST(N52,0+0.03^3,AVERAGE('Valuation Model'!$K$22:$L$22),FALSE)/scaling</f>
        <v>0.28122068515696508</v>
      </c>
    </row>
    <row r="53" spans="10:15" s="79" customFormat="1" ht="12">
      <c r="J53" s="86">
        <f t="shared" si="4"/>
        <v>0.96000000000000052</v>
      </c>
      <c r="K53" s="84">
        <f t="shared" ca="1" si="1"/>
        <v>63.360000000000035</v>
      </c>
      <c r="L53" s="87" t="str">
        <f t="shared" ca="1" si="2"/>
        <v/>
      </c>
      <c r="M53" s="85" t="str">
        <f t="shared" ca="1" si="3"/>
        <v/>
      </c>
      <c r="N53" s="84">
        <f ca="1">LN('Histogram Data'!K53+0.01)-LN(price)</f>
        <v>0.14220298146285693</v>
      </c>
      <c r="O53" s="84">
        <f ca="1">_xlfn.NORM.DIST(N53,0+0.03^3,AVERAGE('Valuation Model'!$K$22:$L$22),FALSE)/scaling</f>
        <v>0.26930508378902912</v>
      </c>
    </row>
    <row r="54" spans="10:15" s="79" customFormat="1" ht="12">
      <c r="J54" s="86">
        <f t="shared" si="4"/>
        <v>0.98000000000000054</v>
      </c>
      <c r="K54" s="84">
        <f t="shared" ca="1" si="1"/>
        <v>64.680000000000035</v>
      </c>
      <c r="L54" s="87" t="str">
        <f t="shared" ca="1" si="2"/>
        <v/>
      </c>
      <c r="M54" s="85" t="str">
        <f t="shared" ca="1" si="3"/>
        <v/>
      </c>
      <c r="N54" s="84">
        <f ca="1">LN('Histogram Data'!K54+0.01)-LN(price)</f>
        <v>0.1628190481833256</v>
      </c>
      <c r="O54" s="84">
        <f ca="1">_xlfn.NORM.DIST(N54,0+0.03^3,AVERAGE('Valuation Model'!$K$22:$L$22),FALSE)/scaling</f>
        <v>0.25639845815381562</v>
      </c>
    </row>
    <row r="55" spans="10:15">
      <c r="J55" s="86">
        <f t="shared" si="4"/>
        <v>1.0000000000000004</v>
      </c>
      <c r="K55" s="84">
        <f t="shared" ca="1" si="1"/>
        <v>66.000000000000028</v>
      </c>
      <c r="L55" s="87" t="str">
        <f t="shared" ca="1" si="2"/>
        <v/>
      </c>
      <c r="M55" s="85" t="str">
        <f t="shared" ca="1" si="3"/>
        <v/>
      </c>
      <c r="N55" s="84">
        <f ca="1">LN('Histogram Data'!K55+0.01)-LN(price)</f>
        <v>0.18301866382811127</v>
      </c>
      <c r="O55" s="84">
        <f ca="1">_xlfn.NORM.DIST(N55,0+0.03^3,AVERAGE('Valuation Model'!$K$22:$L$22),FALSE)/scaling</f>
        <v>0.24278406585045328</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topLeftCell="A44" workbookViewId="0">
      <selection activeCell="A71" sqref="A71"/>
    </sheetView>
  </sheetViews>
  <sheetFormatPr defaultRowHeight="15"/>
  <cols>
    <col min="1" max="1" width="10.7109375" bestFit="1" customWidth="1"/>
    <col min="3" max="3" width="10.7109375" bestFit="1" customWidth="1"/>
  </cols>
  <sheetData>
    <row r="1" spans="1:3">
      <c r="A1" t="s">
        <v>161</v>
      </c>
      <c r="B1" t="s">
        <v>162</v>
      </c>
    </row>
    <row r="2" spans="1:3">
      <c r="A2" s="133">
        <v>36616</v>
      </c>
      <c r="B2">
        <v>10036.1</v>
      </c>
      <c r="C2" s="133"/>
    </row>
    <row r="3" spans="1:3">
      <c r="A3" s="133">
        <v>36707</v>
      </c>
      <c r="B3">
        <v>10283.700000000001</v>
      </c>
      <c r="C3" s="133"/>
    </row>
    <row r="4" spans="1:3">
      <c r="A4" s="133">
        <v>36799</v>
      </c>
      <c r="B4">
        <v>10363.799999999999</v>
      </c>
      <c r="C4" s="133"/>
    </row>
    <row r="5" spans="1:3">
      <c r="A5" s="133">
        <v>36891</v>
      </c>
      <c r="B5">
        <v>10475.299999999999</v>
      </c>
      <c r="C5" s="133"/>
    </row>
    <row r="6" spans="1:3">
      <c r="A6" s="133">
        <v>36981</v>
      </c>
      <c r="B6">
        <v>10512.5</v>
      </c>
      <c r="C6" s="133"/>
    </row>
    <row r="7" spans="1:3">
      <c r="A7" s="133">
        <v>37072</v>
      </c>
      <c r="B7">
        <v>10641.6</v>
      </c>
      <c r="C7" s="133"/>
    </row>
    <row r="8" spans="1:3">
      <c r="A8" s="133">
        <v>37164</v>
      </c>
      <c r="B8">
        <v>10644.3</v>
      </c>
      <c r="C8" s="133"/>
    </row>
    <row r="9" spans="1:3">
      <c r="A9" s="133">
        <v>37256</v>
      </c>
      <c r="B9">
        <v>10702.7</v>
      </c>
      <c r="C9" s="133"/>
    </row>
    <row r="10" spans="1:3">
      <c r="A10" s="133">
        <v>37346</v>
      </c>
      <c r="B10">
        <v>10837.3</v>
      </c>
      <c r="C10" s="133"/>
    </row>
    <row r="11" spans="1:3">
      <c r="A11" s="133">
        <v>37437</v>
      </c>
      <c r="B11">
        <v>10938</v>
      </c>
      <c r="C11" s="133"/>
    </row>
    <row r="12" spans="1:3">
      <c r="A12" s="133">
        <v>37529</v>
      </c>
      <c r="B12">
        <v>11039.8</v>
      </c>
      <c r="C12" s="133"/>
    </row>
    <row r="13" spans="1:3">
      <c r="A13" s="133">
        <v>37621</v>
      </c>
      <c r="B13">
        <v>11105.7</v>
      </c>
      <c r="C13" s="133"/>
    </row>
    <row r="14" spans="1:3">
      <c r="A14" s="133">
        <v>37711</v>
      </c>
      <c r="B14">
        <v>11230.8</v>
      </c>
      <c r="C14" s="133"/>
    </row>
    <row r="15" spans="1:3">
      <c r="A15" s="133">
        <v>37802</v>
      </c>
      <c r="B15">
        <v>11371.4</v>
      </c>
      <c r="C15" s="133"/>
    </row>
    <row r="16" spans="1:3">
      <c r="A16" s="133">
        <v>37894</v>
      </c>
      <c r="B16">
        <v>11628.4</v>
      </c>
      <c r="C16" s="133"/>
    </row>
    <row r="17" spans="1:3">
      <c r="A17" s="133">
        <v>37986</v>
      </c>
      <c r="B17">
        <v>11818.5</v>
      </c>
      <c r="C17" s="133"/>
    </row>
    <row r="18" spans="1:3">
      <c r="A18" s="133">
        <v>38077</v>
      </c>
      <c r="B18">
        <v>11991.4</v>
      </c>
      <c r="C18" s="133"/>
    </row>
    <row r="19" spans="1:3">
      <c r="A19" s="133">
        <v>38168</v>
      </c>
      <c r="B19">
        <v>12183.5</v>
      </c>
      <c r="C19" s="133"/>
    </row>
    <row r="20" spans="1:3">
      <c r="A20" s="133">
        <v>38260</v>
      </c>
      <c r="B20">
        <v>12369.4</v>
      </c>
      <c r="C20" s="133"/>
    </row>
    <row r="21" spans="1:3">
      <c r="A21" s="133">
        <v>38352</v>
      </c>
      <c r="B21">
        <v>12563.8</v>
      </c>
      <c r="C21" s="133"/>
    </row>
    <row r="22" spans="1:3">
      <c r="A22" s="133">
        <v>38442</v>
      </c>
      <c r="B22">
        <v>12816.2</v>
      </c>
      <c r="C22" s="133"/>
    </row>
    <row r="23" spans="1:3">
      <c r="A23" s="133">
        <v>38533</v>
      </c>
      <c r="B23">
        <v>12975.7</v>
      </c>
      <c r="C23" s="133"/>
    </row>
    <row r="24" spans="1:3">
      <c r="A24" s="133">
        <v>38625</v>
      </c>
      <c r="B24">
        <v>13206.5</v>
      </c>
      <c r="C24" s="133"/>
    </row>
    <row r="25" spans="1:3">
      <c r="A25" s="133">
        <v>38717</v>
      </c>
      <c r="B25">
        <v>13383.3</v>
      </c>
      <c r="C25" s="133"/>
    </row>
    <row r="26" spans="1:3">
      <c r="A26" s="133">
        <v>38807</v>
      </c>
      <c r="B26">
        <v>13649.8</v>
      </c>
      <c r="C26" s="133"/>
    </row>
    <row r="27" spans="1:3">
      <c r="A27" s="133">
        <v>38898</v>
      </c>
      <c r="B27">
        <v>13802.9</v>
      </c>
      <c r="C27" s="133"/>
    </row>
    <row r="28" spans="1:3">
      <c r="A28" s="133">
        <v>38990</v>
      </c>
      <c r="B28">
        <v>13910.5</v>
      </c>
      <c r="C28" s="133"/>
    </row>
    <row r="29" spans="1:3">
      <c r="A29" s="133">
        <v>39082</v>
      </c>
      <c r="B29">
        <v>14068.4</v>
      </c>
    </row>
    <row r="30" spans="1:3">
      <c r="A30" s="133">
        <v>39172</v>
      </c>
      <c r="B30">
        <v>14235</v>
      </c>
    </row>
    <row r="31" spans="1:3">
      <c r="A31" s="133">
        <v>39263</v>
      </c>
      <c r="B31">
        <v>14424.5</v>
      </c>
    </row>
    <row r="32" spans="1:3">
      <c r="A32" s="133">
        <v>39355</v>
      </c>
      <c r="B32">
        <v>14571.9</v>
      </c>
    </row>
    <row r="33" spans="1:2">
      <c r="A33" s="133">
        <v>39447</v>
      </c>
      <c r="B33">
        <v>14690</v>
      </c>
    </row>
    <row r="34" spans="1:2">
      <c r="A34" s="133">
        <v>39538</v>
      </c>
      <c r="B34">
        <v>14672.9</v>
      </c>
    </row>
    <row r="35" spans="1:2">
      <c r="A35" s="133">
        <v>39629</v>
      </c>
      <c r="B35">
        <v>14813</v>
      </c>
    </row>
    <row r="36" spans="1:2">
      <c r="A36" s="133">
        <v>39721</v>
      </c>
      <c r="B36">
        <v>14843</v>
      </c>
    </row>
    <row r="37" spans="1:2">
      <c r="A37" s="133">
        <v>39813</v>
      </c>
      <c r="B37">
        <v>14549.9</v>
      </c>
    </row>
    <row r="38" spans="1:2">
      <c r="A38" s="133">
        <v>39903</v>
      </c>
      <c r="B38">
        <v>14383.9</v>
      </c>
    </row>
    <row r="39" spans="1:2">
      <c r="A39" s="133">
        <v>39994</v>
      </c>
      <c r="B39">
        <v>14340.4</v>
      </c>
    </row>
    <row r="40" spans="1:2">
      <c r="A40" s="133">
        <v>40086</v>
      </c>
      <c r="B40">
        <v>14384.1</v>
      </c>
    </row>
    <row r="41" spans="1:2">
      <c r="A41" s="133">
        <v>40178</v>
      </c>
      <c r="B41">
        <v>14566.5</v>
      </c>
    </row>
    <row r="42" spans="1:2">
      <c r="A42" s="133">
        <v>40268</v>
      </c>
      <c r="B42">
        <v>14681.1</v>
      </c>
    </row>
    <row r="43" spans="1:2">
      <c r="A43" s="133">
        <v>40359</v>
      </c>
      <c r="B43">
        <v>14888.6</v>
      </c>
    </row>
    <row r="44" spans="1:2">
      <c r="A44" s="133">
        <v>40451</v>
      </c>
      <c r="B44">
        <v>15057.7</v>
      </c>
    </row>
    <row r="45" spans="1:2">
      <c r="A45" s="133">
        <v>40543</v>
      </c>
      <c r="B45">
        <v>15230.2</v>
      </c>
    </row>
    <row r="46" spans="1:2">
      <c r="A46" s="133">
        <v>40633</v>
      </c>
      <c r="B46">
        <v>15238.4</v>
      </c>
    </row>
    <row r="47" spans="1:2">
      <c r="A47" s="133">
        <v>40724</v>
      </c>
      <c r="B47">
        <v>15460.9</v>
      </c>
    </row>
    <row r="48" spans="1:2">
      <c r="A48" s="133">
        <v>40816</v>
      </c>
      <c r="B48">
        <v>15587.1</v>
      </c>
    </row>
    <row r="49" spans="1:5">
      <c r="A49" s="133">
        <v>40908</v>
      </c>
      <c r="B49">
        <v>15785.3</v>
      </c>
    </row>
    <row r="50" spans="1:5">
      <c r="A50" s="133">
        <v>40999</v>
      </c>
      <c r="B50">
        <v>15956.5</v>
      </c>
    </row>
    <row r="51" spans="1:5">
      <c r="A51" s="133">
        <v>41090</v>
      </c>
      <c r="B51">
        <v>16094.7</v>
      </c>
    </row>
    <row r="52" spans="1:5">
      <c r="A52" s="133">
        <v>41182</v>
      </c>
      <c r="B52">
        <v>16268.9</v>
      </c>
    </row>
    <row r="53" spans="1:5">
      <c r="A53" s="133">
        <v>41274</v>
      </c>
      <c r="B53">
        <v>16332.5</v>
      </c>
    </row>
    <row r="54" spans="1:5">
      <c r="A54" s="133">
        <v>41364</v>
      </c>
      <c r="B54">
        <v>16502.400000000001</v>
      </c>
    </row>
    <row r="55" spans="1:5">
      <c r="A55" s="133">
        <v>41455</v>
      </c>
      <c r="B55">
        <v>16619.2</v>
      </c>
    </row>
    <row r="56" spans="1:5">
      <c r="A56" s="133">
        <v>41547</v>
      </c>
      <c r="B56">
        <v>16872.3</v>
      </c>
    </row>
    <row r="57" spans="1:5">
      <c r="A57" s="133">
        <v>41639</v>
      </c>
      <c r="B57">
        <v>17078.3</v>
      </c>
    </row>
    <row r="58" spans="1:5">
      <c r="A58" s="133">
        <v>41729</v>
      </c>
      <c r="B58">
        <v>17044</v>
      </c>
    </row>
    <row r="59" spans="1:5">
      <c r="A59" s="133">
        <v>41820</v>
      </c>
      <c r="B59">
        <v>17328.2</v>
      </c>
    </row>
    <row r="60" spans="1:5">
      <c r="A60" s="133">
        <v>41912</v>
      </c>
      <c r="B60">
        <v>17599.8</v>
      </c>
    </row>
    <row r="61" spans="1:5">
      <c r="A61" s="133">
        <v>42004</v>
      </c>
      <c r="B61">
        <v>17703.7</v>
      </c>
    </row>
    <row r="62" spans="1:5">
      <c r="A62" s="133">
        <v>42094</v>
      </c>
      <c r="B62">
        <v>17665</v>
      </c>
      <c r="E62" s="133"/>
    </row>
    <row r="63" spans="1:5">
      <c r="A63" s="133">
        <v>42185</v>
      </c>
      <c r="B63">
        <v>17913.7</v>
      </c>
      <c r="E63" s="133"/>
    </row>
    <row r="64" spans="1:5">
      <c r="A64" s="133">
        <v>42277</v>
      </c>
      <c r="B64">
        <v>18060.2</v>
      </c>
    </row>
    <row r="65" spans="1:2">
      <c r="A65" s="133">
        <v>42369</v>
      </c>
      <c r="B65">
        <v>18164.8</v>
      </c>
    </row>
    <row r="66" spans="1:2">
      <c r="A66" s="133">
        <v>42460</v>
      </c>
      <c r="B66">
        <v>18229.5</v>
      </c>
    </row>
    <row r="67" spans="1:2">
      <c r="A67" s="133">
        <v>42551</v>
      </c>
      <c r="B67">
        <v>18450.099999999999</v>
      </c>
    </row>
    <row r="68" spans="1:2">
      <c r="A68" s="133">
        <v>42643</v>
      </c>
      <c r="B68">
        <v>18651.2</v>
      </c>
    </row>
    <row r="69" spans="1:2">
      <c r="A69" s="133">
        <v>42735</v>
      </c>
      <c r="B69">
        <v>18869.400000000001</v>
      </c>
    </row>
    <row r="70" spans="1:2">
      <c r="A70" s="133">
        <v>42825</v>
      </c>
      <c r="B70">
        <v>19007.3</v>
      </c>
    </row>
    <row r="71" spans="1:2">
      <c r="A71" s="133"/>
    </row>
    <row r="72" spans="1:2">
      <c r="A72" s="13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13</vt:i4>
      </vt:variant>
      <vt:variant>
        <vt:lpstr>Named Ranges</vt:lpstr>
      </vt:variant>
      <vt:variant>
        <vt:i4>44</vt:i4>
      </vt:variant>
    </vt:vector>
  </HeadingPairs>
  <TitlesOfParts>
    <vt:vector size="65" baseType="lpstr">
      <vt:lpstr>Valuation Model</vt:lpstr>
      <vt:lpstr>Company Analysis</vt:lpstr>
      <vt:lpstr>Pipeline Info</vt:lpstr>
      <vt:lpstr>BMY OCP</vt:lpstr>
      <vt:lpstr>Graphing Data</vt:lpstr>
      <vt:lpstr>Histogram Data</vt:lpstr>
      <vt:lpstr>GDP Data</vt:lpstr>
      <vt:lpstr>Disclaimer</vt:lpstr>
      <vt:lpstr>Revenue Breakdown Chart</vt:lpstr>
      <vt:lpstr>Med-Term OCP Chart</vt:lpstr>
      <vt:lpstr>Aggregate OCP Comparison Chart</vt:lpstr>
      <vt:lpstr>Revenue History</vt:lpstr>
      <vt:lpstr>Revenue Chart</vt:lpstr>
      <vt:lpstr>Profit History</vt:lpstr>
      <vt:lpstr>Profit Chart</vt:lpstr>
      <vt:lpstr>ECF to OCP Chart</vt:lpstr>
      <vt:lpstr>ECF Breakdown Chart</vt:lpstr>
      <vt:lpstr>FCFO Chart</vt:lpstr>
      <vt:lpstr>Med-Term 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2017-06-12T03:15:04Z</dcterms:modified>
</cp:coreProperties>
</file>