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Ex1.xml" ContentType="application/vnd.ms-office.chartex+xml"/>
  <Override PartName="/xl/charts/style16.xml" ContentType="application/vnd.ms-office.chartstyle+xml"/>
  <Override PartName="/xl/charts/colors16.xml" ContentType="application/vnd.ms-office.chartcolorstyle+xml"/>
  <Override PartName="/xl/charts/chart16.xml" ContentType="application/vnd.openxmlformats-officedocument.drawingml.chart+xml"/>
  <Override PartName="/xl/charts/style17.xml" ContentType="application/vnd.ms-office.chartstyle+xml"/>
  <Override PartName="/xl/charts/colors17.xml" ContentType="application/vnd.ms-office.chartcolorstyle+xml"/>
  <Override PartName="/xl/charts/chart17.xml" ContentType="application/vnd.openxmlformats-officedocument.drawingml.chart+xml"/>
  <Override PartName="/xl/charts/style18.xml" ContentType="application/vnd.ms-office.chartstyle+xml"/>
  <Override PartName="/xl/charts/colors18.xml" ContentType="application/vnd.ms-office.chartcolorstyle+xml"/>
  <Override PartName="/xl/charts/chart18.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20.xml" ContentType="application/vnd.ms-office.chartstyle+xml"/>
  <Override PartName="/xl/charts/colors20.xml" ContentType="application/vnd.ms-office.chartcolorstyle+xml"/>
  <Override PartName="/xl/charts/chart20.xml" ContentType="application/vnd.openxmlformats-officedocument.drawingml.chart+xml"/>
  <Override PartName="/xl/charts/style21.xml" ContentType="application/vnd.ms-office.chartstyle+xml"/>
  <Override PartName="/xl/charts/colors21.xml" ContentType="application/vnd.ms-office.chartcolorstyle+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charts/chart2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6.xml" ContentType="application/vnd.openxmlformats-officedocument.drawingml.chartshapes+xml"/>
  <Override PartName="/xl/charts/chart25.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ml.chartshapes+xml"/>
  <Override PartName="/xl/charts/chart26.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8.xml" ContentType="application/vnd.openxmlformats-officedocument.drawingml.chartshapes+xml"/>
  <Override PartName="/xl/charts/chart27.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omments3.xml" ContentType="application/vnd.openxmlformats-officedocument.spreadsheetml.comments+xml"/>
  <Override PartName="/xl/charts/chart28.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1.xml" ContentType="application/vnd.openxmlformats-officedocument.drawing+xml"/>
  <Override PartName="/xl/charts/chart29.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0.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3.xml" ContentType="application/vnd.openxmlformats-officedocument.drawing+xml"/>
  <Override PartName="/xl/charts/chart31.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32.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xml" ContentType="application/vnd.openxmlformats-officedocument.themeOverride+xml"/>
  <Override PartName="/xl/drawings/drawing16.xml" ContentType="application/vnd.openxmlformats-officedocument.drawing+xml"/>
  <Override PartName="/xl/charts/chart33.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2.xml" ContentType="application/vnd.openxmlformats-officedocument.themeOverride+xml"/>
  <Override PartName="/xl/drawings/drawing17.xml" ContentType="application/vnd.openxmlformats-officedocument.drawing+xml"/>
  <Override PartName="/xl/charts/chart34.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xml" ContentType="application/vnd.openxmlformats-officedocument.themeOverride+xml"/>
  <Override PartName="/xl/drawings/drawing18.xml" ContentType="application/vnd.openxmlformats-officedocument.drawing+xml"/>
  <Override PartName="/xl/charts/chart35.xml" ContentType="application/vnd.openxmlformats-officedocument.drawingml.chart+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CAT - Caterpillar/"/>
    </mc:Choice>
  </mc:AlternateContent>
  <bookViews>
    <workbookView xWindow="480" yWindow="60" windowWidth="20014" windowHeight="8023" tabRatio="825"/>
  </bookViews>
  <sheets>
    <sheet name="Valuation Model" sheetId="1" r:id="rId1"/>
    <sheet name="Company Analysis" sheetId="19" r:id="rId2"/>
    <sheet name="Segments" sheetId="32" r:id="rId3"/>
    <sheet name="Revenue Stats" sheetId="33" r:id="rId4"/>
    <sheet name="Revenue Data" sheetId="37" r:id="rId5"/>
    <sheet name="Revenue Projections" sheetId="34" r:id="rId6"/>
    <sheet name="OCP Data" sheetId="35" r:id="rId7"/>
    <sheet name="ECF Data" sheetId="36" r:id="rId8"/>
    <sheet name="Graphing Data" sheetId="21" r:id="rId9"/>
    <sheet name="Revenue Chart" sheetId="22" r:id="rId10"/>
    <sheet name="Profit Chart" sheetId="23" r:id="rId11"/>
    <sheet name="ECF to OCP Chart" sheetId="25" r:id="rId12"/>
    <sheet name="ECF Breakdown Chart" sheetId="26" r:id="rId13"/>
    <sheet name="FCFO Chart" sheetId="27" r:id="rId14"/>
    <sheet name="Investment Efficacy Chart" sheetId="28" r:id="rId15"/>
    <sheet name="Valuation Histogram" sheetId="16" r:id="rId16"/>
    <sheet name="Histogram Data" sheetId="17" r:id="rId17"/>
    <sheet name="GDP Data" sheetId="20" r:id="rId18"/>
    <sheet name="Disclaimer" sheetId="18" r:id="rId19"/>
    <sheet name="PSW_Sheet" sheetId="11" state="veryHidden" r:id="rId20"/>
    <sheet name="_SSC" sheetId="12" state="veryHidden" r:id="rId21"/>
    <sheet name="_Options" sheetId="13" state="veryHidden"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4" hidden="1">#REF!</definedName>
    <definedName name="_Fill" hidden="1">#REF!</definedName>
    <definedName name="_xlnm._FilterDatabase" localSheetId="16"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xlchart.v1.0" hidden="1">'Revenue Projections'!$A$2:$A$109</definedName>
    <definedName name="_y1" localSheetId="4">[1]Assumptions!$V$2</definedName>
    <definedName name="_y1">[2]Assumptions!$V$2</definedName>
    <definedName name="AbnormalMultiple" localSheetId="4">'[1]Valuation Overview'!$J$15</definedName>
    <definedName name="AbnormalMultiple">'[2]Valuation Overview'!$J$15</definedName>
    <definedName name="AnalysisDate" localSheetId="4">'[1]Valuation Overview'!$D$8</definedName>
    <definedName name="AnalysisDate">'[2]Valuation Overview'!$D$8</definedName>
    <definedName name="ar_AutoRefresh">[3]arConfig_StkPrice!$B$5</definedName>
    <definedName name="ar_enabled">[3]arConfig_StkPrice!$B$3</definedName>
    <definedName name="BestCase" localSheetId="4">[4]Model!$K$20</definedName>
    <definedName name="BestCase">'Valuation Model'!$I$20</definedName>
    <definedName name="BoundLower" localSheetId="4">'[1]Valuation Overview'!$N$28</definedName>
    <definedName name="BoundLower">'[2]Valuation Overview'!$N$28</definedName>
    <definedName name="BoundUpper" localSheetId="4">'[1]Valuation Overview'!$N$27</definedName>
    <definedName name="BoundUpper">'[2]Valuation Overview'!$N$27</definedName>
    <definedName name="bsEffectPerShare" localSheetId="4">[4]Model!$C$17</definedName>
    <definedName name="bsEffectPerShare">[5]Model!$C$17</definedName>
    <definedName name="DCFExplicit" localSheetId="4">[1]Assumptions!$V$102:$Z$102</definedName>
    <definedName name="DCFExplicit">[2]Assumptions!$V$102:$Z$102</definedName>
    <definedName name="DCFLastAbnormal" localSheetId="4">[1]Assumptions!$Z$185</definedName>
    <definedName name="DCFLastAbnormal">[2]Assumptions!$Z$185</definedName>
    <definedName name="DCFLastExplicit" localSheetId="4">[1]Assumptions!$Z$102</definedName>
    <definedName name="DCFLastExplicit">[2]Assumptions!$Z$102</definedName>
    <definedName name="DiscountRate" localSheetId="4">[6]Control!$L$9</definedName>
    <definedName name="DiscountRate">'[2]Valuation Overview'!$D$12</definedName>
    <definedName name="DivYield" localSheetId="4">'[1]Valuation Overview'!$D$14</definedName>
    <definedName name="DivYield">'[2]Valuation Overview'!$D$14</definedName>
    <definedName name="exp_best">[6]Control!$L$6</definedName>
    <definedName name="exp_likely">[6]Control!$J$6</definedName>
    <definedName name="exp_worst">[6]Control!$K$6</definedName>
    <definedName name="ExplicitYears" localSheetId="4">'[1]Valuation Overview'!$D$6</definedName>
    <definedName name="ExplicitYears">'[2]Valuation Overview'!$D$6</definedName>
    <definedName name="FairValue" localSheetId="4">'[1]Valuation Overview'!$O$10</definedName>
    <definedName name="FairValue">'[2]Valuation Overview'!$O$10</definedName>
    <definedName name="GrowthRateAbnormal" localSheetId="4">'[1]Valuation Overview'!$J$13</definedName>
    <definedName name="GrowthRateAbnormal">'[2]Valuation Overview'!$J$13</definedName>
    <definedName name="GrowthYears" localSheetId="4">'[1]Valuation Overview'!$J$12</definedName>
    <definedName name="GrowthYears">'[2]Valuation Overview'!$J$12</definedName>
    <definedName name="Inflation" localSheetId="4">'[1]Valuation Overview'!$D$15</definedName>
    <definedName name="Inflation">'[2]Valuation Overview'!$D$15</definedName>
    <definedName name="iVol" localSheetId="4">[4]Model!$F$5</definedName>
    <definedName name="iVol">'[2]Valuation Overview'!$D$24</definedName>
    <definedName name="iVol2" localSheetId="4">[4]Model!$G$5</definedName>
    <definedName name="iVol2">'[2]Valuation Overview'!$D$25</definedName>
    <definedName name="LikelyCase" localSheetId="4">[4]Model!$K$22</definedName>
    <definedName name="LikelyCase">[5]Model!$K$22</definedName>
    <definedName name="med_best">[6]Control!$L$7</definedName>
    <definedName name="med_likely">[6]Control!$J$7</definedName>
    <definedName name="med_worst">[6]Control!$K$7</definedName>
    <definedName name="NetDrift" localSheetId="4">[4]Model!$B$8</definedName>
    <definedName name="NetDrift">'[2]Valuation Overview'!$D$19</definedName>
    <definedName name="ocp_best">[6]Control!$L$5</definedName>
    <definedName name="ocp_likely">[6]Control!$J$5</definedName>
    <definedName name="ocp_worst">[6]Control!$K$5</definedName>
    <definedName name="OptionChain" localSheetId="4">'[1]Security Pricing Data'!$F$3:$I$17</definedName>
    <definedName name="OptionChain">'[2]Security Pricing Data'!$F$3:$I$17</definedName>
    <definedName name="OutstandingShares" localSheetId="4">'[1]Valuation Overview'!$D$17</definedName>
    <definedName name="OutstandingShares">'[2]Valuation Overview'!$D$17</definedName>
    <definedName name="PerpetualMultiple" localSheetId="4">'[1]Valuation Overview'!$J$22</definedName>
    <definedName name="PerpetualMultiple">'[2]Valuation Overview'!$J$22</definedName>
    <definedName name="price" localSheetId="4">[4]Model!$G$6</definedName>
    <definedName name="price">'Valuation Model'!$G$2</definedName>
    <definedName name="ProfitScenario" localSheetId="4">[1]Assumptions!$BP$6</definedName>
    <definedName name="ProfitScenario">[2]Assumptions!$BP$6</definedName>
    <definedName name="ProjectionY1" localSheetId="4">'[1]Valuation Overview'!$D$7</definedName>
    <definedName name="ProjectionY1">'[2]Valuation Overview'!$D$7</definedName>
    <definedName name="PSRatioData" localSheetId="4">[4]Data!$Q$2:$Q$2516</definedName>
    <definedName name="PSRatioData">[7]Data!$Q$2:$Q$2516</definedName>
    <definedName name="PSRHigh" localSheetId="4">[4]Model!$P$21</definedName>
    <definedName name="PSRHigh">'Valuation Model'!$P$21</definedName>
    <definedName name="PSRLow" localSheetId="4">[4]Model!$P$22</definedName>
    <definedName name="PSRLow">'Valuation Model'!$P$22</definedName>
    <definedName name="rev_best">[6]Control!$L$4</definedName>
    <definedName name="rev_likely">[6]Control!$J$4</definedName>
    <definedName name="rev_worst">[6]Control!$K$4</definedName>
    <definedName name="RevScenario" localSheetId="4">[1]Assumptions!$BP$4</definedName>
    <definedName name="RevScenario">[2]Assumptions!$BP$4</definedName>
    <definedName name="RiskFree" localSheetId="4">'[1]Valuation Overview'!$D$13</definedName>
    <definedName name="RiskFree">'[2]Valuation Overview'!$D$13</definedName>
    <definedName name="scaling" localSheetId="4">'[4]Histogram Data'!$E$1</definedName>
    <definedName name="scaling">'Histogram Data'!$E$1</definedName>
    <definedName name="Scenario1" localSheetId="4">[4]Model!$Q$100</definedName>
    <definedName name="Scenario1">'Valuation Model'!$G$67</definedName>
    <definedName name="Scenario2" localSheetId="4">[4]Model!$Q$111</definedName>
    <definedName name="Scenario2">'Valuation Model'!$G$78</definedName>
    <definedName name="Scenario3" localSheetId="4">[4]Model!$Q$122</definedName>
    <definedName name="Scenario3">'Valuation Model'!$G$89</definedName>
    <definedName name="Scenario4" localSheetId="4">[4]Model!$Q$133</definedName>
    <definedName name="Scenario4">'Valuation Model'!$G$100</definedName>
    <definedName name="Scenario5" localSheetId="4">[4]Model!$Q$144</definedName>
    <definedName name="Scenario5">'Valuation Model'!$G$111</definedName>
    <definedName name="Scenario6" localSheetId="4">[4]Model!$Q$155</definedName>
    <definedName name="Scenario6">'Valuation Model'!$G$122</definedName>
    <definedName name="Scenario7" localSheetId="4">[4]Model!$Q$168</definedName>
    <definedName name="Scenario7">'Valuation Model'!$G$133</definedName>
    <definedName name="Scenario8" localSheetId="4">[4]Model!$Q$179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[6]Control!$L$8</definedName>
    <definedName name="StockPriceData" localSheetId="4">[4]Data!$K$2:$K$2516</definedName>
    <definedName name="StockPriceData">[7]Data!$K$2:$K$2516</definedName>
    <definedName name="TerminalDayCount" localSheetId="4">[1]Assumptions!$Z$184</definedName>
    <definedName name="TerminalDayCount">[2]Assumptions!$Z$184</definedName>
    <definedName name="TerminalMethod" localSheetId="4">'[1]Valuation Overview'!$D$11</definedName>
    <definedName name="TerminalMethod">'[2]Valuation Overview'!$D$11</definedName>
    <definedName name="ticker" localSheetId="4">[4]Model!$B$2</definedName>
    <definedName name="ticker">'Valuation Model'!$B$2</definedName>
    <definedName name="ValuationMethod" localSheetId="4">'[1]Valuation Overview'!$D$11</definedName>
    <definedName name="ValuationMethod">'[2]Valuation Overview'!$D$11</definedName>
    <definedName name="value1">[8]Model!$J$9</definedName>
    <definedName name="value2">[8]Model!$J$10</definedName>
    <definedName name="value3">[8]Model!$J$11</definedName>
    <definedName name="value4">[8]Model!$J$12</definedName>
    <definedName name="value5">[8]Model!$J$13</definedName>
    <definedName name="value6">[8]Model!$J$14</definedName>
    <definedName name="value7">[8]Model!$J$15</definedName>
    <definedName name="value8">[8]Model!$J$16</definedName>
    <definedName name="WorstCase" localSheetId="4">[4]Model!$K$21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4">#REF!</definedName>
    <definedName name="YF_Attributes">#REF!</definedName>
  </definedNames>
  <calcPr calcId="171027"/>
</workbook>
</file>

<file path=xl/calcChain.xml><?xml version="1.0" encoding="utf-8"?>
<calcChain xmlns="http://schemas.openxmlformats.org/spreadsheetml/2006/main">
  <c r="C130" i="37" l="1"/>
  <c r="C129" i="37" l="1"/>
  <c r="C128" i="37"/>
  <c r="C127" i="37"/>
  <c r="C126" i="37"/>
  <c r="C125" i="37"/>
  <c r="C124" i="37"/>
  <c r="C123" i="37"/>
  <c r="C122" i="37"/>
  <c r="C121" i="37"/>
  <c r="C120" i="37"/>
  <c r="C119" i="37"/>
  <c r="C118" i="37"/>
  <c r="C117" i="37"/>
  <c r="C116" i="37"/>
  <c r="C115" i="37"/>
  <c r="C114" i="37"/>
  <c r="C113" i="37"/>
  <c r="C112" i="37"/>
  <c r="C111" i="37"/>
  <c r="C110" i="37"/>
  <c r="C109" i="37"/>
  <c r="C108" i="37"/>
  <c r="C107" i="37"/>
  <c r="C106" i="37"/>
  <c r="C105" i="37"/>
  <c r="C104" i="37"/>
  <c r="C103" i="37"/>
  <c r="C102" i="37"/>
  <c r="C101" i="37"/>
  <c r="C100" i="37"/>
  <c r="C99" i="37"/>
  <c r="C98" i="37"/>
  <c r="C97" i="37"/>
  <c r="C96" i="37"/>
  <c r="C95" i="37"/>
  <c r="C94" i="37"/>
  <c r="C93" i="37"/>
  <c r="C92" i="37"/>
  <c r="C91" i="37"/>
  <c r="C90" i="37"/>
  <c r="C89" i="37"/>
  <c r="C88" i="37"/>
  <c r="C87" i="37"/>
  <c r="C86" i="37"/>
  <c r="C85" i="37"/>
  <c r="C84" i="37"/>
  <c r="C83" i="37"/>
  <c r="C82" i="37"/>
  <c r="C81" i="37"/>
  <c r="C80" i="37"/>
  <c r="C79" i="37"/>
  <c r="C78" i="37"/>
  <c r="C77" i="37"/>
  <c r="C76" i="37"/>
  <c r="C75" i="37"/>
  <c r="C74" i="37"/>
  <c r="C73" i="37"/>
  <c r="C72" i="37"/>
  <c r="C71" i="37"/>
  <c r="C70" i="37"/>
  <c r="C69" i="37"/>
  <c r="C68" i="37"/>
  <c r="C67" i="37"/>
  <c r="C66" i="37"/>
  <c r="C65" i="37"/>
  <c r="C64" i="37"/>
  <c r="C63" i="37"/>
  <c r="C62" i="37"/>
  <c r="C61" i="37"/>
  <c r="C60" i="37"/>
  <c r="C59" i="37"/>
  <c r="C58" i="37"/>
  <c r="C57" i="37"/>
  <c r="C56" i="37"/>
  <c r="C55" i="37"/>
  <c r="C54" i="37"/>
  <c r="C53" i="37"/>
  <c r="C52" i="37"/>
  <c r="C51" i="37"/>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D1" i="37"/>
  <c r="D27" i="36" l="1"/>
  <c r="C27" i="36"/>
  <c r="B27" i="36"/>
  <c r="N26" i="36"/>
  <c r="M26" i="36"/>
  <c r="L26" i="36"/>
  <c r="N25" i="36"/>
  <c r="D25" i="36"/>
  <c r="N24" i="36"/>
  <c r="D24" i="36"/>
  <c r="N23" i="36"/>
  <c r="D23" i="36"/>
  <c r="N22" i="36"/>
  <c r="D22" i="36"/>
  <c r="O21" i="36"/>
  <c r="N21" i="36"/>
  <c r="D21" i="36"/>
  <c r="N20" i="36"/>
  <c r="D20" i="36"/>
  <c r="N19" i="36"/>
  <c r="D19" i="36"/>
  <c r="N18" i="36"/>
  <c r="D18" i="36"/>
  <c r="N17" i="36"/>
  <c r="D17" i="36"/>
  <c r="N16" i="36"/>
  <c r="D16" i="36"/>
  <c r="O15" i="36"/>
  <c r="D15" i="36"/>
  <c r="O14" i="36"/>
  <c r="D14" i="36"/>
  <c r="D13" i="36"/>
  <c r="D12" i="36"/>
  <c r="D11" i="36"/>
  <c r="D10" i="36"/>
  <c r="D9" i="36"/>
  <c r="D8" i="36"/>
  <c r="D7" i="36"/>
  <c r="D6" i="36"/>
  <c r="D5" i="36"/>
  <c r="D4" i="36"/>
  <c r="E3" i="36"/>
  <c r="D3" i="36"/>
  <c r="I130" i="35"/>
  <c r="B125" i="35"/>
  <c r="B126" i="35" s="1"/>
  <c r="B127" i="35" s="1"/>
  <c r="G124" i="35"/>
  <c r="G125" i="35" s="1"/>
  <c r="G126" i="35" s="1"/>
  <c r="G127" i="35" s="1"/>
  <c r="C124" i="35"/>
  <c r="B124" i="35"/>
  <c r="C127" i="35" s="1"/>
  <c r="L122" i="35" s="1"/>
  <c r="Q123" i="35"/>
  <c r="P123" i="35"/>
  <c r="M123" i="35"/>
  <c r="L123" i="35"/>
  <c r="H123" i="35"/>
  <c r="G123" i="35"/>
  <c r="I127" i="35" s="1"/>
  <c r="Q122" i="35" s="1"/>
  <c r="D123" i="35"/>
  <c r="M118" i="35" s="1"/>
  <c r="C123" i="35"/>
  <c r="B123" i="35"/>
  <c r="I122" i="35"/>
  <c r="H122" i="35"/>
  <c r="G122" i="35"/>
  <c r="D122" i="35"/>
  <c r="C122" i="35"/>
  <c r="B122" i="35"/>
  <c r="I121" i="35"/>
  <c r="H121" i="35"/>
  <c r="G121" i="35"/>
  <c r="D121" i="35"/>
  <c r="C121" i="35"/>
  <c r="B121" i="35"/>
  <c r="I120" i="35"/>
  <c r="H120" i="35"/>
  <c r="G120" i="35"/>
  <c r="D120" i="35"/>
  <c r="C120" i="35"/>
  <c r="B120" i="35"/>
  <c r="A120" i="35"/>
  <c r="A121" i="35" s="1"/>
  <c r="A122" i="35" s="1"/>
  <c r="A123" i="35" s="1"/>
  <c r="A124" i="35" s="1"/>
  <c r="A125" i="35" s="1"/>
  <c r="A126" i="35" s="1"/>
  <c r="A127" i="35" s="1"/>
  <c r="L119" i="35"/>
  <c r="I119" i="35"/>
  <c r="H119" i="35"/>
  <c r="G119" i="35"/>
  <c r="D119" i="35"/>
  <c r="C119" i="35"/>
  <c r="B119" i="35"/>
  <c r="A119" i="35"/>
  <c r="P118" i="35"/>
  <c r="L118" i="35"/>
  <c r="I118" i="35"/>
  <c r="H118" i="35"/>
  <c r="G118" i="35"/>
  <c r="D118" i="35"/>
  <c r="C118" i="35"/>
  <c r="B118" i="35"/>
  <c r="A118" i="35"/>
  <c r="I117" i="35"/>
  <c r="H117" i="35"/>
  <c r="D117" i="35"/>
  <c r="C117" i="35"/>
  <c r="I116" i="35"/>
  <c r="H116" i="35"/>
  <c r="D116" i="35"/>
  <c r="C116" i="35"/>
  <c r="I115" i="35"/>
  <c r="H115" i="35"/>
  <c r="D115" i="35"/>
  <c r="C115" i="35"/>
  <c r="I114" i="35"/>
  <c r="H114" i="35"/>
  <c r="D114" i="35"/>
  <c r="C114" i="35"/>
  <c r="I113" i="35"/>
  <c r="H113" i="35"/>
  <c r="D113" i="35"/>
  <c r="C113" i="35"/>
  <c r="I112" i="35"/>
  <c r="H112" i="35"/>
  <c r="D112" i="35"/>
  <c r="C112" i="35"/>
  <c r="I111" i="35"/>
  <c r="H111" i="35"/>
  <c r="D111" i="35"/>
  <c r="C111" i="35"/>
  <c r="I110" i="35"/>
  <c r="H110" i="35"/>
  <c r="D110" i="35"/>
  <c r="C110" i="35"/>
  <c r="I109" i="35"/>
  <c r="H109" i="35"/>
  <c r="D109" i="35"/>
  <c r="C109" i="35"/>
  <c r="I108" i="35"/>
  <c r="H108" i="35"/>
  <c r="D108" i="35"/>
  <c r="C108" i="35"/>
  <c r="I107" i="35"/>
  <c r="H107" i="35"/>
  <c r="D107" i="35"/>
  <c r="C107" i="35"/>
  <c r="I106" i="35"/>
  <c r="H106" i="35"/>
  <c r="D106" i="35"/>
  <c r="C106" i="35"/>
  <c r="I105" i="35"/>
  <c r="H105" i="35"/>
  <c r="D105" i="35"/>
  <c r="C105" i="35"/>
  <c r="I104" i="35"/>
  <c r="H104" i="35"/>
  <c r="D104" i="35"/>
  <c r="C104" i="35"/>
  <c r="I103" i="35"/>
  <c r="H103" i="35"/>
  <c r="D103" i="35"/>
  <c r="C103" i="35"/>
  <c r="H102" i="35"/>
  <c r="C102" i="35"/>
  <c r="H101" i="35"/>
  <c r="C101" i="35"/>
  <c r="H100" i="35"/>
  <c r="C100" i="35"/>
  <c r="H99" i="35"/>
  <c r="C99" i="35"/>
  <c r="H98" i="35"/>
  <c r="C98" i="35"/>
  <c r="H97" i="35"/>
  <c r="C97" i="35"/>
  <c r="H96" i="35"/>
  <c r="C96" i="35"/>
  <c r="I84" i="35"/>
  <c r="I83" i="35"/>
  <c r="I82" i="35"/>
  <c r="H82" i="35"/>
  <c r="H83" i="35" s="1"/>
  <c r="I81" i="35"/>
  <c r="H81" i="35"/>
  <c r="F80" i="35"/>
  <c r="F81" i="35" s="1"/>
  <c r="F82" i="35" s="1"/>
  <c r="F83" i="35" s="1"/>
  <c r="F84" i="35" s="1"/>
  <c r="F85" i="35" s="1"/>
  <c r="F79" i="35"/>
  <c r="F78" i="35"/>
  <c r="F77" i="35"/>
  <c r="F76" i="35"/>
  <c r="I75" i="35"/>
  <c r="H75" i="35"/>
  <c r="D75" i="35"/>
  <c r="C75" i="35"/>
  <c r="D74" i="35"/>
  <c r="C74" i="35"/>
  <c r="D73" i="35"/>
  <c r="C73" i="35"/>
  <c r="D72" i="35"/>
  <c r="C72" i="35"/>
  <c r="D71" i="35"/>
  <c r="C71" i="35"/>
  <c r="D70" i="35"/>
  <c r="C70" i="35"/>
  <c r="K69" i="35"/>
  <c r="K70" i="35" s="1"/>
  <c r="K71" i="35" s="1"/>
  <c r="K72" i="35" s="1"/>
  <c r="K73" i="35" s="1"/>
  <c r="K74" i="35" s="1"/>
  <c r="D69" i="35"/>
  <c r="C69" i="35"/>
  <c r="K68" i="35"/>
  <c r="D68" i="35"/>
  <c r="C68" i="35"/>
  <c r="K67" i="35"/>
  <c r="D67" i="35"/>
  <c r="C67" i="35"/>
  <c r="K66" i="35"/>
  <c r="D66" i="35"/>
  <c r="C66" i="35"/>
  <c r="D65" i="35"/>
  <c r="C65" i="35"/>
  <c r="D64" i="35"/>
  <c r="C64" i="35"/>
  <c r="D63" i="35"/>
  <c r="C63" i="35"/>
  <c r="D62" i="35"/>
  <c r="C62" i="35"/>
  <c r="D61" i="35"/>
  <c r="C61" i="35"/>
  <c r="C60" i="35"/>
  <c r="C59" i="35"/>
  <c r="C58" i="35"/>
  <c r="C57" i="35"/>
  <c r="C56" i="35"/>
  <c r="C55" i="35"/>
  <c r="C54" i="35"/>
  <c r="J50" i="35"/>
  <c r="J51" i="35" s="1"/>
  <c r="J52" i="35" s="1"/>
  <c r="J53" i="35" s="1"/>
  <c r="J54" i="35" s="1"/>
  <c r="J55" i="35" s="1"/>
  <c r="J56" i="35" s="1"/>
  <c r="J57" i="35" s="1"/>
  <c r="J58" i="35" s="1"/>
  <c r="J59" i="35" s="1"/>
  <c r="J60" i="35" s="1"/>
  <c r="J61" i="35" s="1"/>
  <c r="J62" i="35" s="1"/>
  <c r="J63" i="35" s="1"/>
  <c r="J64" i="35" s="1"/>
  <c r="J65" i="35" s="1"/>
  <c r="J49" i="35"/>
  <c r="X30" i="35"/>
  <c r="W30" i="35"/>
  <c r="V30" i="35"/>
  <c r="J30" i="35"/>
  <c r="I30" i="35"/>
  <c r="H30" i="35"/>
  <c r="V28" i="35"/>
  <c r="U28" i="35"/>
  <c r="T28" i="35"/>
  <c r="M28" i="35"/>
  <c r="L28" i="35"/>
  <c r="V27" i="35"/>
  <c r="U27" i="35"/>
  <c r="T27" i="35"/>
  <c r="M27" i="35"/>
  <c r="L27" i="35"/>
  <c r="V26" i="35"/>
  <c r="U26" i="35"/>
  <c r="T26" i="35"/>
  <c r="M26" i="35"/>
  <c r="L26" i="35"/>
  <c r="V25" i="35"/>
  <c r="U25" i="35"/>
  <c r="T25" i="35"/>
  <c r="M25" i="35"/>
  <c r="L25" i="35"/>
  <c r="V24" i="35"/>
  <c r="U24" i="35"/>
  <c r="T24" i="35"/>
  <c r="M24" i="35"/>
  <c r="L24" i="35"/>
  <c r="V23" i="35"/>
  <c r="U23" i="35"/>
  <c r="T23" i="35"/>
  <c r="M23" i="35"/>
  <c r="L23" i="35"/>
  <c r="V22" i="35"/>
  <c r="U22" i="35"/>
  <c r="T22" i="35"/>
  <c r="M22" i="35"/>
  <c r="L22" i="35"/>
  <c r="V21" i="35"/>
  <c r="U21" i="35"/>
  <c r="T21" i="35"/>
  <c r="L21" i="35"/>
  <c r="V20" i="35"/>
  <c r="U20" i="35"/>
  <c r="T20" i="35"/>
  <c r="L20" i="35"/>
  <c r="V19" i="35"/>
  <c r="U19" i="35"/>
  <c r="T19" i="35"/>
  <c r="M19" i="35"/>
  <c r="L19" i="35"/>
  <c r="V18" i="35"/>
  <c r="U18" i="35"/>
  <c r="T18" i="35"/>
  <c r="L18" i="35"/>
  <c r="V17" i="35"/>
  <c r="U17" i="35"/>
  <c r="T17" i="35"/>
  <c r="L17" i="35"/>
  <c r="M21" i="35" s="1"/>
  <c r="H17" i="35"/>
  <c r="AE16" i="35"/>
  <c r="AC16" i="35"/>
  <c r="AA16" i="35"/>
  <c r="Z16" i="35"/>
  <c r="V16" i="35"/>
  <c r="U16" i="35"/>
  <c r="T16" i="35"/>
  <c r="M16" i="35"/>
  <c r="L16" i="35"/>
  <c r="H16" i="35"/>
  <c r="AC15" i="35"/>
  <c r="AE15" i="35" s="1"/>
  <c r="AA15" i="35"/>
  <c r="Z15" i="35"/>
  <c r="V15" i="35"/>
  <c r="U15" i="35"/>
  <c r="T15" i="35"/>
  <c r="L15" i="35"/>
  <c r="M18" i="35" s="1"/>
  <c r="H15" i="35"/>
  <c r="AE14" i="35"/>
  <c r="AC14" i="35"/>
  <c r="V14" i="35"/>
  <c r="U14" i="35"/>
  <c r="T14" i="35"/>
  <c r="M14" i="35"/>
  <c r="L14" i="35"/>
  <c r="AE13" i="35"/>
  <c r="AC13" i="35"/>
  <c r="V13" i="35"/>
  <c r="U13" i="35"/>
  <c r="T13" i="35"/>
  <c r="L13" i="35"/>
  <c r="AE12" i="35"/>
  <c r="AC12" i="35"/>
  <c r="V12" i="35"/>
  <c r="U12" i="35"/>
  <c r="T12" i="35"/>
  <c r="M12" i="35"/>
  <c r="L12" i="35"/>
  <c r="AE11" i="35"/>
  <c r="AC11" i="35"/>
  <c r="V11" i="35"/>
  <c r="U11" i="35"/>
  <c r="T11" i="35"/>
  <c r="M11" i="35"/>
  <c r="L11" i="35"/>
  <c r="AE10" i="35"/>
  <c r="AC10" i="35"/>
  <c r="V10" i="35"/>
  <c r="U10" i="35"/>
  <c r="T10" i="35"/>
  <c r="L10" i="35"/>
  <c r="AE9" i="35"/>
  <c r="AC9" i="35"/>
  <c r="V9" i="35"/>
  <c r="U9" i="35"/>
  <c r="T9" i="35"/>
  <c r="L9" i="35"/>
  <c r="M13" i="35" s="1"/>
  <c r="AE8" i="35"/>
  <c r="AC8" i="35"/>
  <c r="V8" i="35"/>
  <c r="U8" i="35"/>
  <c r="T8" i="35"/>
  <c r="M8" i="35"/>
  <c r="L8" i="35"/>
  <c r="AE7" i="35"/>
  <c r="AC7" i="35"/>
  <c r="V7" i="35"/>
  <c r="U7" i="35"/>
  <c r="T7" i="35"/>
  <c r="M7" i="35"/>
  <c r="L7" i="35"/>
  <c r="V6" i="35"/>
  <c r="U6" i="35"/>
  <c r="T6" i="35"/>
  <c r="M6" i="35"/>
  <c r="L6" i="35"/>
  <c r="V5" i="35"/>
  <c r="U5" i="35"/>
  <c r="T5" i="35"/>
  <c r="L5" i="35"/>
  <c r="V4" i="35"/>
  <c r="U4" i="35"/>
  <c r="T4" i="35"/>
  <c r="L4" i="35"/>
  <c r="V3" i="35"/>
  <c r="U3" i="35"/>
  <c r="T3" i="35"/>
  <c r="L3" i="35"/>
  <c r="V2" i="35"/>
  <c r="U2" i="35"/>
  <c r="T2" i="35"/>
  <c r="L2" i="35"/>
  <c r="E71" i="34"/>
  <c r="E70" i="34"/>
  <c r="E69" i="34"/>
  <c r="E68" i="34"/>
  <c r="E67" i="34"/>
  <c r="E66" i="34"/>
  <c r="E65" i="34"/>
  <c r="E64" i="34"/>
  <c r="E63" i="34"/>
  <c r="E62" i="34"/>
  <c r="E61" i="34"/>
  <c r="E60" i="34"/>
  <c r="E59" i="34"/>
  <c r="E58" i="34"/>
  <c r="E57" i="34"/>
  <c r="E56" i="34"/>
  <c r="E55" i="34"/>
  <c r="E54" i="34"/>
  <c r="E53" i="34"/>
  <c r="E52" i="34"/>
  <c r="E51" i="34"/>
  <c r="E50" i="34"/>
  <c r="F41" i="34"/>
  <c r="E41" i="34"/>
  <c r="D41" i="34"/>
  <c r="C35" i="34"/>
  <c r="C36" i="34" s="1"/>
  <c r="C37" i="34" s="1"/>
  <c r="C38" i="34" s="1"/>
  <c r="F33" i="34"/>
  <c r="E33" i="34"/>
  <c r="H84" i="35" l="1"/>
  <c r="H85" i="35" s="1"/>
  <c r="H125" i="35"/>
  <c r="P120" i="35" s="1"/>
  <c r="M20" i="35"/>
  <c r="I85" i="35"/>
  <c r="M76" i="35" s="1"/>
  <c r="M77" i="35" s="1"/>
  <c r="M78" i="35" s="1"/>
  <c r="M79" i="35" s="1"/>
  <c r="M80" i="35" s="1"/>
  <c r="M81" i="35" s="1"/>
  <c r="M82" i="35" s="1"/>
  <c r="M83" i="35" s="1"/>
  <c r="M84" i="35" s="1"/>
  <c r="M85" i="35" s="1"/>
  <c r="H124" i="35"/>
  <c r="P119" i="35" s="1"/>
  <c r="P124" i="35" s="1"/>
  <c r="C125" i="35"/>
  <c r="L120" i="35" s="1"/>
  <c r="I125" i="35"/>
  <c r="Q120" i="35" s="1"/>
  <c r="D126" i="35"/>
  <c r="M121" i="35" s="1"/>
  <c r="M10" i="35"/>
  <c r="M15" i="35"/>
  <c r="M17" i="35"/>
  <c r="I124" i="35"/>
  <c r="Q119" i="35" s="1"/>
  <c r="D125" i="35"/>
  <c r="M120" i="35" s="1"/>
  <c r="H127" i="35"/>
  <c r="P122" i="35" s="1"/>
  <c r="C126" i="35"/>
  <c r="L121" i="35" s="1"/>
  <c r="L124" i="35" s="1"/>
  <c r="I126" i="35"/>
  <c r="Q121" i="35" s="1"/>
  <c r="D127" i="35"/>
  <c r="M122" i="35" s="1"/>
  <c r="M9" i="35"/>
  <c r="I123" i="35"/>
  <c r="Q118" i="35" s="1"/>
  <c r="Q124" i="35" s="1"/>
  <c r="D124" i="35"/>
  <c r="M119" i="35" s="1"/>
  <c r="M124" i="35" s="1"/>
  <c r="H126" i="35"/>
  <c r="P121" i="35" s="1"/>
  <c r="I119" i="32"/>
  <c r="I118" i="32" s="1"/>
  <c r="C104" i="33"/>
  <c r="C98" i="33"/>
  <c r="B98" i="33"/>
  <c r="B97" i="33"/>
  <c r="C94" i="33"/>
  <c r="C95" i="33" s="1"/>
  <c r="C99" i="33" s="1"/>
  <c r="C106" i="33" s="1"/>
  <c r="B94" i="33"/>
  <c r="C91" i="33"/>
  <c r="C92" i="33" s="1"/>
  <c r="B91" i="33"/>
  <c r="B92" i="33" s="1"/>
  <c r="B102" i="33" s="1"/>
  <c r="E83" i="33"/>
  <c r="D83" i="33"/>
  <c r="E81" i="33"/>
  <c r="D81" i="33"/>
  <c r="E79" i="33"/>
  <c r="D79" i="33"/>
  <c r="E75" i="33"/>
  <c r="G83" i="33"/>
  <c r="F83" i="33"/>
  <c r="E82" i="33"/>
  <c r="D75" i="33"/>
  <c r="C83" i="33"/>
  <c r="B83" i="33"/>
  <c r="F63" i="33"/>
  <c r="G62" i="33" s="1"/>
  <c r="B63" i="33"/>
  <c r="C61" i="33" s="1"/>
  <c r="C56" i="33"/>
  <c r="G55" i="33"/>
  <c r="G54" i="33"/>
  <c r="C54" i="33"/>
  <c r="G53" i="33"/>
  <c r="C53" i="33"/>
  <c r="G52" i="33"/>
  <c r="C52" i="33"/>
  <c r="G51" i="33"/>
  <c r="C51" i="33"/>
  <c r="G50" i="33"/>
  <c r="C50" i="33"/>
  <c r="G49" i="33"/>
  <c r="C49" i="33"/>
  <c r="G48" i="33"/>
  <c r="C48" i="33"/>
  <c r="G47" i="33"/>
  <c r="C47" i="33"/>
  <c r="G41" i="33"/>
  <c r="F41" i="33"/>
  <c r="E41" i="33"/>
  <c r="D41" i="33"/>
  <c r="C41" i="33"/>
  <c r="B41" i="33"/>
  <c r="G40" i="33"/>
  <c r="F40" i="33"/>
  <c r="E40" i="33"/>
  <c r="D40" i="33"/>
  <c r="C40" i="33"/>
  <c r="B40" i="33"/>
  <c r="G39" i="33"/>
  <c r="F39" i="33"/>
  <c r="E39" i="33"/>
  <c r="D39" i="33"/>
  <c r="C39" i="33"/>
  <c r="B39" i="33"/>
  <c r="G38" i="33"/>
  <c r="F38" i="33"/>
  <c r="E38" i="33"/>
  <c r="D38" i="33"/>
  <c r="C38" i="33"/>
  <c r="B38" i="33"/>
  <c r="G35" i="33"/>
  <c r="F35" i="33"/>
  <c r="E35" i="33"/>
  <c r="D35" i="33"/>
  <c r="C35" i="33"/>
  <c r="G34" i="33"/>
  <c r="F34" i="33"/>
  <c r="E34" i="33"/>
  <c r="D34" i="33"/>
  <c r="C34" i="33"/>
  <c r="G33" i="33"/>
  <c r="F33" i="33"/>
  <c r="E33" i="33"/>
  <c r="D33" i="33"/>
  <c r="C33" i="33"/>
  <c r="G32" i="33"/>
  <c r="F32" i="33"/>
  <c r="E32" i="33"/>
  <c r="D32" i="33"/>
  <c r="C32" i="33"/>
  <c r="G28" i="33"/>
  <c r="F28" i="33"/>
  <c r="E28" i="33"/>
  <c r="D28" i="33"/>
  <c r="C28" i="33"/>
  <c r="B28" i="33"/>
  <c r="G27" i="33"/>
  <c r="F27" i="33"/>
  <c r="E27" i="33"/>
  <c r="D27" i="33"/>
  <c r="C27" i="33"/>
  <c r="B27" i="33"/>
  <c r="G25" i="33"/>
  <c r="F25" i="33"/>
  <c r="E25" i="33"/>
  <c r="D25" i="33"/>
  <c r="C25" i="33"/>
  <c r="B25" i="33"/>
  <c r="G24" i="33"/>
  <c r="F24" i="33"/>
  <c r="E24" i="33"/>
  <c r="D24" i="33"/>
  <c r="C24" i="33"/>
  <c r="B24" i="33"/>
  <c r="G23" i="33"/>
  <c r="F23" i="33"/>
  <c r="E23" i="33"/>
  <c r="D23" i="33"/>
  <c r="C23" i="33"/>
  <c r="B23" i="33"/>
  <c r="G19" i="33"/>
  <c r="F19" i="33"/>
  <c r="E19" i="33"/>
  <c r="D19" i="33"/>
  <c r="C19" i="33"/>
  <c r="G18" i="33"/>
  <c r="F18" i="33"/>
  <c r="E18" i="33"/>
  <c r="D18" i="33"/>
  <c r="C18" i="33"/>
  <c r="G17" i="33"/>
  <c r="F17" i="33"/>
  <c r="E17" i="33"/>
  <c r="D17" i="33"/>
  <c r="C17" i="33"/>
  <c r="G16" i="33"/>
  <c r="F16" i="33"/>
  <c r="E16" i="33"/>
  <c r="D16" i="33"/>
  <c r="C16" i="33"/>
  <c r="G15" i="33"/>
  <c r="F15" i="33"/>
  <c r="E15" i="33"/>
  <c r="D15" i="33"/>
  <c r="C15" i="33"/>
  <c r="L144" i="32"/>
  <c r="L143" i="32"/>
  <c r="K143" i="32"/>
  <c r="J143" i="32"/>
  <c r="I143" i="32"/>
  <c r="H143" i="32"/>
  <c r="G143" i="32"/>
  <c r="L142" i="32"/>
  <c r="K142" i="32"/>
  <c r="J142" i="32"/>
  <c r="I142" i="32"/>
  <c r="H142" i="32"/>
  <c r="G142" i="32"/>
  <c r="F142" i="32"/>
  <c r="E142" i="32"/>
  <c r="L141" i="32"/>
  <c r="K141" i="32"/>
  <c r="J141" i="32"/>
  <c r="I141" i="32"/>
  <c r="H141" i="32"/>
  <c r="G141" i="32"/>
  <c r="F141" i="32"/>
  <c r="E141" i="32"/>
  <c r="D141" i="32"/>
  <c r="C141" i="32"/>
  <c r="L138" i="32"/>
  <c r="L137" i="32"/>
  <c r="K137" i="32"/>
  <c r="J137" i="32"/>
  <c r="I137" i="32"/>
  <c r="H137" i="32"/>
  <c r="G137" i="32"/>
  <c r="L136" i="32"/>
  <c r="K136" i="32"/>
  <c r="J136" i="32"/>
  <c r="I136" i="32"/>
  <c r="H136" i="32"/>
  <c r="G136" i="32"/>
  <c r="F136" i="32"/>
  <c r="E136" i="32"/>
  <c r="L135" i="32"/>
  <c r="K135" i="32"/>
  <c r="J135" i="32"/>
  <c r="I135" i="32"/>
  <c r="H135" i="32"/>
  <c r="G135" i="32"/>
  <c r="F135" i="32"/>
  <c r="E135" i="32"/>
  <c r="D135" i="32"/>
  <c r="C135" i="32"/>
  <c r="L133" i="32"/>
  <c r="K133" i="32"/>
  <c r="J133" i="32"/>
  <c r="I133" i="32"/>
  <c r="H133" i="32"/>
  <c r="G133" i="32"/>
  <c r="F133" i="32"/>
  <c r="E133" i="32"/>
  <c r="D133" i="32"/>
  <c r="C133" i="32"/>
  <c r="B133" i="32"/>
  <c r="L132" i="32"/>
  <c r="K132" i="32"/>
  <c r="J132" i="32"/>
  <c r="I132" i="32"/>
  <c r="H132" i="32"/>
  <c r="G132" i="32"/>
  <c r="F132" i="32"/>
  <c r="E132" i="32"/>
  <c r="D132" i="32"/>
  <c r="C132" i="32"/>
  <c r="B132" i="32"/>
  <c r="G127" i="32"/>
  <c r="F127" i="32"/>
  <c r="E127" i="32"/>
  <c r="D127" i="32"/>
  <c r="C127" i="32"/>
  <c r="B127" i="32"/>
  <c r="G126" i="32"/>
  <c r="F126" i="32"/>
  <c r="E126" i="32"/>
  <c r="D126" i="32"/>
  <c r="C126" i="32"/>
  <c r="B126" i="32"/>
  <c r="G119" i="32"/>
  <c r="F119" i="32"/>
  <c r="E119" i="32"/>
  <c r="D119" i="32"/>
  <c r="C119" i="32"/>
  <c r="B119" i="32"/>
  <c r="G118" i="32"/>
  <c r="F118" i="32"/>
  <c r="E118" i="32"/>
  <c r="D118" i="32"/>
  <c r="C118" i="32"/>
  <c r="B118" i="32"/>
  <c r="G95" i="32"/>
  <c r="F95" i="32"/>
  <c r="E95" i="32"/>
  <c r="D95" i="32"/>
  <c r="C95" i="32"/>
  <c r="B95" i="32"/>
  <c r="G94" i="32"/>
  <c r="F94" i="32"/>
  <c r="E94" i="32"/>
  <c r="D94" i="32"/>
  <c r="C94" i="32"/>
  <c r="B94" i="32"/>
  <c r="G93" i="32"/>
  <c r="F93" i="32"/>
  <c r="E93" i="32"/>
  <c r="D93" i="32"/>
  <c r="C93" i="32"/>
  <c r="B93" i="32"/>
  <c r="G92" i="32"/>
  <c r="F92" i="32"/>
  <c r="E92" i="32"/>
  <c r="D92" i="32"/>
  <c r="C92" i="32"/>
  <c r="B92" i="32"/>
  <c r="G80" i="32"/>
  <c r="F80" i="32"/>
  <c r="E80" i="32"/>
  <c r="D80" i="32"/>
  <c r="C80" i="32"/>
  <c r="B80" i="32"/>
  <c r="G75" i="32"/>
  <c r="F75" i="32"/>
  <c r="E75" i="32"/>
  <c r="D75" i="32"/>
  <c r="C75" i="32"/>
  <c r="B75" i="32"/>
  <c r="G70" i="32"/>
  <c r="F70" i="32"/>
  <c r="E70" i="32"/>
  <c r="D70" i="32"/>
  <c r="C70" i="32"/>
  <c r="B70" i="32"/>
  <c r="G65" i="32"/>
  <c r="F65" i="32"/>
  <c r="E65" i="32"/>
  <c r="F47" i="32" s="1"/>
  <c r="D65" i="32"/>
  <c r="C65" i="32"/>
  <c r="B65" i="32"/>
  <c r="G62" i="32"/>
  <c r="F62" i="32"/>
  <c r="E62" i="32"/>
  <c r="D62" i="32"/>
  <c r="C62" i="32"/>
  <c r="G61" i="32"/>
  <c r="F61" i="32"/>
  <c r="E61" i="32"/>
  <c r="D61" i="32"/>
  <c r="C61" i="32"/>
  <c r="G60" i="32"/>
  <c r="F60" i="32"/>
  <c r="E60" i="32"/>
  <c r="D60" i="32"/>
  <c r="C60" i="32"/>
  <c r="G59" i="32"/>
  <c r="F59" i="32"/>
  <c r="E59" i="32"/>
  <c r="D59" i="32"/>
  <c r="C59" i="32"/>
  <c r="G57" i="32"/>
  <c r="F57" i="32"/>
  <c r="E57" i="32"/>
  <c r="D57" i="32"/>
  <c r="C57" i="32"/>
  <c r="G56" i="32"/>
  <c r="F56" i="32"/>
  <c r="E56" i="32"/>
  <c r="D56" i="32"/>
  <c r="C56" i="32"/>
  <c r="G55" i="32"/>
  <c r="F55" i="32"/>
  <c r="E55" i="32"/>
  <c r="D55" i="32"/>
  <c r="C55" i="32"/>
  <c r="G54" i="32"/>
  <c r="F54" i="32"/>
  <c r="E54" i="32"/>
  <c r="D54" i="32"/>
  <c r="C54" i="32"/>
  <c r="G52" i="32"/>
  <c r="F52" i="32"/>
  <c r="E52" i="32"/>
  <c r="D52" i="32"/>
  <c r="C52" i="32"/>
  <c r="G51" i="32"/>
  <c r="F51" i="32"/>
  <c r="E51" i="32"/>
  <c r="D51" i="32"/>
  <c r="C51" i="32"/>
  <c r="G50" i="32"/>
  <c r="F50" i="32"/>
  <c r="E50" i="32"/>
  <c r="D50" i="32"/>
  <c r="C50" i="32"/>
  <c r="G49" i="32"/>
  <c r="F49" i="32"/>
  <c r="E49" i="32"/>
  <c r="D49" i="32"/>
  <c r="C49" i="32"/>
  <c r="G47" i="32"/>
  <c r="E47" i="32"/>
  <c r="D47" i="32"/>
  <c r="C47" i="32"/>
  <c r="G46" i="32"/>
  <c r="E46" i="32"/>
  <c r="D46" i="32"/>
  <c r="C46" i="32"/>
  <c r="G45" i="32"/>
  <c r="E45" i="32"/>
  <c r="D45" i="32"/>
  <c r="C45" i="32"/>
  <c r="G44" i="32"/>
  <c r="F44" i="32"/>
  <c r="E44" i="32"/>
  <c r="D44" i="32"/>
  <c r="C44" i="32"/>
  <c r="L39" i="32"/>
  <c r="K39" i="32"/>
  <c r="J39" i="32"/>
  <c r="I39" i="32"/>
  <c r="H39" i="32"/>
  <c r="G39" i="32"/>
  <c r="F39" i="32"/>
  <c r="E39" i="32"/>
  <c r="D39" i="32"/>
  <c r="C39" i="32"/>
  <c r="B39" i="32"/>
  <c r="L38" i="32"/>
  <c r="K38" i="32"/>
  <c r="J38" i="32"/>
  <c r="I38" i="32"/>
  <c r="H38" i="32"/>
  <c r="G38" i="32"/>
  <c r="F38" i="32"/>
  <c r="E38" i="32"/>
  <c r="D38" i="32"/>
  <c r="C38" i="32"/>
  <c r="B38" i="32"/>
  <c r="L37" i="32"/>
  <c r="K37" i="32"/>
  <c r="J37" i="32"/>
  <c r="I37" i="32"/>
  <c r="H37" i="32"/>
  <c r="G37" i="32"/>
  <c r="F37" i="32"/>
  <c r="E37" i="32"/>
  <c r="D37" i="32"/>
  <c r="C37" i="32"/>
  <c r="B37" i="32"/>
  <c r="L36" i="32"/>
  <c r="K36" i="32"/>
  <c r="J36" i="32"/>
  <c r="I36" i="32"/>
  <c r="H36" i="32"/>
  <c r="G36" i="32"/>
  <c r="F36" i="32"/>
  <c r="E36" i="32"/>
  <c r="D36" i="32"/>
  <c r="C36" i="32"/>
  <c r="B36" i="32"/>
  <c r="G32" i="32"/>
  <c r="F32" i="32"/>
  <c r="C32" i="32"/>
  <c r="B32" i="32"/>
  <c r="E32" i="32"/>
  <c r="D32" i="32"/>
  <c r="L31" i="32"/>
  <c r="K31" i="32"/>
  <c r="J31" i="32"/>
  <c r="I31" i="32"/>
  <c r="H31" i="32"/>
  <c r="G31" i="32"/>
  <c r="F31" i="32"/>
  <c r="E31" i="32"/>
  <c r="D31" i="32"/>
  <c r="C31" i="32"/>
  <c r="B31" i="32"/>
  <c r="L30" i="32"/>
  <c r="K30" i="32"/>
  <c r="J30" i="32"/>
  <c r="I30" i="32"/>
  <c r="H30" i="32"/>
  <c r="G30" i="32"/>
  <c r="F30" i="32"/>
  <c r="E30" i="32"/>
  <c r="D30" i="32"/>
  <c r="C30" i="32"/>
  <c r="B30" i="32"/>
  <c r="L29" i="32"/>
  <c r="K29" i="32"/>
  <c r="J29" i="32"/>
  <c r="I29" i="32"/>
  <c r="H29" i="32"/>
  <c r="G29" i="32"/>
  <c r="F29" i="32"/>
  <c r="E29" i="32"/>
  <c r="D29" i="32"/>
  <c r="C29" i="32"/>
  <c r="B29" i="32"/>
  <c r="L28" i="32"/>
  <c r="K28" i="32"/>
  <c r="J28" i="32"/>
  <c r="I28" i="32"/>
  <c r="H28" i="32"/>
  <c r="G28" i="32"/>
  <c r="F28" i="32"/>
  <c r="E28" i="32"/>
  <c r="D28" i="32"/>
  <c r="C28" i="32"/>
  <c r="B28" i="32"/>
  <c r="B95" i="33" l="1"/>
  <c r="B99" i="33" s="1"/>
  <c r="B100" i="33" s="1"/>
  <c r="B103" i="33" s="1"/>
  <c r="C59" i="33"/>
  <c r="C60" i="33"/>
  <c r="C102" i="33"/>
  <c r="C100" i="33"/>
  <c r="C103" i="33" s="1"/>
  <c r="C55" i="33"/>
  <c r="C58" i="33"/>
  <c r="C62" i="33"/>
  <c r="C57" i="33"/>
  <c r="G59" i="33"/>
  <c r="G57" i="33"/>
  <c r="G61" i="33"/>
  <c r="G56" i="33"/>
  <c r="G58" i="33"/>
  <c r="G60" i="33"/>
  <c r="B78" i="33"/>
  <c r="F78" i="33"/>
  <c r="B80" i="33"/>
  <c r="F80" i="33"/>
  <c r="B82" i="33"/>
  <c r="F82" i="33"/>
  <c r="F75" i="33"/>
  <c r="C78" i="33"/>
  <c r="G78" i="33"/>
  <c r="C80" i="33"/>
  <c r="G80" i="33"/>
  <c r="C82" i="33"/>
  <c r="G82" i="33"/>
  <c r="C75" i="33"/>
  <c r="G75" i="33"/>
  <c r="D78" i="33"/>
  <c r="B79" i="33"/>
  <c r="F79" i="33"/>
  <c r="D80" i="33"/>
  <c r="B81" i="33"/>
  <c r="F81" i="33"/>
  <c r="D82" i="33"/>
  <c r="H75" i="33"/>
  <c r="E78" i="33"/>
  <c r="C79" i="33"/>
  <c r="G79" i="33"/>
  <c r="E80" i="33"/>
  <c r="C81" i="33"/>
  <c r="G81" i="33"/>
  <c r="L76" i="35"/>
  <c r="L77" i="35" s="1"/>
  <c r="L78" i="35" s="1"/>
  <c r="L79" i="35" s="1"/>
  <c r="L80" i="35" s="1"/>
  <c r="L81" i="35" s="1"/>
  <c r="L82" i="35" s="1"/>
  <c r="L83" i="35" s="1"/>
  <c r="L84" i="35" s="1"/>
  <c r="L85" i="35" s="1"/>
  <c r="F45" i="32"/>
  <c r="F46" i="32"/>
  <c r="B106" i="33"/>
  <c r="C26" i="21"/>
  <c r="D26" i="21"/>
  <c r="E26" i="21"/>
  <c r="F26" i="21"/>
  <c r="G26" i="21"/>
  <c r="H26" i="21"/>
  <c r="I26" i="21"/>
  <c r="J26" i="21"/>
  <c r="K26" i="21"/>
  <c r="B26" i="21"/>
  <c r="F84" i="33" l="1"/>
  <c r="G84" i="33"/>
  <c r="B84" i="33"/>
  <c r="E84" i="33"/>
  <c r="D84" i="33"/>
  <c r="C84" i="33"/>
  <c r="G3" i="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J28" i="19" s="1"/>
  <c r="I19" i="19"/>
  <c r="H19" i="19"/>
  <c r="G19" i="19"/>
  <c r="F19" i="19"/>
  <c r="F28" i="19" s="1"/>
  <c r="E19" i="19"/>
  <c r="D19" i="19"/>
  <c r="C19" i="19"/>
  <c r="B19" i="19"/>
  <c r="B28" i="19" s="1"/>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G28" i="19" l="1"/>
  <c r="G19" i="21" s="1"/>
  <c r="C28" i="19"/>
  <c r="C19" i="21" s="1"/>
  <c r="K28" i="19"/>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19" i="21"/>
  <c r="F22" i="21"/>
  <c r="J19" i="21"/>
  <c r="J22" i="21"/>
  <c r="C13" i="21"/>
  <c r="C18" i="21"/>
  <c r="G13" i="21"/>
  <c r="G18" i="21"/>
  <c r="K13" i="21"/>
  <c r="K15" i="21" s="1"/>
  <c r="K18" i="21"/>
  <c r="C22" i="21"/>
  <c r="G22" i="21"/>
  <c r="K19"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7" i="17"/>
  <c r="H10" i="17"/>
  <c r="H8" i="17"/>
  <c r="G8" i="17"/>
  <c r="G7" i="17"/>
  <c r="G10" i="17"/>
  <c r="G6" i="17"/>
  <c r="G11" i="17"/>
  <c r="G9" i="17"/>
  <c r="G12" i="17"/>
  <c r="G5" i="17"/>
  <c r="H5" i="17"/>
  <c r="C2" i="1"/>
  <c r="H6" i="17"/>
  <c r="H9" i="17"/>
  <c r="H11"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1" i="17"/>
  <c r="E8" i="17"/>
  <c r="E6" i="17"/>
  <c r="E12" i="17"/>
  <c r="E9" i="17"/>
  <c r="E10" i="17"/>
  <c r="E7"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11" i="17" s="1"/>
  <c r="I6" i="1"/>
  <c r="B8" i="17" s="1"/>
  <c r="I2" i="1"/>
  <c r="B5" i="17" s="1"/>
  <c r="I4" i="1"/>
  <c r="B7" i="17" s="1"/>
  <c r="I5" i="1"/>
  <c r="B9" i="17" s="1"/>
  <c r="I3" i="1"/>
  <c r="B6"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1" i="17" s="1"/>
  <c r="K5" i="1"/>
  <c r="C9"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8" i="17" s="1"/>
  <c r="K4" i="1"/>
  <c r="C7" i="17" s="1"/>
  <c r="K3" i="1"/>
  <c r="C6"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7" i="17"/>
  <c r="D9" i="17"/>
  <c r="D10" i="17"/>
  <c r="D11" i="17"/>
  <c r="D6" i="17"/>
  <c r="D8"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text>
        <r>
          <rPr>
            <b/>
            <sz val="9"/>
            <color indexed="81"/>
            <rFont val="Tahoma"/>
            <family val="2"/>
          </rPr>
          <t>Erik Kobayashi-Solomon:</t>
        </r>
        <r>
          <rPr>
            <sz val="9"/>
            <color indexed="81"/>
            <rFont val="Tahoma"/>
            <family val="2"/>
          </rPr>
          <t xml:space="preserve">
From 3q16 Form 10-Q </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authors>
    <author>Erik Kobayashi-Solomon</author>
  </authors>
  <commentList>
    <comment ref="D12" authorId="0" shapeId="0">
      <text>
        <r>
          <rPr>
            <b/>
            <sz val="9"/>
            <color indexed="81"/>
            <rFont val="Tahoma"/>
            <family val="2"/>
          </rPr>
          <t>Erik Kobayashi-Solomon:</t>
        </r>
        <r>
          <rPr>
            <sz val="9"/>
            <color indexed="81"/>
            <rFont val="Tahoma"/>
            <family val="2"/>
          </rPr>
          <t xml:space="preserve">
These years are affected by an accounting change so I don't trust the calculation of these.</t>
        </r>
      </text>
    </comment>
  </commentList>
</comments>
</file>

<file path=xl/sharedStrings.xml><?xml version="1.0" encoding="utf-8"?>
<sst xmlns="http://schemas.openxmlformats.org/spreadsheetml/2006/main" count="661" uniqueCount="291">
  <si>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</si>
  <si>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</si>
  <si>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</si>
  <si>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</si>
  <si>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</si>
  <si>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</si>
  <si>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</si>
  <si>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</si>
  <si>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</si>
  <si>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</si>
  <si>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</si>
  <si>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</si>
  <si>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</si>
  <si>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</si>
  <si>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</si>
  <si>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</si>
  <si>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</si>
  <si>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</si>
  <si>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</si>
  <si>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</si>
  <si>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</si>
  <si>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</si>
  <si>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</si>
  <si>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</si>
  <si>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</si>
  <si>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</si>
  <si>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</si>
  <si>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</si>
  <si>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</si>
  <si>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</si>
  <si>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</si>
  <si>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</si>
  <si>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</si>
  <si>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</si>
  <si>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</si>
  <si>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</si>
  <si>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</si>
  <si>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</si>
  <si>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</si>
  <si>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</si>
  <si>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</si>
  <si>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</si>
  <si>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</si>
  <si>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</si>
  <si>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</si>
  <si>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</si>
  <si>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</si>
  <si>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</si>
  <si>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</si>
  <si>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</si>
  <si>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</si>
  <si>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</si>
  <si>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</si>
  <si>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</si>
  <si>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</si>
  <si>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</si>
  <si>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</si>
  <si>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</si>
  <si>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</si>
  <si>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</si>
  <si>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</si>
  <si>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</si>
  <si>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</si>
  <si>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</si>
  <si>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</si>
  <si>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</si>
  <si>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</si>
  <si>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</si>
  <si>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</si>
  <si>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</si>
  <si>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</si>
  <si>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</si>
  <si>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</si>
  <si>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</si>
  <si>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</si>
  <si>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</si>
  <si>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</si>
  <si>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</si>
  <si>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</si>
  <si>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</si>
  <si>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</si>
  <si>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</si>
  <si>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</si>
  <si>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</si>
  <si>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</si>
  <si>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</si>
  <si>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</si>
  <si>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</si>
  <si>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</si>
  <si>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</si>
  <si>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</si>
  <si>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</si>
  <si>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</si>
  <si>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</si>
  <si>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</si>
  <si>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</si>
  <si>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</si>
  <si>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</si>
  <si>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</si>
  <si>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</si>
  <si>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</si>
  <si>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</si>
  <si>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</si>
  <si>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</si>
  <si>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</si>
  <si>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</si>
  <si>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</si>
  <si>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</si>
  <si>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</si>
  <si>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</si>
  <si>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</si>
  <si>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</si>
  <si>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</si>
  <si>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</si>
  <si>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</si>
  <si>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</si>
  <si>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</si>
  <si>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</si>
  <si>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</si>
  <si>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</si>
  <si>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</si>
  <si>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</si>
  <si>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</si>
  <si>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</si>
  <si>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</si>
  <si>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</si>
  <si>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</si>
  <si>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</si>
  <si>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</si>
  <si>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</si>
  <si>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</si>
  <si>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</si>
  <si>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</si>
  <si>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</si>
  <si>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</si>
  <si>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</si>
  <si>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</si>
  <si>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</si>
  <si>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</si>
  <si>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</si>
  <si>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</si>
  <si>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</si>
  <si>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</si>
  <si>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</si>
  <si>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</si>
  <si>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</si>
  <si>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</si>
  <si>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</si>
  <si>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</si>
  <si>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</si>
  <si>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</si>
  <si>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</si>
  <si>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</si>
  <si>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</si>
  <si>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</si>
  <si>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</si>
  <si>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</si>
  <si>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</si>
  <si>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</si>
  <si>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</si>
  <si>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</si>
  <si>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</si>
  <si>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</si>
  <si>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</si>
  <si>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</si>
  <si>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</si>
  <si>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</si>
  <si>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</si>
  <si>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</si>
  <si>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</si>
  <si>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</si>
  <si>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</si>
  <si>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</si>
  <si>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</si>
  <si>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</si>
  <si>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</si>
  <si>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</si>
  <si>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</si>
  <si>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</si>
  <si>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</si>
  <si>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</si>
  <si>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</si>
  <si>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</si>
  <si>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</si>
  <si>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</si>
  <si>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</si>
  <si>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</si>
  <si>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</si>
  <si>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</si>
  <si>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</si>
  <si>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Growth</t>
  </si>
  <si>
    <t>YoY</t>
  </si>
  <si>
    <t>Op Margin</t>
  </si>
  <si>
    <t>APAC</t>
  </si>
  <si>
    <t>Capital Lease Payments</t>
  </si>
  <si>
    <t>Caterpillar</t>
  </si>
  <si>
    <t>CAT</t>
  </si>
  <si>
    <t>1Q16</t>
  </si>
  <si>
    <t>2Q16</t>
  </si>
  <si>
    <t>3Q16</t>
  </si>
  <si>
    <t>N. America</t>
  </si>
  <si>
    <t>Construction</t>
  </si>
  <si>
    <t>Resources</t>
  </si>
  <si>
    <t>Energy &amp; Transportation</t>
  </si>
  <si>
    <t>Other</t>
  </si>
  <si>
    <t>Latin America</t>
  </si>
  <si>
    <t>EAME</t>
  </si>
  <si>
    <t>Totals</t>
  </si>
  <si>
    <t>Financial Products</t>
  </si>
  <si>
    <t>Geographical Totals</t>
  </si>
  <si>
    <t>Revenue Attribution</t>
  </si>
  <si>
    <t>Volume</t>
  </si>
  <si>
    <t>Price</t>
  </si>
  <si>
    <t>Currency</t>
  </si>
  <si>
    <t>Resource</t>
  </si>
  <si>
    <t>All Other</t>
  </si>
  <si>
    <t>Operating Profit</t>
  </si>
  <si>
    <t>Old Segments</t>
  </si>
  <si>
    <t>Machinery</t>
  </si>
  <si>
    <t>Engines</t>
  </si>
  <si>
    <t>Op Profit</t>
  </si>
  <si>
    <t>Machinery (LHS)</t>
  </si>
  <si>
    <t>Financial (RHS)</t>
  </si>
  <si>
    <t>10Y RGR</t>
  </si>
  <si>
    <t>Financial</t>
  </si>
  <si>
    <t>Asia/Pacific</t>
  </si>
  <si>
    <t>L. America</t>
  </si>
  <si>
    <t>Share</t>
  </si>
  <si>
    <t>Business</t>
  </si>
  <si>
    <t>2015 Revenue</t>
  </si>
  <si>
    <t>N.A. Construction</t>
  </si>
  <si>
    <t>N.A. Energy &amp; Transportation</t>
  </si>
  <si>
    <t>EAME Energy &amp; Transportation</t>
  </si>
  <si>
    <t>EAME Construction</t>
  </si>
  <si>
    <t>APAC Energy &amp; Transportation</t>
  </si>
  <si>
    <t>APAC Construction</t>
  </si>
  <si>
    <t>N.A. Resources</t>
  </si>
  <si>
    <t>APAC Resources</t>
  </si>
  <si>
    <t>EAME Resources</t>
  </si>
  <si>
    <t>Lat Am Energy &amp; Transportation</t>
  </si>
  <si>
    <t>Lat Am Construction</t>
  </si>
  <si>
    <t>N.A. Other</t>
  </si>
  <si>
    <t>Lat Am Resources</t>
  </si>
  <si>
    <t>APAC Other</t>
  </si>
  <si>
    <t>EAME Other</t>
  </si>
  <si>
    <t>Lat Am Other</t>
  </si>
  <si>
    <t>Total Revenue</t>
  </si>
  <si>
    <t>3Q</t>
  </si>
  <si>
    <t>CFO</t>
  </si>
  <si>
    <t>Depreciation &amp; Amortization</t>
  </si>
  <si>
    <t>Est. Maintenance Capex</t>
  </si>
  <si>
    <t>OCP</t>
  </si>
  <si>
    <t>PP&amp;E</t>
  </si>
  <si>
    <t>Expansionary PP&amp;E</t>
  </si>
  <si>
    <t>Acquisitions</t>
  </si>
  <si>
    <t>Divestitures</t>
  </si>
  <si>
    <t>JVs</t>
  </si>
  <si>
    <t>ECF</t>
  </si>
  <si>
    <t>YoY Revenue Change</t>
  </si>
  <si>
    <t>ECF % OCP</t>
  </si>
  <si>
    <t>Quarterly 5Y CAGR</t>
  </si>
  <si>
    <t>CAT Revenue (Annual)</t>
  </si>
  <si>
    <t>Best-Case Assumption</t>
  </si>
  <si>
    <t>Worst-Case Assumption</t>
  </si>
  <si>
    <t>CAT Owners' Cash Profits (Annual)</t>
  </si>
  <si>
    <t>5-Y Median OCP Margin</t>
  </si>
  <si>
    <t>US GDP (SAAR)</t>
  </si>
  <si>
    <t>US GDP</t>
  </si>
  <si>
    <t>CAT OCP</t>
  </si>
  <si>
    <t>LT Debt Issue</t>
  </si>
  <si>
    <t>LT Debt Payments</t>
  </si>
  <si>
    <t>ST Debt - Net</t>
  </si>
  <si>
    <t>Net Debt Issued</t>
  </si>
  <si>
    <t>Net Cash Flow</t>
  </si>
  <si>
    <t>CAT Debt To Assets (Annual)</t>
  </si>
  <si>
    <t>Adjustments</t>
  </si>
  <si>
    <t>CAT Owners' Cash Profits</t>
  </si>
  <si>
    <t>Best Case OCP</t>
  </si>
  <si>
    <t>Worst Case OCP</t>
  </si>
  <si>
    <t>Early Hist. Avg.</t>
  </si>
  <si>
    <t>Recent Hist. Avg.</t>
  </si>
  <si>
    <t>Best-Case Avg</t>
  </si>
  <si>
    <t>Worst-Case Avg</t>
  </si>
  <si>
    <t>Best-Case 5Y RGR</t>
  </si>
  <si>
    <t>Best-Case 10Y RGR</t>
  </si>
  <si>
    <t>Worst-Case</t>
  </si>
  <si>
    <t>Worst-Case 5Y RGR</t>
  </si>
  <si>
    <t>Worst-Case 10Y RGR</t>
  </si>
  <si>
    <t>ECF as a Percent of OCP</t>
  </si>
  <si>
    <t>TTM Revenue (LHS)</t>
  </si>
  <si>
    <t>5-Year CAGR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</si>
</sst>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yyyy\ &quot;e&quot;"/>
  </numFmts>
  <fonts count="54">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b/>
      <i/>
      <sz val="11"/>
      <color rgb="FF0046AD"/>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6AD"/>
        <bgColor indexed="64"/>
      </patternFill>
    </fill>
    <fill>
      <patternFill patternType="solid">
        <fgColor theme="5" tint="0.79998168889431442"/>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4">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9" borderId="0" xfId="0" applyFont="1" applyFill="1"/>
    <xf numFmtId="0" fontId="5" fillId="9" borderId="0" xfId="0" applyFont="1" applyFill="1"/>
    <xf numFmtId="0" fontId="5" fillId="0" borderId="0" xfId="0" applyFont="1" applyFill="1"/>
    <xf numFmtId="0" fontId="0" fillId="0" borderId="0" xfId="0" applyFill="1" applyBorder="1"/>
    <xf numFmtId="41" fontId="0" fillId="0" borderId="0" xfId="0" applyNumberFormat="1"/>
    <xf numFmtId="0" fontId="53" fillId="0" borderId="0" xfId="0" applyFont="1"/>
    <xf numFmtId="0" fontId="0" fillId="0" borderId="1" xfId="0" applyBorder="1" applyAlignment="1">
      <alignment horizontal="left"/>
    </xf>
    <xf numFmtId="41" fontId="0" fillId="0" borderId="1" xfId="0" applyNumberFormat="1" applyBorder="1"/>
    <xf numFmtId="41" fontId="0" fillId="0" borderId="0" xfId="0" applyNumberFormat="1" applyBorder="1"/>
    <xf numFmtId="165" fontId="0" fillId="0" borderId="6" xfId="1" applyNumberFormat="1" applyFont="1" applyBorder="1"/>
    <xf numFmtId="167" fontId="0" fillId="0" borderId="0" xfId="3" applyNumberFormat="1" applyFont="1"/>
    <xf numFmtId="41" fontId="0" fillId="0" borderId="0" xfId="0" applyNumberFormat="1" applyFill="1"/>
    <xf numFmtId="9" fontId="0" fillId="0" borderId="0" xfId="3" applyFont="1" applyFill="1"/>
    <xf numFmtId="0" fontId="0" fillId="0" borderId="0" xfId="0" applyFill="1"/>
    <xf numFmtId="208" fontId="0" fillId="0" borderId="0" xfId="0" applyNumberFormat="1"/>
    <xf numFmtId="3" fontId="0" fillId="0" borderId="0" xfId="0" applyNumberFormat="1"/>
    <xf numFmtId="0" fontId="0" fillId="10" borderId="0" xfId="0" applyNumberFormat="1" applyFill="1"/>
    <xf numFmtId="9" fontId="0" fillId="10" borderId="0" xfId="3" applyFont="1" applyFill="1"/>
    <xf numFmtId="0" fontId="0" fillId="0" borderId="6" xfId="0" applyNumberFormat="1" applyBorder="1"/>
    <xf numFmtId="167" fontId="0" fillId="0" borderId="6" xfId="3" applyNumberFormat="1" applyFont="1" applyBorder="1"/>
    <xf numFmtId="0" fontId="0" fillId="11" borderId="0" xfId="0" applyFill="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4.xml"/><Relationship Id="rId18" Type="http://schemas.openxmlformats.org/officeDocument/2006/relationships/worksheet" Target="worksheets/sheet11.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3.xml"/><Relationship Id="rId17" Type="http://schemas.openxmlformats.org/officeDocument/2006/relationships/worksheet" Target="worksheets/sheet10.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worksheet" Target="worksheets/sheet13.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externalLink" Target="externalLinks/externalLink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chartsheet" Target="chartsheets/sheet1.xml"/><Relationship Id="rId19" Type="http://schemas.openxmlformats.org/officeDocument/2006/relationships/worksheet" Target="worksheets/sheet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5.xml"/><Relationship Id="rId22" Type="http://schemas.openxmlformats.org/officeDocument/2006/relationships/worksheet" Target="worksheets/sheet15.xml"/><Relationship Id="rId27" Type="http://schemas.openxmlformats.org/officeDocument/2006/relationships/externalLink" Target="externalLinks/externalLink5.xml"/><Relationship Id="rId30"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5.xml"/><Relationship Id="rId1" Type="http://schemas.microsoft.com/office/2011/relationships/chartStyle" Target="style25.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6.xml"/><Relationship Id="rId1" Type="http://schemas.microsoft.com/office/2011/relationships/chartStyle" Target="style26.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7.xml"/><Relationship Id="rId1" Type="http://schemas.microsoft.com/office/2011/relationships/chartStyle" Target="style27.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8.xml"/><Relationship Id="rId1" Type="http://schemas.microsoft.com/office/2011/relationships/chartStyle" Target="style28.xml"/></Relationships>
</file>

<file path=xl/charts/_rels/chart2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29.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2.xml"/><Relationship Id="rId1" Type="http://schemas.microsoft.com/office/2011/relationships/chartStyle" Target="style32.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3.xml"/><Relationship Id="rId1" Type="http://schemas.microsoft.com/office/2011/relationships/chartStyle" Target="style33.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4.xml"/><Relationship Id="rId1" Type="http://schemas.microsoft.com/office/2011/relationships/chartStyle" Target="style34.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N. America Revenues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2"/>
          <c:order val="2"/>
          <c:tx>
            <c:strRef>
              <c:f>Segments!$A$4</c:f>
              <c:strCache>
                <c:ptCount val="1"/>
                <c:pt idx="0">
                  <c:v>Construction</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Segments!$B$4:$G$4</c:f>
              <c:numCache>
                <c:formatCode>_(* #,##0_);_(* \(#,##0\);_(* "-"_);_(@_)</c:formatCode>
                <c:ptCount val="6"/>
                <c:pt idx="0">
                  <c:v>4108</c:v>
                </c:pt>
                <c:pt idx="1">
                  <c:v>5985</c:v>
                </c:pt>
                <c:pt idx="2">
                  <c:v>7101</c:v>
                </c:pt>
                <c:pt idx="3">
                  <c:v>7071</c:v>
                </c:pt>
                <c:pt idx="4">
                  <c:v>8403</c:v>
                </c:pt>
                <c:pt idx="5">
                  <c:v>8084</c:v>
                </c:pt>
              </c:numCache>
            </c:numRef>
          </c:val>
          <c:extLst>
            <c:ext xmlns:c16="http://schemas.microsoft.com/office/drawing/2014/chart" uri="{C3380CC4-5D6E-409C-BE32-E72D297353CC}">
              <c16:uniqueId val="{00000000-9B31-4A88-A200-B78423A1A636}"/>
            </c:ext>
          </c:extLst>
        </c:ser>
        <c:ser>
          <c:idx val="3"/>
          <c:order val="3"/>
          <c:tx>
            <c:strRef>
              <c:f>Segments!$A$5</c:f>
              <c:strCache>
                <c:ptCount val="1"/>
                <c:pt idx="0">
                  <c:v>Resources</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Segments!$B$5:$G$5</c:f>
              <c:numCache>
                <c:formatCode>_(* #,##0_);_(* \(#,##0\);_(* "-"_);_(@_)</c:formatCode>
                <c:ptCount val="6"/>
                <c:pt idx="0">
                  <c:v>2866</c:v>
                </c:pt>
                <c:pt idx="1">
                  <c:v>4963</c:v>
                </c:pt>
                <c:pt idx="2">
                  <c:v>6037</c:v>
                </c:pt>
                <c:pt idx="3">
                  <c:v>4443</c:v>
                </c:pt>
                <c:pt idx="4">
                  <c:v>3193</c:v>
                </c:pt>
                <c:pt idx="5">
                  <c:v>2820</c:v>
                </c:pt>
              </c:numCache>
            </c:numRef>
          </c:val>
          <c:extLst>
            <c:ext xmlns:c16="http://schemas.microsoft.com/office/drawing/2014/chart" uri="{C3380CC4-5D6E-409C-BE32-E72D297353CC}">
              <c16:uniqueId val="{00000001-9B31-4A88-A200-B78423A1A636}"/>
            </c:ext>
          </c:extLst>
        </c:ser>
        <c:ser>
          <c:idx val="4"/>
          <c:order val="4"/>
          <c:tx>
            <c:strRef>
              <c:f>Segments!$A$6</c:f>
              <c:strCache>
                <c:ptCount val="1"/>
                <c:pt idx="0">
                  <c:v>Energy &amp; Transportation</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Segments!$B$6:$G$6</c:f>
              <c:numCache>
                <c:formatCode>_(* #,##0_);_(* \(#,##0\);_(* "-"_);_(@_)</c:formatCode>
                <c:ptCount val="6"/>
                <c:pt idx="0">
                  <c:v>6376</c:v>
                </c:pt>
                <c:pt idx="1">
                  <c:v>8331</c:v>
                </c:pt>
                <c:pt idx="2">
                  <c:v>8720</c:v>
                </c:pt>
                <c:pt idx="3">
                  <c:v>8231</c:v>
                </c:pt>
                <c:pt idx="4">
                  <c:v>9612</c:v>
                </c:pt>
                <c:pt idx="5">
                  <c:v>7759</c:v>
                </c:pt>
              </c:numCache>
            </c:numRef>
          </c:val>
          <c:extLst>
            <c:ext xmlns:c16="http://schemas.microsoft.com/office/drawing/2014/chart" uri="{C3380CC4-5D6E-409C-BE32-E72D297353CC}">
              <c16:uniqueId val="{00000002-9B31-4A88-A200-B78423A1A636}"/>
            </c:ext>
          </c:extLst>
        </c:ser>
        <c:ser>
          <c:idx val="5"/>
          <c:order val="5"/>
          <c:tx>
            <c:strRef>
              <c:f>Segments!$A$7</c:f>
              <c:strCache>
                <c:ptCount val="1"/>
                <c:pt idx="0">
                  <c:v>Other</c:v>
                </c:pt>
              </c:strCache>
            </c:strRef>
          </c:tx>
          <c:spPr>
            <a:solidFill>
              <a:schemeClr val="accent5"/>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Segments!$B$7:$G$7</c:f>
              <c:numCache>
                <c:formatCode>_(* #,##0_);_(* \(#,##0\);_(* "-"_);_(@_)</c:formatCode>
                <c:ptCount val="6"/>
                <c:pt idx="0">
                  <c:v>1208</c:v>
                </c:pt>
                <c:pt idx="1">
                  <c:v>970</c:v>
                </c:pt>
                <c:pt idx="2">
                  <c:v>777</c:v>
                </c:pt>
                <c:pt idx="3">
                  <c:v>602</c:v>
                </c:pt>
                <c:pt idx="4">
                  <c:v>1436</c:v>
                </c:pt>
                <c:pt idx="5">
                  <c:v>1576</c:v>
                </c:pt>
              </c:numCache>
            </c:numRef>
          </c:val>
          <c:extLst>
            <c:ext xmlns:c16="http://schemas.microsoft.com/office/drawing/2014/chart" uri="{C3380CC4-5D6E-409C-BE32-E72D297353CC}">
              <c16:uniqueId val="{00000003-9B31-4A88-A200-B78423A1A636}"/>
            </c:ext>
          </c:extLst>
        </c:ser>
        <c:dLbls>
          <c:showLegendKey val="0"/>
          <c:showVal val="0"/>
          <c:showCatName val="0"/>
          <c:showSerName val="0"/>
          <c:showPercent val="0"/>
          <c:showBubbleSize val="0"/>
        </c:dLbls>
        <c:axId val="329799128"/>
        <c:axId val="329798800"/>
        <c:extLst>
          <c:ext xmlns:c15="http://schemas.microsoft.com/office/drawing/2012/chart" uri="{02D57815-91ED-43cb-92C2-25804820EDAC}">
            <c15:filteredAreaSeries>
              <c15:ser>
                <c:idx val="0"/>
                <c:order val="0"/>
                <c:tx>
                  <c:strRef>
                    <c:extLst>
                      <c:ext uri="{02D57815-91ED-43cb-92C2-25804820EDAC}">
                        <c15:formulaRef>
                          <c15:sqref>Segments!$A$2</c15:sqref>
                        </c15:formulaRef>
                      </c:ext>
                    </c:extLst>
                    <c:strCache>
                      <c:ptCount val="1"/>
                      <c:pt idx="0">
                        <c:v>Revenues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Segments!$B$2:$G$2</c15:sqref>
                        </c15:formulaRef>
                      </c:ext>
                    </c:extLst>
                    <c:numCache>
                      <c:formatCode>General</c:formatCode>
                      <c:ptCount val="6"/>
                    </c:numCache>
                  </c:numRef>
                </c:val>
                <c:extLst>
                  <c:ext xmlns:c16="http://schemas.microsoft.com/office/drawing/2014/chart" uri="{C3380CC4-5D6E-409C-BE32-E72D297353CC}">
                    <c16:uniqueId val="{00000004-9B31-4A88-A200-B78423A1A636}"/>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Segments!$A$3</c15:sqref>
                        </c15:formulaRef>
                      </c:ext>
                    </c:extLst>
                    <c:strCache>
                      <c:ptCount val="1"/>
                      <c:pt idx="0">
                        <c:v>N. America</c:v>
                      </c:pt>
                    </c:strCache>
                  </c:strRef>
                </c:tx>
                <c:spPr>
                  <a:solidFill>
                    <a:schemeClr val="accent2"/>
                  </a:solidFill>
                  <a:ln>
                    <a:noFill/>
                  </a:ln>
                  <a:effectLst/>
                </c:spPr>
                <c:cat>
                  <c:numRef>
                    <c:extLst xmlns:c15="http://schemas.microsoft.com/office/drawing/2012/chart">
                      <c:ext xmlns:c15="http://schemas.microsoft.com/office/drawing/2012/char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xmlns:c15="http://schemas.microsoft.com/office/drawing/2012/chart">
                      <c:ext xmlns:c15="http://schemas.microsoft.com/office/drawing/2012/chart" uri="{02D57815-91ED-43cb-92C2-25804820EDAC}">
                        <c15:formulaRef>
                          <c15:sqref>Segments!$B$3:$G$3</c15:sqref>
                        </c15:formulaRef>
                      </c:ext>
                    </c:extLst>
                    <c:numCache>
                      <c:formatCode>_(* #,##0_);_(* \(#,##0\);_(* "-"_);_(@_)</c:formatCode>
                      <c:ptCount val="6"/>
                    </c:numCache>
                  </c:numRef>
                </c:val>
                <c:extLst xmlns:c15="http://schemas.microsoft.com/office/drawing/2012/chart">
                  <c:ext xmlns:c16="http://schemas.microsoft.com/office/drawing/2014/chart" uri="{C3380CC4-5D6E-409C-BE32-E72D297353CC}">
                    <c16:uniqueId val="{00000005-9B31-4A88-A200-B78423A1A636}"/>
                  </c:ext>
                </c:extLst>
              </c15:ser>
            </c15:filteredAreaSeries>
          </c:ext>
        </c:extLst>
      </c:areaChart>
      <c:catAx>
        <c:axId val="32979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8800"/>
        <c:crosses val="autoZero"/>
        <c:auto val="1"/>
        <c:lblAlgn val="ctr"/>
        <c:lblOffset val="100"/>
        <c:noMultiLvlLbl val="0"/>
      </c:catAx>
      <c:valAx>
        <c:axId val="3297988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912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Caterpillar Revenues for 1Q-3Q 2016</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Segments!$A$147</c:f>
              <c:strCache>
                <c:ptCount val="1"/>
                <c:pt idx="0">
                  <c:v>Construction</c:v>
                </c:pt>
              </c:strCache>
            </c:strRef>
          </c:tx>
          <c:spPr>
            <a:solidFill>
              <a:srgbClr val="575A5D"/>
            </a:solidFill>
            <a:ln>
              <a:noFill/>
            </a:ln>
            <a:effectLst/>
          </c:spPr>
          <c:invertIfNegative val="0"/>
          <c:cat>
            <c:strRef>
              <c:f>Segments!$B$146:$E$146</c:f>
              <c:strCache>
                <c:ptCount val="4"/>
                <c:pt idx="0">
                  <c:v>N. America</c:v>
                </c:pt>
                <c:pt idx="1">
                  <c:v>EAME</c:v>
                </c:pt>
                <c:pt idx="2">
                  <c:v>Asia/Pacific</c:v>
                </c:pt>
                <c:pt idx="3">
                  <c:v>L. America</c:v>
                </c:pt>
              </c:strCache>
            </c:strRef>
          </c:cat>
          <c:val>
            <c:numRef>
              <c:f>Segments!$B$147:$E$147</c:f>
              <c:numCache>
                <c:formatCode>_(* #,##0_);_(* \(#,##0\);_(* "-"??_);_(@_)</c:formatCode>
                <c:ptCount val="4"/>
                <c:pt idx="0">
                  <c:v>5960</c:v>
                </c:pt>
                <c:pt idx="1">
                  <c:v>2646</c:v>
                </c:pt>
                <c:pt idx="2">
                  <c:v>2622</c:v>
                </c:pt>
                <c:pt idx="3">
                  <c:v>795</c:v>
                </c:pt>
              </c:numCache>
            </c:numRef>
          </c:val>
          <c:extLst>
            <c:ext xmlns:c16="http://schemas.microsoft.com/office/drawing/2014/chart" uri="{C3380CC4-5D6E-409C-BE32-E72D297353CC}">
              <c16:uniqueId val="{00000000-CD88-4E83-9971-1C82C488366E}"/>
            </c:ext>
          </c:extLst>
        </c:ser>
        <c:ser>
          <c:idx val="1"/>
          <c:order val="1"/>
          <c:tx>
            <c:strRef>
              <c:f>Segments!$A$148</c:f>
              <c:strCache>
                <c:ptCount val="1"/>
                <c:pt idx="0">
                  <c:v>Resources</c:v>
                </c:pt>
              </c:strCache>
            </c:strRef>
          </c:tx>
          <c:spPr>
            <a:solidFill>
              <a:srgbClr val="00B050"/>
            </a:solidFill>
            <a:ln>
              <a:noFill/>
            </a:ln>
            <a:effectLst/>
          </c:spPr>
          <c:invertIfNegative val="0"/>
          <c:cat>
            <c:strRef>
              <c:f>Segments!$B$146:$E$146</c:f>
              <c:strCache>
                <c:ptCount val="4"/>
                <c:pt idx="0">
                  <c:v>N. America</c:v>
                </c:pt>
                <c:pt idx="1">
                  <c:v>EAME</c:v>
                </c:pt>
                <c:pt idx="2">
                  <c:v>Asia/Pacific</c:v>
                </c:pt>
                <c:pt idx="3">
                  <c:v>L. America</c:v>
                </c:pt>
              </c:strCache>
            </c:strRef>
          </c:cat>
          <c:val>
            <c:numRef>
              <c:f>Segments!$B$148:$E$148</c:f>
              <c:numCache>
                <c:formatCode>_(* #,##0_);_(* \(#,##0\);_(* "-"??_);_(@_)</c:formatCode>
                <c:ptCount val="4"/>
                <c:pt idx="0">
                  <c:v>1597</c:v>
                </c:pt>
                <c:pt idx="1">
                  <c:v>882</c:v>
                </c:pt>
                <c:pt idx="2">
                  <c:v>1024</c:v>
                </c:pt>
                <c:pt idx="3">
                  <c:v>780</c:v>
                </c:pt>
              </c:numCache>
            </c:numRef>
          </c:val>
          <c:extLst>
            <c:ext xmlns:c16="http://schemas.microsoft.com/office/drawing/2014/chart" uri="{C3380CC4-5D6E-409C-BE32-E72D297353CC}">
              <c16:uniqueId val="{00000001-CD88-4E83-9971-1C82C488366E}"/>
            </c:ext>
          </c:extLst>
        </c:ser>
        <c:ser>
          <c:idx val="2"/>
          <c:order val="2"/>
          <c:tx>
            <c:strRef>
              <c:f>Segments!$A$149</c:f>
              <c:strCache>
                <c:ptCount val="1"/>
                <c:pt idx="0">
                  <c:v>Energy &amp; Transportation</c:v>
                </c:pt>
              </c:strCache>
            </c:strRef>
          </c:tx>
          <c:spPr>
            <a:solidFill>
              <a:srgbClr val="0046AD"/>
            </a:solidFill>
            <a:ln>
              <a:noFill/>
            </a:ln>
            <a:effectLst/>
          </c:spPr>
          <c:invertIfNegative val="0"/>
          <c:cat>
            <c:strRef>
              <c:f>Segments!$B$146:$E$146</c:f>
              <c:strCache>
                <c:ptCount val="4"/>
                <c:pt idx="0">
                  <c:v>N. America</c:v>
                </c:pt>
                <c:pt idx="1">
                  <c:v>EAME</c:v>
                </c:pt>
                <c:pt idx="2">
                  <c:v>Asia/Pacific</c:v>
                </c:pt>
                <c:pt idx="3">
                  <c:v>L. America</c:v>
                </c:pt>
              </c:strCache>
            </c:strRef>
          </c:cat>
          <c:val>
            <c:numRef>
              <c:f>Segments!$B$149:$E$149</c:f>
              <c:numCache>
                <c:formatCode>_(* #,##0_);_(* \(#,##0\);_(* "-"??_);_(@_)</c:formatCode>
                <c:ptCount val="4"/>
                <c:pt idx="0">
                  <c:v>4958</c:v>
                </c:pt>
                <c:pt idx="1">
                  <c:v>3138</c:v>
                </c:pt>
                <c:pt idx="2">
                  <c:v>1709</c:v>
                </c:pt>
                <c:pt idx="3">
                  <c:v>757</c:v>
                </c:pt>
              </c:numCache>
            </c:numRef>
          </c:val>
          <c:extLst>
            <c:ext xmlns:c16="http://schemas.microsoft.com/office/drawing/2014/chart" uri="{C3380CC4-5D6E-409C-BE32-E72D297353CC}">
              <c16:uniqueId val="{00000002-CD88-4E83-9971-1C82C488366E}"/>
            </c:ext>
          </c:extLst>
        </c:ser>
        <c:ser>
          <c:idx val="3"/>
          <c:order val="3"/>
          <c:tx>
            <c:strRef>
              <c:f>Segments!$A$150</c:f>
              <c:strCache>
                <c:ptCount val="1"/>
                <c:pt idx="0">
                  <c:v>Other</c:v>
                </c:pt>
              </c:strCache>
            </c:strRef>
          </c:tx>
          <c:spPr>
            <a:solidFill>
              <a:srgbClr val="00B0F0"/>
            </a:solidFill>
            <a:ln>
              <a:noFill/>
            </a:ln>
            <a:effectLst/>
          </c:spPr>
          <c:invertIfNegative val="0"/>
          <c:cat>
            <c:strRef>
              <c:f>Segments!$B$146:$E$146</c:f>
              <c:strCache>
                <c:ptCount val="4"/>
                <c:pt idx="0">
                  <c:v>N. America</c:v>
                </c:pt>
                <c:pt idx="1">
                  <c:v>EAME</c:v>
                </c:pt>
                <c:pt idx="2">
                  <c:v>Asia/Pacific</c:v>
                </c:pt>
                <c:pt idx="3">
                  <c:v>L. America</c:v>
                </c:pt>
              </c:strCache>
            </c:strRef>
          </c:cat>
          <c:val>
            <c:numRef>
              <c:f>Segments!$B$150:$E$150</c:f>
              <c:numCache>
                <c:formatCode>_(* #,##0_);_(* \(#,##0\);_(* "-"??_);_(@_)</c:formatCode>
                <c:ptCount val="4"/>
                <c:pt idx="0">
                  <c:v>35</c:v>
                </c:pt>
                <c:pt idx="1">
                  <c:v>23</c:v>
                </c:pt>
                <c:pt idx="2">
                  <c:v>46</c:v>
                </c:pt>
                <c:pt idx="3">
                  <c:v>3</c:v>
                </c:pt>
              </c:numCache>
            </c:numRef>
          </c:val>
          <c:extLst>
            <c:ext xmlns:c16="http://schemas.microsoft.com/office/drawing/2014/chart" uri="{C3380CC4-5D6E-409C-BE32-E72D297353CC}">
              <c16:uniqueId val="{00000003-CD88-4E83-9971-1C82C488366E}"/>
            </c:ext>
          </c:extLst>
        </c:ser>
        <c:dLbls>
          <c:showLegendKey val="0"/>
          <c:showVal val="0"/>
          <c:showCatName val="0"/>
          <c:showSerName val="0"/>
          <c:showPercent val="0"/>
          <c:showBubbleSize val="0"/>
        </c:dLbls>
        <c:gapWidth val="150"/>
        <c:overlap val="100"/>
        <c:axId val="447153176"/>
        <c:axId val="447157112"/>
      </c:barChart>
      <c:catAx>
        <c:axId val="447153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47157112"/>
        <c:crosses val="autoZero"/>
        <c:auto val="1"/>
        <c:lblAlgn val="ctr"/>
        <c:lblOffset val="100"/>
        <c:noMultiLvlLbl val="0"/>
      </c:catAx>
      <c:valAx>
        <c:axId val="44715711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47153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Product-Line Profitability (EBIT Margin)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Segments!$A$92</c:f>
              <c:strCache>
                <c:ptCount val="1"/>
                <c:pt idx="0">
                  <c:v>Construction</c:v>
                </c:pt>
              </c:strCache>
            </c:strRef>
          </c:tx>
          <c:spPr>
            <a:ln w="28575" cap="rnd">
              <a:solidFill>
                <a:srgbClr val="575A5D"/>
              </a:solidFill>
              <a:round/>
            </a:ln>
            <a:effectLst/>
          </c:spPr>
          <c:marker>
            <c:symbol val="none"/>
          </c:marker>
          <c:cat>
            <c:numRef>
              <c:f>Segments!$B$1:$G$1</c:f>
              <c:numCache>
                <c:formatCode>General</c:formatCode>
                <c:ptCount val="6"/>
                <c:pt idx="0">
                  <c:v>2010</c:v>
                </c:pt>
                <c:pt idx="1">
                  <c:v>2011</c:v>
                </c:pt>
                <c:pt idx="2">
                  <c:v>2012</c:v>
                </c:pt>
                <c:pt idx="3">
                  <c:v>2013</c:v>
                </c:pt>
                <c:pt idx="4">
                  <c:v>2014</c:v>
                </c:pt>
                <c:pt idx="5">
                  <c:v>2015</c:v>
                </c:pt>
              </c:numCache>
            </c:numRef>
          </c:cat>
          <c:val>
            <c:numRef>
              <c:f>Segments!$B$92:$G$92</c:f>
              <c:numCache>
                <c:formatCode>0%</c:formatCode>
                <c:ptCount val="6"/>
                <c:pt idx="0">
                  <c:v>5.7692307692307696E-2</c:v>
                </c:pt>
                <c:pt idx="1">
                  <c:v>0.1045406010067626</c:v>
                </c:pt>
                <c:pt idx="2">
                  <c:v>9.2531292024412945E-2</c:v>
                </c:pt>
                <c:pt idx="3">
                  <c:v>7.3548456723505282E-2</c:v>
                </c:pt>
                <c:pt idx="4">
                  <c:v>0.1139861584547051</c:v>
                </c:pt>
                <c:pt idx="5">
                  <c:v>0.11618783196523419</c:v>
                </c:pt>
              </c:numCache>
            </c:numRef>
          </c:val>
          <c:smooth val="0"/>
          <c:extLst>
            <c:ext xmlns:c16="http://schemas.microsoft.com/office/drawing/2014/chart" uri="{C3380CC4-5D6E-409C-BE32-E72D297353CC}">
              <c16:uniqueId val="{00000000-150F-4470-930C-E7312B955704}"/>
            </c:ext>
          </c:extLst>
        </c:ser>
        <c:ser>
          <c:idx val="1"/>
          <c:order val="1"/>
          <c:tx>
            <c:strRef>
              <c:f>Segments!$A$93</c:f>
              <c:strCache>
                <c:ptCount val="1"/>
                <c:pt idx="0">
                  <c:v>Resources</c:v>
                </c:pt>
              </c:strCache>
            </c:strRef>
          </c:tx>
          <c:spPr>
            <a:ln w="28575" cap="rnd">
              <a:solidFill>
                <a:srgbClr val="00B050"/>
              </a:solidFill>
              <a:round/>
            </a:ln>
            <a:effectLst/>
          </c:spPr>
          <c:marker>
            <c:symbol val="none"/>
          </c:marker>
          <c:cat>
            <c:numRef>
              <c:f>Segments!$B$1:$G$1</c:f>
              <c:numCache>
                <c:formatCode>General</c:formatCode>
                <c:ptCount val="6"/>
                <c:pt idx="0">
                  <c:v>2010</c:v>
                </c:pt>
                <c:pt idx="1">
                  <c:v>2011</c:v>
                </c:pt>
                <c:pt idx="2">
                  <c:v>2012</c:v>
                </c:pt>
                <c:pt idx="3">
                  <c:v>2013</c:v>
                </c:pt>
                <c:pt idx="4">
                  <c:v>2014</c:v>
                </c:pt>
                <c:pt idx="5">
                  <c:v>2015</c:v>
                </c:pt>
              </c:numCache>
            </c:numRef>
          </c:cat>
          <c:val>
            <c:numRef>
              <c:f>Segments!$B$93:$G$93</c:f>
              <c:numCache>
                <c:formatCode>0%</c:formatCode>
                <c:ptCount val="6"/>
                <c:pt idx="0">
                  <c:v>0.20641513787931234</c:v>
                </c:pt>
                <c:pt idx="1">
                  <c:v>0.21332138972423059</c:v>
                </c:pt>
                <c:pt idx="2">
                  <c:v>0.20408356177332451</c:v>
                </c:pt>
                <c:pt idx="3">
                  <c:v>0.1186887716654107</c:v>
                </c:pt>
                <c:pt idx="4">
                  <c:v>4.5286402869633452E-2</c:v>
                </c:pt>
                <c:pt idx="5">
                  <c:v>-1.1654085551582571E-2</c:v>
                </c:pt>
              </c:numCache>
            </c:numRef>
          </c:val>
          <c:smooth val="0"/>
          <c:extLst>
            <c:ext xmlns:c16="http://schemas.microsoft.com/office/drawing/2014/chart" uri="{C3380CC4-5D6E-409C-BE32-E72D297353CC}">
              <c16:uniqueId val="{00000001-150F-4470-930C-E7312B955704}"/>
            </c:ext>
          </c:extLst>
        </c:ser>
        <c:ser>
          <c:idx val="2"/>
          <c:order val="2"/>
          <c:tx>
            <c:strRef>
              <c:f>Segments!$A$94</c:f>
              <c:strCache>
                <c:ptCount val="1"/>
                <c:pt idx="0">
                  <c:v>Energy &amp; Transportation</c:v>
                </c:pt>
              </c:strCache>
            </c:strRef>
          </c:tx>
          <c:spPr>
            <a:ln w="28575" cap="rnd">
              <a:solidFill>
                <a:srgbClr val="0046AD"/>
              </a:solidFill>
              <a:round/>
            </a:ln>
            <a:effectLst/>
          </c:spPr>
          <c:marker>
            <c:symbol val="none"/>
          </c:marker>
          <c:cat>
            <c:numRef>
              <c:f>Segments!$B$1:$G$1</c:f>
              <c:numCache>
                <c:formatCode>General</c:formatCode>
                <c:ptCount val="6"/>
                <c:pt idx="0">
                  <c:v>2010</c:v>
                </c:pt>
                <c:pt idx="1">
                  <c:v>2011</c:v>
                </c:pt>
                <c:pt idx="2">
                  <c:v>2012</c:v>
                </c:pt>
                <c:pt idx="3">
                  <c:v>2013</c:v>
                </c:pt>
                <c:pt idx="4">
                  <c:v>2014</c:v>
                </c:pt>
                <c:pt idx="5">
                  <c:v>2015</c:v>
                </c:pt>
              </c:numCache>
            </c:numRef>
          </c:cat>
          <c:val>
            <c:numRef>
              <c:f>Segments!$B$94:$G$94</c:f>
              <c:numCache>
                <c:formatCode>0%</c:formatCode>
                <c:ptCount val="6"/>
                <c:pt idx="0">
                  <c:v>0.1472613760700264</c:v>
                </c:pt>
                <c:pt idx="1">
                  <c:v>0.15178482648901262</c:v>
                </c:pt>
                <c:pt idx="2">
                  <c:v>0.16257930120253763</c:v>
                </c:pt>
                <c:pt idx="3">
                  <c:v>0.16869263210121557</c:v>
                </c:pt>
                <c:pt idx="4">
                  <c:v>0.19031619643761219</c:v>
                </c:pt>
                <c:pt idx="5">
                  <c:v>0.18056639536180177</c:v>
                </c:pt>
              </c:numCache>
            </c:numRef>
          </c:val>
          <c:smooth val="0"/>
          <c:extLst>
            <c:ext xmlns:c16="http://schemas.microsoft.com/office/drawing/2014/chart" uri="{C3380CC4-5D6E-409C-BE32-E72D297353CC}">
              <c16:uniqueId val="{00000002-150F-4470-930C-E7312B955704}"/>
            </c:ext>
          </c:extLst>
        </c:ser>
        <c:dLbls>
          <c:showLegendKey val="0"/>
          <c:showVal val="0"/>
          <c:showCatName val="0"/>
          <c:showSerName val="0"/>
          <c:showPercent val="0"/>
          <c:showBubbleSize val="0"/>
        </c:dLbls>
        <c:smooth val="0"/>
        <c:axId val="543359544"/>
        <c:axId val="543354952"/>
      </c:lineChart>
      <c:catAx>
        <c:axId val="543359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543354952"/>
        <c:crosses val="autoZero"/>
        <c:auto val="1"/>
        <c:lblAlgn val="ctr"/>
        <c:lblOffset val="100"/>
        <c:noMultiLvlLbl val="0"/>
      </c:catAx>
      <c:valAx>
        <c:axId val="543354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543359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'Revenue Stats'!$A$67</c:f>
              <c:strCache>
                <c:ptCount val="1"/>
                <c:pt idx="0">
                  <c:v>N.A. Construction</c:v>
                </c:pt>
              </c:strCache>
            </c:strRef>
          </c:tx>
          <c:spPr>
            <a:solidFill>
              <a:schemeClr val="accent1"/>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Stats'!$B$67:$G$67</c:f>
              <c:numCache>
                <c:formatCode>_(* #,##0_);_(* \(#,##0\);_(* "-"_);_(@_)</c:formatCode>
                <c:ptCount val="6"/>
                <c:pt idx="0">
                  <c:v>4108</c:v>
                </c:pt>
                <c:pt idx="1">
                  <c:v>5985</c:v>
                </c:pt>
                <c:pt idx="2">
                  <c:v>7101</c:v>
                </c:pt>
                <c:pt idx="3">
                  <c:v>7071</c:v>
                </c:pt>
                <c:pt idx="4">
                  <c:v>8403</c:v>
                </c:pt>
                <c:pt idx="5">
                  <c:v>8084</c:v>
                </c:pt>
              </c:numCache>
            </c:numRef>
          </c:val>
          <c:extLst>
            <c:ext xmlns:c16="http://schemas.microsoft.com/office/drawing/2014/chart" uri="{C3380CC4-5D6E-409C-BE32-E72D297353CC}">
              <c16:uniqueId val="{00000000-7E14-4689-A0AE-BCFBFB02CADD}"/>
            </c:ext>
          </c:extLst>
        </c:ser>
        <c:ser>
          <c:idx val="1"/>
          <c:order val="1"/>
          <c:tx>
            <c:strRef>
              <c:f>'Revenue Stats'!$A$68</c:f>
              <c:strCache>
                <c:ptCount val="1"/>
                <c:pt idx="0">
                  <c:v>N.A. Energy &amp; Transportation</c:v>
                </c:pt>
              </c:strCache>
            </c:strRef>
          </c:tx>
          <c:spPr>
            <a:solidFill>
              <a:schemeClr val="accent2"/>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Stats'!$B$68:$G$68</c:f>
              <c:numCache>
                <c:formatCode>_(* #,##0_);_(* \(#,##0\);_(* "-"_);_(@_)</c:formatCode>
                <c:ptCount val="6"/>
                <c:pt idx="0">
                  <c:v>6376</c:v>
                </c:pt>
                <c:pt idx="1">
                  <c:v>8331</c:v>
                </c:pt>
                <c:pt idx="2">
                  <c:v>8720</c:v>
                </c:pt>
                <c:pt idx="3">
                  <c:v>8231</c:v>
                </c:pt>
                <c:pt idx="4">
                  <c:v>9612</c:v>
                </c:pt>
                <c:pt idx="5">
                  <c:v>7759</c:v>
                </c:pt>
              </c:numCache>
            </c:numRef>
          </c:val>
          <c:extLst>
            <c:ext xmlns:c16="http://schemas.microsoft.com/office/drawing/2014/chart" uri="{C3380CC4-5D6E-409C-BE32-E72D297353CC}">
              <c16:uniqueId val="{00000001-7E14-4689-A0AE-BCFBFB02CADD}"/>
            </c:ext>
          </c:extLst>
        </c:ser>
        <c:ser>
          <c:idx val="2"/>
          <c:order val="2"/>
          <c:tx>
            <c:strRef>
              <c:f>'Revenue Stats'!$A$69</c:f>
              <c:strCache>
                <c:ptCount val="1"/>
                <c:pt idx="0">
                  <c:v>EAME Energy &amp; Transportation</c:v>
                </c:pt>
              </c:strCache>
            </c:strRef>
          </c:tx>
          <c:spPr>
            <a:solidFill>
              <a:schemeClr val="accent3"/>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Stats'!$B$69:$G$69</c:f>
              <c:numCache>
                <c:formatCode>_(* #,##0_);_(* \(#,##0\);_(* "-"_);_(@_)</c:formatCode>
                <c:ptCount val="6"/>
                <c:pt idx="0">
                  <c:v>4393</c:v>
                </c:pt>
                <c:pt idx="1">
                  <c:v>5752</c:v>
                </c:pt>
                <c:pt idx="2">
                  <c:v>6043</c:v>
                </c:pt>
                <c:pt idx="3">
                  <c:v>5735</c:v>
                </c:pt>
                <c:pt idx="4">
                  <c:v>6297</c:v>
                </c:pt>
                <c:pt idx="5">
                  <c:v>5270</c:v>
                </c:pt>
              </c:numCache>
            </c:numRef>
          </c:val>
          <c:extLst>
            <c:ext xmlns:c16="http://schemas.microsoft.com/office/drawing/2014/chart" uri="{C3380CC4-5D6E-409C-BE32-E72D297353CC}">
              <c16:uniqueId val="{00000002-7E14-4689-A0AE-BCFBFB02CADD}"/>
            </c:ext>
          </c:extLst>
        </c:ser>
        <c:ser>
          <c:idx val="3"/>
          <c:order val="3"/>
          <c:tx>
            <c:strRef>
              <c:f>'Revenue Stats'!$A$70</c:f>
              <c:strCache>
                <c:ptCount val="1"/>
                <c:pt idx="0">
                  <c:v>EAME Construction</c:v>
                </c:pt>
              </c:strCache>
            </c:strRef>
          </c:tx>
          <c:spPr>
            <a:solidFill>
              <a:schemeClr val="accent4"/>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Stats'!$B$70:$G$70</c:f>
              <c:numCache>
                <c:formatCode>_(* #,##0_);_(* \(#,##0\);_(* "-"_);_(@_)</c:formatCode>
                <c:ptCount val="6"/>
                <c:pt idx="0">
                  <c:v>2941</c:v>
                </c:pt>
                <c:pt idx="1">
                  <c:v>4768</c:v>
                </c:pt>
                <c:pt idx="2">
                  <c:v>4633</c:v>
                </c:pt>
                <c:pt idx="3">
                  <c:v>4026</c:v>
                </c:pt>
                <c:pt idx="4">
                  <c:v>4267</c:v>
                </c:pt>
                <c:pt idx="5">
                  <c:v>3808</c:v>
                </c:pt>
              </c:numCache>
            </c:numRef>
          </c:val>
          <c:extLst>
            <c:ext xmlns:c16="http://schemas.microsoft.com/office/drawing/2014/chart" uri="{C3380CC4-5D6E-409C-BE32-E72D297353CC}">
              <c16:uniqueId val="{00000003-7E14-4689-A0AE-BCFBFB02CADD}"/>
            </c:ext>
          </c:extLst>
        </c:ser>
        <c:ser>
          <c:idx val="4"/>
          <c:order val="4"/>
          <c:tx>
            <c:strRef>
              <c:f>'Revenue Stats'!$A$71</c:f>
              <c:strCache>
                <c:ptCount val="1"/>
                <c:pt idx="0">
                  <c:v>APAC Energy &amp; Transportation</c:v>
                </c:pt>
              </c:strCache>
            </c:strRef>
          </c:tx>
          <c:spPr>
            <a:solidFill>
              <a:schemeClr val="accent5"/>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Stats'!$B$71:$G$71</c:f>
              <c:numCache>
                <c:formatCode>_(* #,##0_);_(* \(#,##0\);_(* "-"_);_(@_)</c:formatCode>
                <c:ptCount val="6"/>
                <c:pt idx="0">
                  <c:v>2868</c:v>
                </c:pt>
                <c:pt idx="1">
                  <c:v>3668</c:v>
                </c:pt>
                <c:pt idx="2">
                  <c:v>4168</c:v>
                </c:pt>
                <c:pt idx="3">
                  <c:v>4021</c:v>
                </c:pt>
                <c:pt idx="4">
                  <c:v>3855</c:v>
                </c:pt>
                <c:pt idx="5">
                  <c:v>3275</c:v>
                </c:pt>
              </c:numCache>
            </c:numRef>
          </c:val>
          <c:extLst>
            <c:ext xmlns:c16="http://schemas.microsoft.com/office/drawing/2014/chart" uri="{C3380CC4-5D6E-409C-BE32-E72D297353CC}">
              <c16:uniqueId val="{00000004-7E14-4689-A0AE-BCFBFB02CADD}"/>
            </c:ext>
          </c:extLst>
        </c:ser>
        <c:ser>
          <c:idx val="5"/>
          <c:order val="5"/>
          <c:tx>
            <c:strRef>
              <c:f>'Revenue Stats'!$A$72</c:f>
              <c:strCache>
                <c:ptCount val="1"/>
                <c:pt idx="0">
                  <c:v>APAC Construction</c:v>
                </c:pt>
              </c:strCache>
            </c:strRef>
          </c:tx>
          <c:spPr>
            <a:solidFill>
              <a:schemeClr val="accent6"/>
            </a:solidFill>
            <a:ln>
              <a:noFill/>
            </a:ln>
            <a:effectLst/>
          </c:spPr>
          <c:cat>
            <c:numRef>
              <c:f>'Revenue Stats'!$B$66:$G$66</c:f>
              <c:numCache>
                <c:formatCode>General</c:formatCode>
                <c:ptCount val="6"/>
                <c:pt idx="0">
                  <c:v>2010</c:v>
                </c:pt>
                <c:pt idx="1">
                  <c:v>2011</c:v>
                </c:pt>
                <c:pt idx="2">
                  <c:v>2012</c:v>
                </c:pt>
                <c:pt idx="3">
                  <c:v>2013</c:v>
                </c:pt>
                <c:pt idx="4">
                  <c:v>2014</c:v>
                </c:pt>
                <c:pt idx="5">
                  <c:v>2015</c:v>
                </c:pt>
              </c:numCache>
            </c:numRef>
          </c:cat>
          <c:val>
            <c:numRef>
              <c:f>'Revenue Stats'!$B$72:$G$72</c:f>
              <c:numCache>
                <c:formatCode>_(* #,##0_);_(* \(#,##0\);_(* "-"_);_(@_)</c:formatCode>
                <c:ptCount val="6"/>
                <c:pt idx="0">
                  <c:v>4475</c:v>
                </c:pt>
                <c:pt idx="1">
                  <c:v>5869</c:v>
                </c:pt>
                <c:pt idx="2">
                  <c:v>4950</c:v>
                </c:pt>
                <c:pt idx="3">
                  <c:v>4704</c:v>
                </c:pt>
                <c:pt idx="4">
                  <c:v>4247</c:v>
                </c:pt>
                <c:pt idx="5">
                  <c:v>3227</c:v>
                </c:pt>
              </c:numCache>
            </c:numRef>
          </c:val>
          <c:extLst>
            <c:ext xmlns:c16="http://schemas.microsoft.com/office/drawing/2014/chart" uri="{C3380CC4-5D6E-409C-BE32-E72D297353CC}">
              <c16:uniqueId val="{00000005-7E14-4689-A0AE-BCFBFB02CADD}"/>
            </c:ext>
          </c:extLst>
        </c:ser>
        <c:dLbls>
          <c:showLegendKey val="0"/>
          <c:showVal val="0"/>
          <c:showCatName val="0"/>
          <c:showSerName val="0"/>
          <c:showPercent val="0"/>
          <c:showBubbleSize val="0"/>
        </c:dLbls>
        <c:axId val="250818304"/>
        <c:axId val="250821584"/>
      </c:areaChart>
      <c:catAx>
        <c:axId val="250818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821584"/>
        <c:crosses val="autoZero"/>
        <c:auto val="1"/>
        <c:lblAlgn val="ctr"/>
        <c:lblOffset val="100"/>
        <c:noMultiLvlLbl val="0"/>
      </c:catAx>
      <c:valAx>
        <c:axId val="250821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8183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'Revenue Stats'!$A$67</c:f>
              <c:strCache>
                <c:ptCount val="1"/>
                <c:pt idx="0">
                  <c:v>N.A. Construction</c:v>
                </c:pt>
              </c:strCache>
            </c:strRef>
          </c:tx>
          <c:spPr>
            <a:ln w="28575" cap="rnd">
              <a:solidFill>
                <a:srgbClr val="575A5D"/>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Stats'!$B$67:$G$67</c:f>
              <c:numCache>
                <c:formatCode>_(* #,##0_);_(* \(#,##0\);_(* "-"_);_(@_)</c:formatCode>
                <c:ptCount val="6"/>
                <c:pt idx="0">
                  <c:v>4108</c:v>
                </c:pt>
                <c:pt idx="1">
                  <c:v>5985</c:v>
                </c:pt>
                <c:pt idx="2">
                  <c:v>7101</c:v>
                </c:pt>
                <c:pt idx="3">
                  <c:v>7071</c:v>
                </c:pt>
                <c:pt idx="4">
                  <c:v>8403</c:v>
                </c:pt>
                <c:pt idx="5">
                  <c:v>8084</c:v>
                </c:pt>
              </c:numCache>
            </c:numRef>
          </c:val>
          <c:smooth val="0"/>
          <c:extLst>
            <c:ext xmlns:c16="http://schemas.microsoft.com/office/drawing/2014/chart" uri="{C3380CC4-5D6E-409C-BE32-E72D297353CC}">
              <c16:uniqueId val="{00000000-F357-44EB-A86E-5B9F92DF5BC7}"/>
            </c:ext>
          </c:extLst>
        </c:ser>
        <c:ser>
          <c:idx val="1"/>
          <c:order val="1"/>
          <c:tx>
            <c:strRef>
              <c:f>'Revenue Stats'!$A$68</c:f>
              <c:strCache>
                <c:ptCount val="1"/>
                <c:pt idx="0">
                  <c:v>N.A. Energy &amp; Transportation</c:v>
                </c:pt>
              </c:strCache>
            </c:strRef>
          </c:tx>
          <c:spPr>
            <a:ln w="28575" cap="rnd">
              <a:solidFill>
                <a:srgbClr val="0046AD"/>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Stats'!$B$68:$G$68</c:f>
              <c:numCache>
                <c:formatCode>_(* #,##0_);_(* \(#,##0\);_(* "-"_);_(@_)</c:formatCode>
                <c:ptCount val="6"/>
                <c:pt idx="0">
                  <c:v>6376</c:v>
                </c:pt>
                <c:pt idx="1">
                  <c:v>8331</c:v>
                </c:pt>
                <c:pt idx="2">
                  <c:v>8720</c:v>
                </c:pt>
                <c:pt idx="3">
                  <c:v>8231</c:v>
                </c:pt>
                <c:pt idx="4">
                  <c:v>9612</c:v>
                </c:pt>
                <c:pt idx="5">
                  <c:v>7759</c:v>
                </c:pt>
              </c:numCache>
            </c:numRef>
          </c:val>
          <c:smooth val="0"/>
          <c:extLst>
            <c:ext xmlns:c16="http://schemas.microsoft.com/office/drawing/2014/chart" uri="{C3380CC4-5D6E-409C-BE32-E72D297353CC}">
              <c16:uniqueId val="{00000001-F357-44EB-A86E-5B9F92DF5BC7}"/>
            </c:ext>
          </c:extLst>
        </c:ser>
        <c:ser>
          <c:idx val="2"/>
          <c:order val="2"/>
          <c:tx>
            <c:strRef>
              <c:f>'Revenue Stats'!$A$69</c:f>
              <c:strCache>
                <c:ptCount val="1"/>
                <c:pt idx="0">
                  <c:v>EAME Energy &amp; Transportation</c:v>
                </c:pt>
              </c:strCache>
            </c:strRef>
          </c:tx>
          <c:spPr>
            <a:ln w="28575" cap="rnd">
              <a:solidFill>
                <a:srgbClr val="00B050"/>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Stats'!$B$69:$G$69</c:f>
              <c:numCache>
                <c:formatCode>_(* #,##0_);_(* \(#,##0\);_(* "-"_);_(@_)</c:formatCode>
                <c:ptCount val="6"/>
                <c:pt idx="0">
                  <c:v>4393</c:v>
                </c:pt>
                <c:pt idx="1">
                  <c:v>5752</c:v>
                </c:pt>
                <c:pt idx="2">
                  <c:v>6043</c:v>
                </c:pt>
                <c:pt idx="3">
                  <c:v>5735</c:v>
                </c:pt>
                <c:pt idx="4">
                  <c:v>6297</c:v>
                </c:pt>
                <c:pt idx="5">
                  <c:v>5270</c:v>
                </c:pt>
              </c:numCache>
            </c:numRef>
          </c:val>
          <c:smooth val="0"/>
          <c:extLst>
            <c:ext xmlns:c16="http://schemas.microsoft.com/office/drawing/2014/chart" uri="{C3380CC4-5D6E-409C-BE32-E72D297353CC}">
              <c16:uniqueId val="{00000002-F357-44EB-A86E-5B9F92DF5BC7}"/>
            </c:ext>
          </c:extLst>
        </c:ser>
        <c:ser>
          <c:idx val="3"/>
          <c:order val="3"/>
          <c:tx>
            <c:strRef>
              <c:f>'Revenue Stats'!$A$70</c:f>
              <c:strCache>
                <c:ptCount val="1"/>
                <c:pt idx="0">
                  <c:v>EAME Construction</c:v>
                </c:pt>
              </c:strCache>
            </c:strRef>
          </c:tx>
          <c:spPr>
            <a:ln w="19050" cap="rnd">
              <a:solidFill>
                <a:srgbClr val="00B0F0"/>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Stats'!$B$70:$G$70</c:f>
              <c:numCache>
                <c:formatCode>_(* #,##0_);_(* \(#,##0\);_(* "-"_);_(@_)</c:formatCode>
                <c:ptCount val="6"/>
                <c:pt idx="0">
                  <c:v>2941</c:v>
                </c:pt>
                <c:pt idx="1">
                  <c:v>4768</c:v>
                </c:pt>
                <c:pt idx="2">
                  <c:v>4633</c:v>
                </c:pt>
                <c:pt idx="3">
                  <c:v>4026</c:v>
                </c:pt>
                <c:pt idx="4">
                  <c:v>4267</c:v>
                </c:pt>
                <c:pt idx="5">
                  <c:v>3808</c:v>
                </c:pt>
              </c:numCache>
            </c:numRef>
          </c:val>
          <c:smooth val="0"/>
          <c:extLst>
            <c:ext xmlns:c16="http://schemas.microsoft.com/office/drawing/2014/chart" uri="{C3380CC4-5D6E-409C-BE32-E72D297353CC}">
              <c16:uniqueId val="{00000003-F357-44EB-A86E-5B9F92DF5BC7}"/>
            </c:ext>
          </c:extLst>
        </c:ser>
        <c:ser>
          <c:idx val="4"/>
          <c:order val="4"/>
          <c:tx>
            <c:strRef>
              <c:f>'Revenue Stats'!$A$71</c:f>
              <c:strCache>
                <c:ptCount val="1"/>
                <c:pt idx="0">
                  <c:v>APAC Energy &amp; Transportation</c:v>
                </c:pt>
              </c:strCache>
            </c:strRef>
          </c:tx>
          <c:spPr>
            <a:ln w="19050" cap="rnd">
              <a:solidFill>
                <a:schemeClr val="accent2">
                  <a:tint val="70000"/>
                </a:schemeClr>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Stats'!$B$71:$G$71</c:f>
              <c:numCache>
                <c:formatCode>_(* #,##0_);_(* \(#,##0\);_(* "-"_);_(@_)</c:formatCode>
                <c:ptCount val="6"/>
                <c:pt idx="0">
                  <c:v>2868</c:v>
                </c:pt>
                <c:pt idx="1">
                  <c:v>3668</c:v>
                </c:pt>
                <c:pt idx="2">
                  <c:v>4168</c:v>
                </c:pt>
                <c:pt idx="3">
                  <c:v>4021</c:v>
                </c:pt>
                <c:pt idx="4">
                  <c:v>3855</c:v>
                </c:pt>
                <c:pt idx="5">
                  <c:v>3275</c:v>
                </c:pt>
              </c:numCache>
            </c:numRef>
          </c:val>
          <c:smooth val="0"/>
          <c:extLst>
            <c:ext xmlns:c16="http://schemas.microsoft.com/office/drawing/2014/chart" uri="{C3380CC4-5D6E-409C-BE32-E72D297353CC}">
              <c16:uniqueId val="{00000004-F357-44EB-A86E-5B9F92DF5BC7}"/>
            </c:ext>
          </c:extLst>
        </c:ser>
        <c:ser>
          <c:idx val="5"/>
          <c:order val="5"/>
          <c:tx>
            <c:strRef>
              <c:f>'Revenue Stats'!$A$72</c:f>
              <c:strCache>
                <c:ptCount val="1"/>
                <c:pt idx="0">
                  <c:v>APAC Construction</c:v>
                </c:pt>
              </c:strCache>
            </c:strRef>
          </c:tx>
          <c:spPr>
            <a:ln w="19050" cap="rnd">
              <a:solidFill>
                <a:schemeClr val="tx1"/>
              </a:solidFill>
              <a:round/>
            </a:ln>
            <a:effectLst/>
          </c:spPr>
          <c:marker>
            <c:symbol val="none"/>
          </c:marker>
          <c:cat>
            <c:numRef>
              <c:f>'Revenue Stats'!$B$66:$G$66</c:f>
              <c:numCache>
                <c:formatCode>General</c:formatCode>
                <c:ptCount val="6"/>
                <c:pt idx="0">
                  <c:v>2010</c:v>
                </c:pt>
                <c:pt idx="1">
                  <c:v>2011</c:v>
                </c:pt>
                <c:pt idx="2">
                  <c:v>2012</c:v>
                </c:pt>
                <c:pt idx="3">
                  <c:v>2013</c:v>
                </c:pt>
                <c:pt idx="4">
                  <c:v>2014</c:v>
                </c:pt>
                <c:pt idx="5">
                  <c:v>2015</c:v>
                </c:pt>
              </c:numCache>
            </c:numRef>
          </c:cat>
          <c:val>
            <c:numRef>
              <c:f>'Revenue Stats'!$B$72:$G$72</c:f>
              <c:numCache>
                <c:formatCode>_(* #,##0_);_(* \(#,##0\);_(* "-"_);_(@_)</c:formatCode>
                <c:ptCount val="6"/>
                <c:pt idx="0">
                  <c:v>4475</c:v>
                </c:pt>
                <c:pt idx="1">
                  <c:v>5869</c:v>
                </c:pt>
                <c:pt idx="2">
                  <c:v>4950</c:v>
                </c:pt>
                <c:pt idx="3">
                  <c:v>4704</c:v>
                </c:pt>
                <c:pt idx="4">
                  <c:v>4247</c:v>
                </c:pt>
                <c:pt idx="5">
                  <c:v>3227</c:v>
                </c:pt>
              </c:numCache>
            </c:numRef>
          </c:val>
          <c:smooth val="0"/>
          <c:extLst>
            <c:ext xmlns:c16="http://schemas.microsoft.com/office/drawing/2014/chart" uri="{C3380CC4-5D6E-409C-BE32-E72D297353CC}">
              <c16:uniqueId val="{00000005-F357-44EB-A86E-5B9F92DF5BC7}"/>
            </c:ext>
          </c:extLst>
        </c:ser>
        <c:dLbls>
          <c:showLegendKey val="0"/>
          <c:showVal val="0"/>
          <c:showCatName val="0"/>
          <c:showSerName val="0"/>
          <c:showPercent val="0"/>
          <c:showBubbleSize val="0"/>
        </c:dLbls>
        <c:smooth val="0"/>
        <c:axId val="537595976"/>
        <c:axId val="537592040"/>
      </c:lineChart>
      <c:catAx>
        <c:axId val="53759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92040"/>
        <c:crosses val="autoZero"/>
        <c:auto val="1"/>
        <c:lblAlgn val="ctr"/>
        <c:lblOffset val="100"/>
        <c:noMultiLvlLbl val="0"/>
      </c:catAx>
      <c:valAx>
        <c:axId val="5375920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95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a:t>
            </a:r>
            <a:r>
              <a:rPr lang="en-US" sz="1200" baseline="0"/>
              <a:t> Revenue and Revenue Growth Rate</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'Revenue Data'!$B$1</c:f>
              <c:strCache>
                <c:ptCount val="1"/>
                <c:pt idx="0">
                  <c:v>TTM Revenue (LHS)</c:v>
                </c:pt>
              </c:strCache>
            </c:strRef>
          </c:tx>
          <c:spPr>
            <a:ln w="19050" cap="rnd">
              <a:solidFill>
                <a:srgbClr val="0049AA"/>
              </a:solidFill>
              <a:round/>
            </a:ln>
            <a:effectLst/>
          </c:spPr>
          <c:marker>
            <c:symbol val="none"/>
          </c:marker>
          <c:dLbls>
            <c:dLbl>
              <c:idx val="14"/>
              <c:layout>
                <c:manualLayout>
                  <c:x val="-9.0740753972113439E-2"/>
                  <c:y val="-5.59720198663942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21-4E48-BAB7-F6343D8B6701}"/>
                </c:ext>
              </c:extLst>
            </c:dLbl>
            <c:dLbl>
              <c:idx val="30"/>
              <c:layout>
                <c:manualLayout>
                  <c:x val="0"/>
                  <c:y val="4.197901489979576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21-4E48-BAB7-F6343D8B6701}"/>
                </c:ext>
              </c:extLst>
            </c:dLbl>
            <c:dLbl>
              <c:idx val="56"/>
              <c:layout>
                <c:manualLayout>
                  <c:x val="0"/>
                  <c:y val="-5.13076848775281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21-4E48-BAB7-F6343D8B6701}"/>
                </c:ext>
              </c:extLst>
            </c:dLbl>
            <c:dLbl>
              <c:idx val="73"/>
              <c:layout>
                <c:manualLayout>
                  <c:x val="1.481481697503893E-2"/>
                  <c:y val="5.13076848775281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21-4E48-BAB7-F6343D8B67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'Revenue Data'!$A$2:$A$129</c:f>
              <c:numCache>
                <c:formatCode>m/d/yyyy</c:formatCode>
                <c:ptCount val="128"/>
                <c:pt idx="0">
                  <c:v>31047</c:v>
                </c:pt>
                <c:pt idx="1">
                  <c:v>31137</c:v>
                </c:pt>
                <c:pt idx="2">
                  <c:v>31228</c:v>
                </c:pt>
                <c:pt idx="3">
                  <c:v>31320</c:v>
                </c:pt>
                <c:pt idx="4">
                  <c:v>31412</c:v>
                </c:pt>
                <c:pt idx="5">
                  <c:v>31502</c:v>
                </c:pt>
                <c:pt idx="6">
                  <c:v>31593</c:v>
                </c:pt>
                <c:pt idx="7">
                  <c:v>31685</c:v>
                </c:pt>
                <c:pt idx="8">
                  <c:v>31777</c:v>
                </c:pt>
                <c:pt idx="9">
                  <c:v>31867</c:v>
                </c:pt>
                <c:pt idx="10">
                  <c:v>31958</c:v>
                </c:pt>
                <c:pt idx="11">
                  <c:v>32050</c:v>
                </c:pt>
                <c:pt idx="12">
                  <c:v>32142</c:v>
                </c:pt>
                <c:pt idx="13">
                  <c:v>32233</c:v>
                </c:pt>
                <c:pt idx="14">
                  <c:v>32324</c:v>
                </c:pt>
                <c:pt idx="15">
                  <c:v>32416</c:v>
                </c:pt>
                <c:pt idx="16">
                  <c:v>32508</c:v>
                </c:pt>
                <c:pt idx="17">
                  <c:v>32598</c:v>
                </c:pt>
                <c:pt idx="18">
                  <c:v>32689</c:v>
                </c:pt>
                <c:pt idx="19">
                  <c:v>32781</c:v>
                </c:pt>
                <c:pt idx="20">
                  <c:v>32873</c:v>
                </c:pt>
                <c:pt idx="21">
                  <c:v>32963</c:v>
                </c:pt>
                <c:pt idx="22">
                  <c:v>33054</c:v>
                </c:pt>
                <c:pt idx="23">
                  <c:v>33146</c:v>
                </c:pt>
                <c:pt idx="24">
                  <c:v>33238</c:v>
                </c:pt>
                <c:pt idx="25">
                  <c:v>33328</c:v>
                </c:pt>
                <c:pt idx="26">
                  <c:v>33419</c:v>
                </c:pt>
                <c:pt idx="27">
                  <c:v>33511</c:v>
                </c:pt>
                <c:pt idx="28">
                  <c:v>33603</c:v>
                </c:pt>
                <c:pt idx="29">
                  <c:v>33694</c:v>
                </c:pt>
                <c:pt idx="30">
                  <c:v>33785</c:v>
                </c:pt>
                <c:pt idx="31">
                  <c:v>33877</c:v>
                </c:pt>
                <c:pt idx="32">
                  <c:v>33969</c:v>
                </c:pt>
                <c:pt idx="33">
                  <c:v>34059</c:v>
                </c:pt>
                <c:pt idx="34">
                  <c:v>34150</c:v>
                </c:pt>
                <c:pt idx="35">
                  <c:v>34242</c:v>
                </c:pt>
                <c:pt idx="36">
                  <c:v>34334</c:v>
                </c:pt>
                <c:pt idx="37">
                  <c:v>34424</c:v>
                </c:pt>
                <c:pt idx="38">
                  <c:v>34515</c:v>
                </c:pt>
                <c:pt idx="39">
                  <c:v>34607</c:v>
                </c:pt>
                <c:pt idx="40">
                  <c:v>34699</c:v>
                </c:pt>
                <c:pt idx="41">
                  <c:v>34789</c:v>
                </c:pt>
                <c:pt idx="42">
                  <c:v>34880</c:v>
                </c:pt>
                <c:pt idx="43">
                  <c:v>34972</c:v>
                </c:pt>
                <c:pt idx="44">
                  <c:v>35064</c:v>
                </c:pt>
                <c:pt idx="45">
                  <c:v>35155</c:v>
                </c:pt>
                <c:pt idx="46">
                  <c:v>35246</c:v>
                </c:pt>
                <c:pt idx="47">
                  <c:v>35338</c:v>
                </c:pt>
                <c:pt idx="48">
                  <c:v>35430</c:v>
                </c:pt>
                <c:pt idx="49">
                  <c:v>35520</c:v>
                </c:pt>
                <c:pt idx="50">
                  <c:v>35611</c:v>
                </c:pt>
                <c:pt idx="51">
                  <c:v>35703</c:v>
                </c:pt>
                <c:pt idx="52">
                  <c:v>35795</c:v>
                </c:pt>
                <c:pt idx="53">
                  <c:v>35885</c:v>
                </c:pt>
                <c:pt idx="54">
                  <c:v>35976</c:v>
                </c:pt>
                <c:pt idx="55">
                  <c:v>36068</c:v>
                </c:pt>
                <c:pt idx="56">
                  <c:v>36160</c:v>
                </c:pt>
                <c:pt idx="57">
                  <c:v>36250</c:v>
                </c:pt>
                <c:pt idx="58">
                  <c:v>36341</c:v>
                </c:pt>
                <c:pt idx="59">
                  <c:v>36433</c:v>
                </c:pt>
                <c:pt idx="60">
                  <c:v>36525</c:v>
                </c:pt>
                <c:pt idx="61">
                  <c:v>36616</c:v>
                </c:pt>
                <c:pt idx="62">
                  <c:v>36707</c:v>
                </c:pt>
                <c:pt idx="63">
                  <c:v>36799</c:v>
                </c:pt>
                <c:pt idx="64">
                  <c:v>36891</c:v>
                </c:pt>
                <c:pt idx="65">
                  <c:v>36981</c:v>
                </c:pt>
                <c:pt idx="66">
                  <c:v>37072</c:v>
                </c:pt>
                <c:pt idx="67">
                  <c:v>37164</c:v>
                </c:pt>
                <c:pt idx="68">
                  <c:v>37256</c:v>
                </c:pt>
                <c:pt idx="69">
                  <c:v>37346</c:v>
                </c:pt>
                <c:pt idx="70">
                  <c:v>37437</c:v>
                </c:pt>
                <c:pt idx="71">
                  <c:v>37529</c:v>
                </c:pt>
                <c:pt idx="72">
                  <c:v>37621</c:v>
                </c:pt>
                <c:pt idx="73">
                  <c:v>37711</c:v>
                </c:pt>
                <c:pt idx="74">
                  <c:v>37802</c:v>
                </c:pt>
                <c:pt idx="75">
                  <c:v>37894</c:v>
                </c:pt>
                <c:pt idx="76">
                  <c:v>37986</c:v>
                </c:pt>
                <c:pt idx="77">
                  <c:v>38077</c:v>
                </c:pt>
                <c:pt idx="78">
                  <c:v>38168</c:v>
                </c:pt>
                <c:pt idx="79">
                  <c:v>38260</c:v>
                </c:pt>
                <c:pt idx="80">
                  <c:v>38352</c:v>
                </c:pt>
                <c:pt idx="81">
                  <c:v>38442</c:v>
                </c:pt>
                <c:pt idx="82">
                  <c:v>38533</c:v>
                </c:pt>
                <c:pt idx="83">
                  <c:v>38625</c:v>
                </c:pt>
                <c:pt idx="84">
                  <c:v>38717</c:v>
                </c:pt>
                <c:pt idx="85">
                  <c:v>38807</c:v>
                </c:pt>
                <c:pt idx="86">
                  <c:v>38898</c:v>
                </c:pt>
                <c:pt idx="87">
                  <c:v>38990</c:v>
                </c:pt>
                <c:pt idx="88">
                  <c:v>39082</c:v>
                </c:pt>
                <c:pt idx="89">
                  <c:v>39172</c:v>
                </c:pt>
                <c:pt idx="90">
                  <c:v>39263</c:v>
                </c:pt>
                <c:pt idx="91">
                  <c:v>39355</c:v>
                </c:pt>
                <c:pt idx="92">
                  <c:v>39447</c:v>
                </c:pt>
                <c:pt idx="93">
                  <c:v>39538</c:v>
                </c:pt>
                <c:pt idx="94">
                  <c:v>39629</c:v>
                </c:pt>
                <c:pt idx="95">
                  <c:v>39721</c:v>
                </c:pt>
                <c:pt idx="96">
                  <c:v>39813</c:v>
                </c:pt>
                <c:pt idx="97">
                  <c:v>39903</c:v>
                </c:pt>
                <c:pt idx="98">
                  <c:v>39994</c:v>
                </c:pt>
                <c:pt idx="99">
                  <c:v>40086</c:v>
                </c:pt>
                <c:pt idx="100">
                  <c:v>40178</c:v>
                </c:pt>
                <c:pt idx="101">
                  <c:v>40268</c:v>
                </c:pt>
                <c:pt idx="102">
                  <c:v>40359</c:v>
                </c:pt>
                <c:pt idx="103">
                  <c:v>40451</c:v>
                </c:pt>
                <c:pt idx="104">
                  <c:v>40543</c:v>
                </c:pt>
                <c:pt idx="105">
                  <c:v>40633</c:v>
                </c:pt>
                <c:pt idx="106">
                  <c:v>40724</c:v>
                </c:pt>
                <c:pt idx="107">
                  <c:v>40816</c:v>
                </c:pt>
                <c:pt idx="108">
                  <c:v>40908</c:v>
                </c:pt>
                <c:pt idx="109">
                  <c:v>40999</c:v>
                </c:pt>
                <c:pt idx="110">
                  <c:v>41090</c:v>
                </c:pt>
                <c:pt idx="111">
                  <c:v>41182</c:v>
                </c:pt>
                <c:pt idx="112">
                  <c:v>41274</c:v>
                </c:pt>
                <c:pt idx="113">
                  <c:v>41364</c:v>
                </c:pt>
                <c:pt idx="114">
                  <c:v>41455</c:v>
                </c:pt>
                <c:pt idx="115">
                  <c:v>41547</c:v>
                </c:pt>
                <c:pt idx="116">
                  <c:v>41639</c:v>
                </c:pt>
                <c:pt idx="117">
                  <c:v>41729</c:v>
                </c:pt>
                <c:pt idx="118">
                  <c:v>41820</c:v>
                </c:pt>
                <c:pt idx="119">
                  <c:v>41912</c:v>
                </c:pt>
                <c:pt idx="120">
                  <c:v>42004</c:v>
                </c:pt>
                <c:pt idx="121">
                  <c:v>42094</c:v>
                </c:pt>
                <c:pt idx="122">
                  <c:v>42185</c:v>
                </c:pt>
                <c:pt idx="123">
                  <c:v>42277</c:v>
                </c:pt>
                <c:pt idx="124">
                  <c:v>42369</c:v>
                </c:pt>
                <c:pt idx="125">
                  <c:v>42460</c:v>
                </c:pt>
                <c:pt idx="126">
                  <c:v>42551</c:v>
                </c:pt>
                <c:pt idx="127">
                  <c:v>42643</c:v>
                </c:pt>
              </c:numCache>
            </c:numRef>
          </c:cat>
          <c:val>
            <c:numRef>
              <c:f>'Revenue Data'!$B$2:$B$129</c:f>
              <c:numCache>
                <c:formatCode>_(* #,##0_);_(* \(#,##0\);_(* "-"??_);_(@_)</c:formatCode>
                <c:ptCount val="128"/>
                <c:pt idx="0">
                  <c:v>6576</c:v>
                </c:pt>
                <c:pt idx="1">
                  <c:v>6666</c:v>
                </c:pt>
                <c:pt idx="2">
                  <c:v>6478</c:v>
                </c:pt>
                <c:pt idx="3">
                  <c:v>6575</c:v>
                </c:pt>
                <c:pt idx="4">
                  <c:v>6725</c:v>
                </c:pt>
                <c:pt idx="5">
                  <c:v>6985</c:v>
                </c:pt>
                <c:pt idx="6">
                  <c:v>7335</c:v>
                </c:pt>
                <c:pt idx="7">
                  <c:v>7351</c:v>
                </c:pt>
                <c:pt idx="8">
                  <c:v>7321</c:v>
                </c:pt>
                <c:pt idx="9">
                  <c:v>7233</c:v>
                </c:pt>
                <c:pt idx="10">
                  <c:v>7286</c:v>
                </c:pt>
                <c:pt idx="11">
                  <c:v>7714</c:v>
                </c:pt>
                <c:pt idx="12">
                  <c:v>8180</c:v>
                </c:pt>
                <c:pt idx="13">
                  <c:v>8915</c:v>
                </c:pt>
                <c:pt idx="14">
                  <c:v>9475</c:v>
                </c:pt>
                <c:pt idx="15">
                  <c:v>10014</c:v>
                </c:pt>
                <c:pt idx="16">
                  <c:v>10435</c:v>
                </c:pt>
                <c:pt idx="17">
                  <c:v>10733</c:v>
                </c:pt>
                <c:pt idx="18">
                  <c:v>11172</c:v>
                </c:pt>
                <c:pt idx="19">
                  <c:v>11026</c:v>
                </c:pt>
                <c:pt idx="20">
                  <c:v>11126</c:v>
                </c:pt>
                <c:pt idx="21">
                  <c:v>11383</c:v>
                </c:pt>
                <c:pt idx="22">
                  <c:v>11289</c:v>
                </c:pt>
                <c:pt idx="23">
                  <c:v>11441</c:v>
                </c:pt>
                <c:pt idx="24">
                  <c:v>11436</c:v>
                </c:pt>
                <c:pt idx="25">
                  <c:v>11174</c:v>
                </c:pt>
                <c:pt idx="26">
                  <c:v>10918</c:v>
                </c:pt>
                <c:pt idx="27">
                  <c:v>10481</c:v>
                </c:pt>
                <c:pt idx="28">
                  <c:v>10182</c:v>
                </c:pt>
                <c:pt idx="29">
                  <c:v>9690</c:v>
                </c:pt>
                <c:pt idx="30">
                  <c:v>9599</c:v>
                </c:pt>
                <c:pt idx="31">
                  <c:v>9918</c:v>
                </c:pt>
                <c:pt idx="32">
                  <c:v>10194</c:v>
                </c:pt>
                <c:pt idx="33">
                  <c:v>10708</c:v>
                </c:pt>
                <c:pt idx="34">
                  <c:v>11013</c:v>
                </c:pt>
                <c:pt idx="35">
                  <c:v>11181</c:v>
                </c:pt>
                <c:pt idx="36">
                  <c:v>11615</c:v>
                </c:pt>
                <c:pt idx="37">
                  <c:v>12204</c:v>
                </c:pt>
                <c:pt idx="38">
                  <c:v>12904</c:v>
                </c:pt>
                <c:pt idx="39">
                  <c:v>13568</c:v>
                </c:pt>
                <c:pt idx="40">
                  <c:v>14328</c:v>
                </c:pt>
                <c:pt idx="41">
                  <c:v>14955</c:v>
                </c:pt>
                <c:pt idx="42">
                  <c:v>15563</c:v>
                </c:pt>
                <c:pt idx="43">
                  <c:v>15787</c:v>
                </c:pt>
                <c:pt idx="44">
                  <c:v>16072</c:v>
                </c:pt>
                <c:pt idx="45">
                  <c:v>16003</c:v>
                </c:pt>
                <c:pt idx="46">
                  <c:v>15970</c:v>
                </c:pt>
                <c:pt idx="47">
                  <c:v>16270</c:v>
                </c:pt>
                <c:pt idx="48">
                  <c:v>16522</c:v>
                </c:pt>
                <c:pt idx="49">
                  <c:v>16940</c:v>
                </c:pt>
                <c:pt idx="50">
                  <c:v>17630</c:v>
                </c:pt>
                <c:pt idx="51">
                  <c:v>18197</c:v>
                </c:pt>
                <c:pt idx="52">
                  <c:v>18925</c:v>
                </c:pt>
                <c:pt idx="53">
                  <c:v>19457</c:v>
                </c:pt>
                <c:pt idx="54">
                  <c:v>20191</c:v>
                </c:pt>
                <c:pt idx="55">
                  <c:v>20764</c:v>
                </c:pt>
                <c:pt idx="56">
                  <c:v>20977</c:v>
                </c:pt>
                <c:pt idx="57">
                  <c:v>21050</c:v>
                </c:pt>
                <c:pt idx="58">
                  <c:v>20547</c:v>
                </c:pt>
                <c:pt idx="59">
                  <c:v>20089</c:v>
                </c:pt>
                <c:pt idx="60">
                  <c:v>19702</c:v>
                </c:pt>
                <c:pt idx="61">
                  <c:v>19754</c:v>
                </c:pt>
                <c:pt idx="62">
                  <c:v>20016</c:v>
                </c:pt>
                <c:pt idx="63">
                  <c:v>20080</c:v>
                </c:pt>
                <c:pt idx="64">
                  <c:v>20175</c:v>
                </c:pt>
                <c:pt idx="65">
                  <c:v>20066</c:v>
                </c:pt>
                <c:pt idx="66">
                  <c:v>20191</c:v>
                </c:pt>
                <c:pt idx="67">
                  <c:v>20468</c:v>
                </c:pt>
                <c:pt idx="68">
                  <c:v>20450</c:v>
                </c:pt>
                <c:pt idx="69">
                  <c:v>20049</c:v>
                </c:pt>
                <c:pt idx="70">
                  <c:v>19852</c:v>
                </c:pt>
                <c:pt idx="71">
                  <c:v>19871</c:v>
                </c:pt>
                <c:pt idx="72">
                  <c:v>20152</c:v>
                </c:pt>
                <c:pt idx="73">
                  <c:v>20564</c:v>
                </c:pt>
                <c:pt idx="74">
                  <c:v>21205</c:v>
                </c:pt>
                <c:pt idx="75">
                  <c:v>21675</c:v>
                </c:pt>
                <c:pt idx="76">
                  <c:v>22807</c:v>
                </c:pt>
                <c:pt idx="77">
                  <c:v>24466</c:v>
                </c:pt>
                <c:pt idx="78">
                  <c:v>26117</c:v>
                </c:pt>
                <c:pt idx="79">
                  <c:v>28231</c:v>
                </c:pt>
                <c:pt idx="80">
                  <c:v>30306</c:v>
                </c:pt>
                <c:pt idx="81">
                  <c:v>32165</c:v>
                </c:pt>
                <c:pt idx="82">
                  <c:v>33942</c:v>
                </c:pt>
                <c:pt idx="83">
                  <c:v>35260</c:v>
                </c:pt>
                <c:pt idx="84">
                  <c:v>36339</c:v>
                </c:pt>
                <c:pt idx="85">
                  <c:v>37392</c:v>
                </c:pt>
                <c:pt idx="86">
                  <c:v>38637</c:v>
                </c:pt>
                <c:pt idx="87">
                  <c:v>40177</c:v>
                </c:pt>
                <c:pt idx="88">
                  <c:v>41517</c:v>
                </c:pt>
                <c:pt idx="89">
                  <c:v>42141</c:v>
                </c:pt>
                <c:pt idx="90">
                  <c:v>42892</c:v>
                </c:pt>
                <c:pt idx="91">
                  <c:v>43817</c:v>
                </c:pt>
                <c:pt idx="92">
                  <c:v>44958</c:v>
                </c:pt>
                <c:pt idx="93">
                  <c:v>46738</c:v>
                </c:pt>
                <c:pt idx="94">
                  <c:v>49006</c:v>
                </c:pt>
                <c:pt idx="95">
                  <c:v>50545</c:v>
                </c:pt>
                <c:pt idx="96">
                  <c:v>51324</c:v>
                </c:pt>
                <c:pt idx="97">
                  <c:v>48753</c:v>
                </c:pt>
                <c:pt idx="98">
                  <c:v>43104</c:v>
                </c:pt>
                <c:pt idx="99">
                  <c:v>37421</c:v>
                </c:pt>
                <c:pt idx="100">
                  <c:v>32396</c:v>
                </c:pt>
                <c:pt idx="101">
                  <c:v>31409</c:v>
                </c:pt>
                <c:pt idx="102">
                  <c:v>33843</c:v>
                </c:pt>
                <c:pt idx="103">
                  <c:v>37679</c:v>
                </c:pt>
                <c:pt idx="104">
                  <c:v>42588</c:v>
                </c:pt>
                <c:pt idx="105">
                  <c:v>47299</c:v>
                </c:pt>
                <c:pt idx="106">
                  <c:v>51120</c:v>
                </c:pt>
                <c:pt idx="107">
                  <c:v>55702</c:v>
                </c:pt>
                <c:pt idx="108">
                  <c:v>60138</c:v>
                </c:pt>
                <c:pt idx="109">
                  <c:v>63170</c:v>
                </c:pt>
                <c:pt idx="110">
                  <c:v>66314</c:v>
                </c:pt>
                <c:pt idx="111">
                  <c:v>67043</c:v>
                </c:pt>
                <c:pt idx="112">
                  <c:v>65875</c:v>
                </c:pt>
                <c:pt idx="113">
                  <c:v>63104</c:v>
                </c:pt>
                <c:pt idx="114">
                  <c:v>60351</c:v>
                </c:pt>
                <c:pt idx="115">
                  <c:v>57329</c:v>
                </c:pt>
                <c:pt idx="116">
                  <c:v>55656</c:v>
                </c:pt>
                <c:pt idx="117">
                  <c:v>55687</c:v>
                </c:pt>
                <c:pt idx="118">
                  <c:v>55216</c:v>
                </c:pt>
                <c:pt idx="119">
                  <c:v>55342</c:v>
                </c:pt>
                <c:pt idx="120">
                  <c:v>55184</c:v>
                </c:pt>
                <c:pt idx="121">
                  <c:v>54645</c:v>
                </c:pt>
                <c:pt idx="122">
                  <c:v>52812</c:v>
                </c:pt>
                <c:pt idx="123">
                  <c:v>50225</c:v>
                </c:pt>
                <c:pt idx="124">
                  <c:v>47011</c:v>
                </c:pt>
                <c:pt idx="125">
                  <c:v>43770</c:v>
                </c:pt>
                <c:pt idx="126">
                  <c:v>41795</c:v>
                </c:pt>
                <c:pt idx="127">
                  <c:v>39993</c:v>
                </c:pt>
              </c:numCache>
            </c:numRef>
          </c:val>
          <c:smooth val="0"/>
          <c:extLst>
            <c:ext xmlns:c16="http://schemas.microsoft.com/office/drawing/2014/chart" uri="{C3380CC4-5D6E-409C-BE32-E72D297353CC}">
              <c16:uniqueId val="{00000004-AD21-4E48-BAB7-F6343D8B6701}"/>
            </c:ext>
          </c:extLst>
        </c:ser>
        <c:dLbls>
          <c:showLegendKey val="0"/>
          <c:showVal val="0"/>
          <c:showCatName val="0"/>
          <c:showSerName val="0"/>
          <c:showPercent val="0"/>
          <c:showBubbleSize val="0"/>
        </c:dLbls>
        <c:marker val="1"/>
        <c:smooth val="0"/>
        <c:axId val="536721544"/>
        <c:axId val="536721872"/>
      </c:lineChart>
      <c:lineChart>
        <c:grouping val="standard"/>
        <c:varyColors val="0"/>
        <c:ser>
          <c:idx val="1"/>
          <c:order val="1"/>
          <c:tx>
            <c:strRef>
              <c:f>'Revenue Data'!$C$1</c:f>
              <c:strCache>
                <c:ptCount val="1"/>
                <c:pt idx="0">
                  <c:v>5-Year CAGR (RHS)</c:v>
                </c:pt>
              </c:strCache>
            </c:strRef>
          </c:tx>
          <c:spPr>
            <a:ln w="19050" cap="rnd">
              <a:solidFill>
                <a:srgbClr val="575A5D"/>
              </a:solidFill>
              <a:round/>
            </a:ln>
            <a:effectLst/>
          </c:spPr>
          <c:marker>
            <c:symbol val="none"/>
          </c:marker>
          <c:dLbls>
            <c:dLbl>
              <c:idx val="95"/>
              <c:layout>
                <c:manualLayout>
                  <c:x val="2.59259297063181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21-4E48-BAB7-F6343D8B6701}"/>
                </c:ext>
              </c:extLst>
            </c:dLbl>
            <c:dLbl>
              <c:idx val="101"/>
              <c:layout>
                <c:manualLayout>
                  <c:x val="1.481481697503893E-2"/>
                  <c:y val="-8.5511820289368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21-4E48-BAB7-F6343D8B67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'Revenue Data'!$A$2:$A$129</c:f>
              <c:numCache>
                <c:formatCode>m/d/yyyy</c:formatCode>
                <c:ptCount val="128"/>
                <c:pt idx="0">
                  <c:v>31047</c:v>
                </c:pt>
                <c:pt idx="1">
                  <c:v>31137</c:v>
                </c:pt>
                <c:pt idx="2">
                  <c:v>31228</c:v>
                </c:pt>
                <c:pt idx="3">
                  <c:v>31320</c:v>
                </c:pt>
                <c:pt idx="4">
                  <c:v>31412</c:v>
                </c:pt>
                <c:pt idx="5">
                  <c:v>31502</c:v>
                </c:pt>
                <c:pt idx="6">
                  <c:v>31593</c:v>
                </c:pt>
                <c:pt idx="7">
                  <c:v>31685</c:v>
                </c:pt>
                <c:pt idx="8">
                  <c:v>31777</c:v>
                </c:pt>
                <c:pt idx="9">
                  <c:v>31867</c:v>
                </c:pt>
                <c:pt idx="10">
                  <c:v>31958</c:v>
                </c:pt>
                <c:pt idx="11">
                  <c:v>32050</c:v>
                </c:pt>
                <c:pt idx="12">
                  <c:v>32142</c:v>
                </c:pt>
                <c:pt idx="13">
                  <c:v>32233</c:v>
                </c:pt>
                <c:pt idx="14">
                  <c:v>32324</c:v>
                </c:pt>
                <c:pt idx="15">
                  <c:v>32416</c:v>
                </c:pt>
                <c:pt idx="16">
                  <c:v>32508</c:v>
                </c:pt>
                <c:pt idx="17">
                  <c:v>32598</c:v>
                </c:pt>
                <c:pt idx="18">
                  <c:v>32689</c:v>
                </c:pt>
                <c:pt idx="19">
                  <c:v>32781</c:v>
                </c:pt>
                <c:pt idx="20">
                  <c:v>32873</c:v>
                </c:pt>
                <c:pt idx="21">
                  <c:v>32963</c:v>
                </c:pt>
                <c:pt idx="22">
                  <c:v>33054</c:v>
                </c:pt>
                <c:pt idx="23">
                  <c:v>33146</c:v>
                </c:pt>
                <c:pt idx="24">
                  <c:v>33238</c:v>
                </c:pt>
                <c:pt idx="25">
                  <c:v>33328</c:v>
                </c:pt>
                <c:pt idx="26">
                  <c:v>33419</c:v>
                </c:pt>
                <c:pt idx="27">
                  <c:v>33511</c:v>
                </c:pt>
                <c:pt idx="28">
                  <c:v>33603</c:v>
                </c:pt>
                <c:pt idx="29">
                  <c:v>33694</c:v>
                </c:pt>
                <c:pt idx="30">
                  <c:v>33785</c:v>
                </c:pt>
                <c:pt idx="31">
                  <c:v>33877</c:v>
                </c:pt>
                <c:pt idx="32">
                  <c:v>33969</c:v>
                </c:pt>
                <c:pt idx="33">
                  <c:v>34059</c:v>
                </c:pt>
                <c:pt idx="34">
                  <c:v>34150</c:v>
                </c:pt>
                <c:pt idx="35">
                  <c:v>34242</c:v>
                </c:pt>
                <c:pt idx="36">
                  <c:v>34334</c:v>
                </c:pt>
                <c:pt idx="37">
                  <c:v>34424</c:v>
                </c:pt>
                <c:pt idx="38">
                  <c:v>34515</c:v>
                </c:pt>
                <c:pt idx="39">
                  <c:v>34607</c:v>
                </c:pt>
                <c:pt idx="40">
                  <c:v>34699</c:v>
                </c:pt>
                <c:pt idx="41">
                  <c:v>34789</c:v>
                </c:pt>
                <c:pt idx="42">
                  <c:v>34880</c:v>
                </c:pt>
                <c:pt idx="43">
                  <c:v>34972</c:v>
                </c:pt>
                <c:pt idx="44">
                  <c:v>35064</c:v>
                </c:pt>
                <c:pt idx="45">
                  <c:v>35155</c:v>
                </c:pt>
                <c:pt idx="46">
                  <c:v>35246</c:v>
                </c:pt>
                <c:pt idx="47">
                  <c:v>35338</c:v>
                </c:pt>
                <c:pt idx="48">
                  <c:v>35430</c:v>
                </c:pt>
                <c:pt idx="49">
                  <c:v>35520</c:v>
                </c:pt>
                <c:pt idx="50">
                  <c:v>35611</c:v>
                </c:pt>
                <c:pt idx="51">
                  <c:v>35703</c:v>
                </c:pt>
                <c:pt idx="52">
                  <c:v>35795</c:v>
                </c:pt>
                <c:pt idx="53">
                  <c:v>35885</c:v>
                </c:pt>
                <c:pt idx="54">
                  <c:v>35976</c:v>
                </c:pt>
                <c:pt idx="55">
                  <c:v>36068</c:v>
                </c:pt>
                <c:pt idx="56">
                  <c:v>36160</c:v>
                </c:pt>
                <c:pt idx="57">
                  <c:v>36250</c:v>
                </c:pt>
                <c:pt idx="58">
                  <c:v>36341</c:v>
                </c:pt>
                <c:pt idx="59">
                  <c:v>36433</c:v>
                </c:pt>
                <c:pt idx="60">
                  <c:v>36525</c:v>
                </c:pt>
                <c:pt idx="61">
                  <c:v>36616</c:v>
                </c:pt>
                <c:pt idx="62">
                  <c:v>36707</c:v>
                </c:pt>
                <c:pt idx="63">
                  <c:v>36799</c:v>
                </c:pt>
                <c:pt idx="64">
                  <c:v>36891</c:v>
                </c:pt>
                <c:pt idx="65">
                  <c:v>36981</c:v>
                </c:pt>
                <c:pt idx="66">
                  <c:v>37072</c:v>
                </c:pt>
                <c:pt idx="67">
                  <c:v>37164</c:v>
                </c:pt>
                <c:pt idx="68">
                  <c:v>37256</c:v>
                </c:pt>
                <c:pt idx="69">
                  <c:v>37346</c:v>
                </c:pt>
                <c:pt idx="70">
                  <c:v>37437</c:v>
                </c:pt>
                <c:pt idx="71">
                  <c:v>37529</c:v>
                </c:pt>
                <c:pt idx="72">
                  <c:v>37621</c:v>
                </c:pt>
                <c:pt idx="73">
                  <c:v>37711</c:v>
                </c:pt>
                <c:pt idx="74">
                  <c:v>37802</c:v>
                </c:pt>
                <c:pt idx="75">
                  <c:v>37894</c:v>
                </c:pt>
                <c:pt idx="76">
                  <c:v>37986</c:v>
                </c:pt>
                <c:pt idx="77">
                  <c:v>38077</c:v>
                </c:pt>
                <c:pt idx="78">
                  <c:v>38168</c:v>
                </c:pt>
                <c:pt idx="79">
                  <c:v>38260</c:v>
                </c:pt>
                <c:pt idx="80">
                  <c:v>38352</c:v>
                </c:pt>
                <c:pt idx="81">
                  <c:v>38442</c:v>
                </c:pt>
                <c:pt idx="82">
                  <c:v>38533</c:v>
                </c:pt>
                <c:pt idx="83">
                  <c:v>38625</c:v>
                </c:pt>
                <c:pt idx="84">
                  <c:v>38717</c:v>
                </c:pt>
                <c:pt idx="85">
                  <c:v>38807</c:v>
                </c:pt>
                <c:pt idx="86">
                  <c:v>38898</c:v>
                </c:pt>
                <c:pt idx="87">
                  <c:v>38990</c:v>
                </c:pt>
                <c:pt idx="88">
                  <c:v>39082</c:v>
                </c:pt>
                <c:pt idx="89">
                  <c:v>39172</c:v>
                </c:pt>
                <c:pt idx="90">
                  <c:v>39263</c:v>
                </c:pt>
                <c:pt idx="91">
                  <c:v>39355</c:v>
                </c:pt>
                <c:pt idx="92">
                  <c:v>39447</c:v>
                </c:pt>
                <c:pt idx="93">
                  <c:v>39538</c:v>
                </c:pt>
                <c:pt idx="94">
                  <c:v>39629</c:v>
                </c:pt>
                <c:pt idx="95">
                  <c:v>39721</c:v>
                </c:pt>
                <c:pt idx="96">
                  <c:v>39813</c:v>
                </c:pt>
                <c:pt idx="97">
                  <c:v>39903</c:v>
                </c:pt>
                <c:pt idx="98">
                  <c:v>39994</c:v>
                </c:pt>
                <c:pt idx="99">
                  <c:v>40086</c:v>
                </c:pt>
                <c:pt idx="100">
                  <c:v>40178</c:v>
                </c:pt>
                <c:pt idx="101">
                  <c:v>40268</c:v>
                </c:pt>
                <c:pt idx="102">
                  <c:v>40359</c:v>
                </c:pt>
                <c:pt idx="103">
                  <c:v>40451</c:v>
                </c:pt>
                <c:pt idx="104">
                  <c:v>40543</c:v>
                </c:pt>
                <c:pt idx="105">
                  <c:v>40633</c:v>
                </c:pt>
                <c:pt idx="106">
                  <c:v>40724</c:v>
                </c:pt>
                <c:pt idx="107">
                  <c:v>40816</c:v>
                </c:pt>
                <c:pt idx="108">
                  <c:v>40908</c:v>
                </c:pt>
                <c:pt idx="109">
                  <c:v>40999</c:v>
                </c:pt>
                <c:pt idx="110">
                  <c:v>41090</c:v>
                </c:pt>
                <c:pt idx="111">
                  <c:v>41182</c:v>
                </c:pt>
                <c:pt idx="112">
                  <c:v>41274</c:v>
                </c:pt>
                <c:pt idx="113">
                  <c:v>41364</c:v>
                </c:pt>
                <c:pt idx="114">
                  <c:v>41455</c:v>
                </c:pt>
                <c:pt idx="115">
                  <c:v>41547</c:v>
                </c:pt>
                <c:pt idx="116">
                  <c:v>41639</c:v>
                </c:pt>
                <c:pt idx="117">
                  <c:v>41729</c:v>
                </c:pt>
                <c:pt idx="118">
                  <c:v>41820</c:v>
                </c:pt>
                <c:pt idx="119">
                  <c:v>41912</c:v>
                </c:pt>
                <c:pt idx="120">
                  <c:v>42004</c:v>
                </c:pt>
                <c:pt idx="121">
                  <c:v>42094</c:v>
                </c:pt>
                <c:pt idx="122">
                  <c:v>42185</c:v>
                </c:pt>
                <c:pt idx="123">
                  <c:v>42277</c:v>
                </c:pt>
                <c:pt idx="124">
                  <c:v>42369</c:v>
                </c:pt>
                <c:pt idx="125">
                  <c:v>42460</c:v>
                </c:pt>
                <c:pt idx="126">
                  <c:v>42551</c:v>
                </c:pt>
                <c:pt idx="127">
                  <c:v>42643</c:v>
                </c:pt>
              </c:numCache>
            </c:numRef>
          </c:cat>
          <c:val>
            <c:numRef>
              <c:f>'Revenue Data'!$C$2:$C$129</c:f>
              <c:numCache>
                <c:formatCode>General</c:formatCode>
                <c:ptCount val="128"/>
                <c:pt idx="20" formatCode="0%">
                  <c:v>0.11090123662602358</c:v>
                </c:pt>
                <c:pt idx="21" formatCode="0%">
                  <c:v>0.11295674364827679</c:v>
                </c:pt>
                <c:pt idx="22" formatCode="0%">
                  <c:v>0.11748809690091622</c:v>
                </c:pt>
                <c:pt idx="23" formatCode="0%">
                  <c:v>0.11715554553255303</c:v>
                </c:pt>
                <c:pt idx="24" formatCode="0%">
                  <c:v>0.11202966184583629</c:v>
                </c:pt>
                <c:pt idx="25" formatCode="0%">
                  <c:v>9.8521221932142522E-2</c:v>
                </c:pt>
                <c:pt idx="26" formatCode="0%">
                  <c:v>8.2800865801720303E-2</c:v>
                </c:pt>
                <c:pt idx="27" formatCode="0%">
                  <c:v>7.3522767912413967E-2</c:v>
                </c:pt>
                <c:pt idx="28" formatCode="0%">
                  <c:v>6.8199910313498924E-2</c:v>
                </c:pt>
                <c:pt idx="29" formatCode="0%">
                  <c:v>6.0232376919638231E-2</c:v>
                </c:pt>
                <c:pt idx="30" formatCode="0%">
                  <c:v>5.6689434209019618E-2</c:v>
                </c:pt>
                <c:pt idx="31" formatCode="0%">
                  <c:v>5.1547496797280434E-2</c:v>
                </c:pt>
                <c:pt idx="32" formatCode="0%">
                  <c:v>4.500475146264038E-2</c:v>
                </c:pt>
                <c:pt idx="33" formatCode="0%">
                  <c:v>3.7331110559180924E-2</c:v>
                </c:pt>
                <c:pt idx="34" formatCode="0%">
                  <c:v>3.0541022027346987E-2</c:v>
                </c:pt>
                <c:pt idx="35" formatCode="0%">
                  <c:v>2.2291175821184117E-2</c:v>
                </c:pt>
                <c:pt idx="36" formatCode="0%">
                  <c:v>2.1657557954917195E-2</c:v>
                </c:pt>
                <c:pt idx="37" formatCode="0%">
                  <c:v>2.6020915348792695E-2</c:v>
                </c:pt>
                <c:pt idx="38" formatCode="0%">
                  <c:v>2.9244809381950398E-2</c:v>
                </c:pt>
                <c:pt idx="39" formatCode="0%">
                  <c:v>4.2364397381712271E-2</c:v>
                </c:pt>
                <c:pt idx="40" formatCode="0%">
                  <c:v>5.1887522286805599E-2</c:v>
                </c:pt>
                <c:pt idx="41" formatCode="0%">
                  <c:v>5.6102173221026952E-2</c:v>
                </c:pt>
                <c:pt idx="42" formatCode="0%">
                  <c:v>6.6320034202286049E-2</c:v>
                </c:pt>
                <c:pt idx="43" formatCode="0%">
                  <c:v>6.6515384839407776E-2</c:v>
                </c:pt>
                <c:pt idx="44" formatCode="0%">
                  <c:v>7.0432176941702673E-2</c:v>
                </c:pt>
                <c:pt idx="45" formatCode="0%">
                  <c:v>7.4480523386530662E-2</c:v>
                </c:pt>
                <c:pt idx="46" formatCode="0%">
                  <c:v>7.9027132332900374E-2</c:v>
                </c:pt>
                <c:pt idx="47" formatCode="0%">
                  <c:v>9.1935451697573445E-2</c:v>
                </c:pt>
                <c:pt idx="48" formatCode="0%">
                  <c:v>0.10165574864940585</c:v>
                </c:pt>
                <c:pt idx="49" formatCode="0%">
                  <c:v>0.11819597790203629</c:v>
                </c:pt>
                <c:pt idx="50" formatCode="0%">
                  <c:v>0.12928943235161672</c:v>
                </c:pt>
                <c:pt idx="51" formatCode="0%">
                  <c:v>0.12905510364080341</c:v>
                </c:pt>
                <c:pt idx="52" formatCode="0%">
                  <c:v>0.13171807394941215</c:v>
                </c:pt>
                <c:pt idx="53" formatCode="0%">
                  <c:v>0.12686918578036188</c:v>
                </c:pt>
                <c:pt idx="54" formatCode="0%">
                  <c:v>0.12888691182570589</c:v>
                </c:pt>
                <c:pt idx="55" formatCode="0%">
                  <c:v>0.13179057897411095</c:v>
                </c:pt>
                <c:pt idx="56" formatCode="0%">
                  <c:v>0.12549827266744451</c:v>
                </c:pt>
                <c:pt idx="57" formatCode="0%">
                  <c:v>0.1151928601005805</c:v>
                </c:pt>
                <c:pt idx="58" formatCode="0%">
                  <c:v>9.7500718692627997E-2</c:v>
                </c:pt>
                <c:pt idx="59" formatCode="0%">
                  <c:v>8.1654339001547394E-2</c:v>
                </c:pt>
                <c:pt idx="60" formatCode="0%">
                  <c:v>6.5773575793065531E-2</c:v>
                </c:pt>
                <c:pt idx="61" formatCode="0%">
                  <c:v>5.7240341759126512E-2</c:v>
                </c:pt>
                <c:pt idx="62" formatCode="0%">
                  <c:v>5.1615055262136167E-2</c:v>
                </c:pt>
                <c:pt idx="63" formatCode="0%">
                  <c:v>4.9283442673015099E-2</c:v>
                </c:pt>
                <c:pt idx="64" formatCode="0%">
                  <c:v>4.6522870905424174E-2</c:v>
                </c:pt>
                <c:pt idx="65" formatCode="0%">
                  <c:v>4.6289532619237406E-2</c:v>
                </c:pt>
                <c:pt idx="66" formatCode="0%">
                  <c:v>4.802244187062632E-2</c:v>
                </c:pt>
                <c:pt idx="67" formatCode="0%">
                  <c:v>4.6978036320894256E-2</c:v>
                </c:pt>
                <c:pt idx="68" formatCode="0%">
                  <c:v>4.3580940896033926E-2</c:v>
                </c:pt>
                <c:pt idx="69" formatCode="0%">
                  <c:v>3.4274606377757033E-2</c:v>
                </c:pt>
                <c:pt idx="70" formatCode="0%">
                  <c:v>2.4024602556810493E-2</c:v>
                </c:pt>
                <c:pt idx="71" formatCode="0%">
                  <c:v>1.7756736527419825E-2</c:v>
                </c:pt>
                <c:pt idx="72" formatCode="0%">
                  <c:v>1.2643205922558298E-2</c:v>
                </c:pt>
                <c:pt idx="73" formatCode="0%">
                  <c:v>1.1128480282895037E-2</c:v>
                </c:pt>
                <c:pt idx="74" formatCode="0%">
                  <c:v>9.8481858055017302E-3</c:v>
                </c:pt>
                <c:pt idx="75" formatCode="0%">
                  <c:v>8.6247415437006314E-3</c:v>
                </c:pt>
                <c:pt idx="76" formatCode="0%">
                  <c:v>1.6868880873757153E-2</c:v>
                </c:pt>
                <c:pt idx="77" formatCode="0%">
                  <c:v>3.0533642613743694E-2</c:v>
                </c:pt>
                <c:pt idx="78" formatCode="0%">
                  <c:v>4.9143691651577059E-2</c:v>
                </c:pt>
                <c:pt idx="79" formatCode="0%">
                  <c:v>7.0418456297209442E-2</c:v>
                </c:pt>
                <c:pt idx="80" formatCode="0%">
                  <c:v>8.9942684527360983E-2</c:v>
                </c:pt>
                <c:pt idx="81" formatCode="0%">
                  <c:v>0.1024164911433858</c:v>
                </c:pt>
                <c:pt idx="82" formatCode="0%">
                  <c:v>0.1114041838834221</c:v>
                </c:pt>
                <c:pt idx="83" formatCode="0%">
                  <c:v>0.11918973928870424</c:v>
                </c:pt>
                <c:pt idx="84" formatCode="0%">
                  <c:v>0.1248947391842703</c:v>
                </c:pt>
                <c:pt idx="85" formatCode="0%">
                  <c:v>0.13256615021900453</c:v>
                </c:pt>
                <c:pt idx="86" formatCode="0%">
                  <c:v>0.13859458445239481</c:v>
                </c:pt>
                <c:pt idx="87" formatCode="0%">
                  <c:v>0.14440677273382874</c:v>
                </c:pt>
                <c:pt idx="88" formatCode="0%">
                  <c:v>0.15214338409021422</c:v>
                </c:pt>
                <c:pt idx="89" formatCode="0%">
                  <c:v>0.16017211865706704</c:v>
                </c:pt>
                <c:pt idx="90" formatCode="0%">
                  <c:v>0.16657967659244122</c:v>
                </c:pt>
                <c:pt idx="91" formatCode="0%">
                  <c:v>0.17134433970778296</c:v>
                </c:pt>
                <c:pt idx="92" formatCode="0%">
                  <c:v>0.17408020443928529</c:v>
                </c:pt>
                <c:pt idx="93" formatCode="0%">
                  <c:v>0.17845364983006284</c:v>
                </c:pt>
                <c:pt idx="94" formatCode="0%">
                  <c:v>0.18239394154179545</c:v>
                </c:pt>
                <c:pt idx="95" formatCode="0%">
                  <c:v>0.18452387569918804</c:v>
                </c:pt>
                <c:pt idx="96" formatCode="0%">
                  <c:v>0.17611683558612312</c:v>
                </c:pt>
                <c:pt idx="97" formatCode="0%">
                  <c:v>0.14785670316284483</c:v>
                </c:pt>
                <c:pt idx="98" formatCode="0%">
                  <c:v>0.105398464566971</c:v>
                </c:pt>
                <c:pt idx="99" formatCode="0%">
                  <c:v>5.7980895239939212E-2</c:v>
                </c:pt>
                <c:pt idx="100" formatCode="0%">
                  <c:v>1.3427195029774408E-2</c:v>
                </c:pt>
                <c:pt idx="101" formatCode="0%">
                  <c:v>-4.7455897001386083E-3</c:v>
                </c:pt>
                <c:pt idx="102" formatCode="0%">
                  <c:v>-5.8402984777305988E-4</c:v>
                </c:pt>
                <c:pt idx="103" formatCode="0%">
                  <c:v>1.3359193799870717E-2</c:v>
                </c:pt>
                <c:pt idx="104" formatCode="0%">
                  <c:v>3.2245158723606115E-2</c:v>
                </c:pt>
                <c:pt idx="105" formatCode="0%">
                  <c:v>4.8128795865384211E-2</c:v>
                </c:pt>
                <c:pt idx="106" formatCode="0%">
                  <c:v>5.7590374385017684E-2</c:v>
                </c:pt>
                <c:pt idx="107" formatCode="0%">
                  <c:v>6.7526480678094414E-2</c:v>
                </c:pt>
                <c:pt idx="108" formatCode="0%">
                  <c:v>7.6922878465615296E-2</c:v>
                </c:pt>
                <c:pt idx="109" formatCode="0%">
                  <c:v>8.4329336982097436E-2</c:v>
                </c:pt>
                <c:pt idx="110" formatCode="0%">
                  <c:v>9.1052843575705866E-2</c:v>
                </c:pt>
                <c:pt idx="111" formatCode="0%">
                  <c:v>8.8785077633602105E-2</c:v>
                </c:pt>
                <c:pt idx="112" formatCode="0%">
                  <c:v>7.9400783696338406E-2</c:v>
                </c:pt>
                <c:pt idx="113" formatCode="0%">
                  <c:v>6.1884674461467171E-2</c:v>
                </c:pt>
                <c:pt idx="114" formatCode="0%">
                  <c:v>4.2526355643559333E-2</c:v>
                </c:pt>
                <c:pt idx="115" formatCode="0%">
                  <c:v>2.5508426083273417E-2</c:v>
                </c:pt>
                <c:pt idx="116" formatCode="0%">
                  <c:v>1.6338316000721331E-2</c:v>
                </c:pt>
                <c:pt idx="117" formatCode="0%">
                  <c:v>2.6952828461521028E-2</c:v>
                </c:pt>
                <c:pt idx="118" formatCode="0%">
                  <c:v>5.0774375920053183E-2</c:v>
                </c:pt>
                <c:pt idx="119" formatCode="0%">
                  <c:v>8.1403802195008534E-2</c:v>
                </c:pt>
                <c:pt idx="120" formatCode="0%">
                  <c:v>0.11240865026057612</c:v>
                </c:pt>
                <c:pt idx="121" formatCode="0%">
                  <c:v>0.1171185518574609</c:v>
                </c:pt>
                <c:pt idx="122" formatCode="0%">
                  <c:v>9.3082023623752619E-2</c:v>
                </c:pt>
                <c:pt idx="123" formatCode="0%">
                  <c:v>5.9166205623449208E-2</c:v>
                </c:pt>
                <c:pt idx="124" formatCode="0%">
                  <c:v>1.9958376066359751E-2</c:v>
                </c:pt>
                <c:pt idx="125" formatCode="0%">
                  <c:v>-1.5388469111024872E-2</c:v>
                </c:pt>
                <c:pt idx="126" formatCode="0%">
                  <c:v>-3.9479370361268362E-2</c:v>
                </c:pt>
                <c:pt idx="127" formatCode="0%">
                  <c:v>-6.4114671996229777E-2</c:v>
                </c:pt>
              </c:numCache>
            </c:numRef>
          </c:val>
          <c:smooth val="0"/>
          <c:extLst>
            <c:ext xmlns:c16="http://schemas.microsoft.com/office/drawing/2014/chart" uri="{C3380CC4-5D6E-409C-BE32-E72D297353CC}">
              <c16:uniqueId val="{00000007-AD21-4E48-BAB7-F6343D8B6701}"/>
            </c:ext>
          </c:extLst>
        </c:ser>
        <c:dLbls>
          <c:showLegendKey val="0"/>
          <c:showVal val="0"/>
          <c:showCatName val="0"/>
          <c:showSerName val="0"/>
          <c:showPercent val="0"/>
          <c:showBubbleSize val="0"/>
        </c:dLbls>
        <c:marker val="1"/>
        <c:smooth val="0"/>
        <c:axId val="252648432"/>
        <c:axId val="252652368"/>
      </c:lineChart>
      <c:dateAx>
        <c:axId val="536721544"/>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536721872"/>
        <c:crosses val="autoZero"/>
        <c:auto val="1"/>
        <c:lblOffset val="100"/>
        <c:baseTimeUnit val="months"/>
        <c:majorUnit val="60"/>
        <c:majorTimeUnit val="months"/>
      </c:dateAx>
      <c:valAx>
        <c:axId val="536721872"/>
        <c:scaling>
          <c:orientation val="minMax"/>
        </c:scaling>
        <c:delete val="0"/>
        <c:axPos val="l"/>
        <c:majorGridlines>
          <c:spPr>
            <a:ln w="9525" cap="flat" cmpd="sng" algn="ctr">
              <a:solidFill>
                <a:srgbClr val="0049AA">
                  <a:alpha val="30000"/>
                </a:srgb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536721544"/>
        <c:crosses val="autoZero"/>
        <c:crossBetween val="between"/>
      </c:valAx>
      <c:valAx>
        <c:axId val="252652368"/>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252648432"/>
        <c:crosses val="max"/>
        <c:crossBetween val="between"/>
      </c:valAx>
      <c:dateAx>
        <c:axId val="252648432"/>
        <c:scaling>
          <c:orientation val="minMax"/>
        </c:scaling>
        <c:delete val="1"/>
        <c:axPos val="b"/>
        <c:numFmt formatCode="m/d/yyyy" sourceLinked="1"/>
        <c:majorTickMark val="out"/>
        <c:minorTickMark val="none"/>
        <c:tickLblPos val="nextTo"/>
        <c:crossAx val="252652368"/>
        <c:crosses val="autoZero"/>
        <c:auto val="1"/>
        <c:lblOffset val="100"/>
        <c:baseTimeUnit val="month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a:t>
            </a:r>
            <a:r>
              <a:rPr lang="en-US" sz="1200" baseline="0"/>
              <a:t> Revenue and Revenue Growth Rate</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'Revenue Data'!$B$1</c:f>
              <c:strCache>
                <c:ptCount val="1"/>
                <c:pt idx="0">
                  <c:v>TTM Revenue (LHS)</c:v>
                </c:pt>
              </c:strCache>
            </c:strRef>
          </c:tx>
          <c:spPr>
            <a:ln w="19050" cap="rnd">
              <a:solidFill>
                <a:srgbClr val="0049AA"/>
              </a:solidFill>
              <a:round/>
            </a:ln>
            <a:effectLst/>
          </c:spPr>
          <c:marker>
            <c:symbol val="none"/>
          </c:marker>
          <c:dLbls>
            <c:dLbl>
              <c:idx val="14"/>
              <c:layout>
                <c:manualLayout>
                  <c:x val="-9.0740753972113439E-2"/>
                  <c:y val="-5.59720198663942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63-4F92-BCA9-E219B2238E74}"/>
                </c:ext>
              </c:extLst>
            </c:dLbl>
            <c:dLbl>
              <c:idx val="30"/>
              <c:layout>
                <c:manualLayout>
                  <c:x val="0"/>
                  <c:y val="4.197901489979576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63-4F92-BCA9-E219B2238E74}"/>
                </c:ext>
              </c:extLst>
            </c:dLbl>
            <c:dLbl>
              <c:idx val="56"/>
              <c:layout>
                <c:manualLayout>
                  <c:x val="0"/>
                  <c:y val="-5.13076848775281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63-4F92-BCA9-E219B2238E74}"/>
                </c:ext>
              </c:extLst>
            </c:dLbl>
            <c:dLbl>
              <c:idx val="73"/>
              <c:layout>
                <c:manualLayout>
                  <c:x val="1.481481697503893E-2"/>
                  <c:y val="5.13076848775281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63-4F92-BCA9-E219B2238E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'Revenue Data'!$A$2:$A$130</c:f>
              <c:numCache>
                <c:formatCode>m/d/yyyy</c:formatCode>
                <c:ptCount val="129"/>
                <c:pt idx="0">
                  <c:v>31047</c:v>
                </c:pt>
                <c:pt idx="1">
                  <c:v>31137</c:v>
                </c:pt>
                <c:pt idx="2">
                  <c:v>31228</c:v>
                </c:pt>
                <c:pt idx="3">
                  <c:v>31320</c:v>
                </c:pt>
                <c:pt idx="4">
                  <c:v>31412</c:v>
                </c:pt>
                <c:pt idx="5">
                  <c:v>31502</c:v>
                </c:pt>
                <c:pt idx="6">
                  <c:v>31593</c:v>
                </c:pt>
                <c:pt idx="7">
                  <c:v>31685</c:v>
                </c:pt>
                <c:pt idx="8">
                  <c:v>31777</c:v>
                </c:pt>
                <c:pt idx="9">
                  <c:v>31867</c:v>
                </c:pt>
                <c:pt idx="10">
                  <c:v>31958</c:v>
                </c:pt>
                <c:pt idx="11">
                  <c:v>32050</c:v>
                </c:pt>
                <c:pt idx="12">
                  <c:v>32142</c:v>
                </c:pt>
                <c:pt idx="13">
                  <c:v>32233</c:v>
                </c:pt>
                <c:pt idx="14">
                  <c:v>32324</c:v>
                </c:pt>
                <c:pt idx="15">
                  <c:v>32416</c:v>
                </c:pt>
                <c:pt idx="16">
                  <c:v>32508</c:v>
                </c:pt>
                <c:pt idx="17">
                  <c:v>32598</c:v>
                </c:pt>
                <c:pt idx="18">
                  <c:v>32689</c:v>
                </c:pt>
                <c:pt idx="19">
                  <c:v>32781</c:v>
                </c:pt>
                <c:pt idx="20">
                  <c:v>32873</c:v>
                </c:pt>
                <c:pt idx="21">
                  <c:v>32963</c:v>
                </c:pt>
                <c:pt idx="22">
                  <c:v>33054</c:v>
                </c:pt>
                <c:pt idx="23">
                  <c:v>33146</c:v>
                </c:pt>
                <c:pt idx="24">
                  <c:v>33238</c:v>
                </c:pt>
                <c:pt idx="25">
                  <c:v>33328</c:v>
                </c:pt>
                <c:pt idx="26">
                  <c:v>33419</c:v>
                </c:pt>
                <c:pt idx="27">
                  <c:v>33511</c:v>
                </c:pt>
                <c:pt idx="28">
                  <c:v>33603</c:v>
                </c:pt>
                <c:pt idx="29">
                  <c:v>33694</c:v>
                </c:pt>
                <c:pt idx="30">
                  <c:v>33785</c:v>
                </c:pt>
                <c:pt idx="31">
                  <c:v>33877</c:v>
                </c:pt>
                <c:pt idx="32">
                  <c:v>33969</c:v>
                </c:pt>
                <c:pt idx="33">
                  <c:v>34059</c:v>
                </c:pt>
                <c:pt idx="34">
                  <c:v>34150</c:v>
                </c:pt>
                <c:pt idx="35">
                  <c:v>34242</c:v>
                </c:pt>
                <c:pt idx="36">
                  <c:v>34334</c:v>
                </c:pt>
                <c:pt idx="37">
                  <c:v>34424</c:v>
                </c:pt>
                <c:pt idx="38">
                  <c:v>34515</c:v>
                </c:pt>
                <c:pt idx="39">
                  <c:v>34607</c:v>
                </c:pt>
                <c:pt idx="40">
                  <c:v>34699</c:v>
                </c:pt>
                <c:pt idx="41">
                  <c:v>34789</c:v>
                </c:pt>
                <c:pt idx="42">
                  <c:v>34880</c:v>
                </c:pt>
                <c:pt idx="43">
                  <c:v>34972</c:v>
                </c:pt>
                <c:pt idx="44">
                  <c:v>35064</c:v>
                </c:pt>
                <c:pt idx="45">
                  <c:v>35155</c:v>
                </c:pt>
                <c:pt idx="46">
                  <c:v>35246</c:v>
                </c:pt>
                <c:pt idx="47">
                  <c:v>35338</c:v>
                </c:pt>
                <c:pt idx="48">
                  <c:v>35430</c:v>
                </c:pt>
                <c:pt idx="49">
                  <c:v>35520</c:v>
                </c:pt>
                <c:pt idx="50">
                  <c:v>35611</c:v>
                </c:pt>
                <c:pt idx="51">
                  <c:v>35703</c:v>
                </c:pt>
                <c:pt idx="52">
                  <c:v>35795</c:v>
                </c:pt>
                <c:pt idx="53">
                  <c:v>35885</c:v>
                </c:pt>
                <c:pt idx="54">
                  <c:v>35976</c:v>
                </c:pt>
                <c:pt idx="55">
                  <c:v>36068</c:v>
                </c:pt>
                <c:pt idx="56">
                  <c:v>36160</c:v>
                </c:pt>
                <c:pt idx="57">
                  <c:v>36250</c:v>
                </c:pt>
                <c:pt idx="58">
                  <c:v>36341</c:v>
                </c:pt>
                <c:pt idx="59">
                  <c:v>36433</c:v>
                </c:pt>
                <c:pt idx="60">
                  <c:v>36525</c:v>
                </c:pt>
                <c:pt idx="61">
                  <c:v>36616</c:v>
                </c:pt>
                <c:pt idx="62">
                  <c:v>36707</c:v>
                </c:pt>
                <c:pt idx="63">
                  <c:v>36799</c:v>
                </c:pt>
                <c:pt idx="64">
                  <c:v>36891</c:v>
                </c:pt>
                <c:pt idx="65">
                  <c:v>36981</c:v>
                </c:pt>
                <c:pt idx="66">
                  <c:v>37072</c:v>
                </c:pt>
                <c:pt idx="67">
                  <c:v>37164</c:v>
                </c:pt>
                <c:pt idx="68">
                  <c:v>37256</c:v>
                </c:pt>
                <c:pt idx="69">
                  <c:v>37346</c:v>
                </c:pt>
                <c:pt idx="70">
                  <c:v>37437</c:v>
                </c:pt>
                <c:pt idx="71">
                  <c:v>37529</c:v>
                </c:pt>
                <c:pt idx="72">
                  <c:v>37621</c:v>
                </c:pt>
                <c:pt idx="73">
                  <c:v>37711</c:v>
                </c:pt>
                <c:pt idx="74">
                  <c:v>37802</c:v>
                </c:pt>
                <c:pt idx="75">
                  <c:v>37894</c:v>
                </c:pt>
                <c:pt idx="76">
                  <c:v>37986</c:v>
                </c:pt>
                <c:pt idx="77">
                  <c:v>38077</c:v>
                </c:pt>
                <c:pt idx="78">
                  <c:v>38168</c:v>
                </c:pt>
                <c:pt idx="79">
                  <c:v>38260</c:v>
                </c:pt>
                <c:pt idx="80">
                  <c:v>38352</c:v>
                </c:pt>
                <c:pt idx="81">
                  <c:v>38442</c:v>
                </c:pt>
                <c:pt idx="82">
                  <c:v>38533</c:v>
                </c:pt>
                <c:pt idx="83">
                  <c:v>38625</c:v>
                </c:pt>
                <c:pt idx="84">
                  <c:v>38717</c:v>
                </c:pt>
                <c:pt idx="85">
                  <c:v>38807</c:v>
                </c:pt>
                <c:pt idx="86">
                  <c:v>38898</c:v>
                </c:pt>
                <c:pt idx="87">
                  <c:v>38990</c:v>
                </c:pt>
                <c:pt idx="88">
                  <c:v>39082</c:v>
                </c:pt>
                <c:pt idx="89">
                  <c:v>39172</c:v>
                </c:pt>
                <c:pt idx="90">
                  <c:v>39263</c:v>
                </c:pt>
                <c:pt idx="91">
                  <c:v>39355</c:v>
                </c:pt>
                <c:pt idx="92">
                  <c:v>39447</c:v>
                </c:pt>
                <c:pt idx="93">
                  <c:v>39538</c:v>
                </c:pt>
                <c:pt idx="94">
                  <c:v>39629</c:v>
                </c:pt>
                <c:pt idx="95">
                  <c:v>39721</c:v>
                </c:pt>
                <c:pt idx="96">
                  <c:v>39813</c:v>
                </c:pt>
                <c:pt idx="97">
                  <c:v>39903</c:v>
                </c:pt>
                <c:pt idx="98">
                  <c:v>39994</c:v>
                </c:pt>
                <c:pt idx="99">
                  <c:v>40086</c:v>
                </c:pt>
                <c:pt idx="100">
                  <c:v>40178</c:v>
                </c:pt>
                <c:pt idx="101">
                  <c:v>40268</c:v>
                </c:pt>
                <c:pt idx="102">
                  <c:v>40359</c:v>
                </c:pt>
                <c:pt idx="103">
                  <c:v>40451</c:v>
                </c:pt>
                <c:pt idx="104">
                  <c:v>40543</c:v>
                </c:pt>
                <c:pt idx="105">
                  <c:v>40633</c:v>
                </c:pt>
                <c:pt idx="106">
                  <c:v>40724</c:v>
                </c:pt>
                <c:pt idx="107">
                  <c:v>40816</c:v>
                </c:pt>
                <c:pt idx="108">
                  <c:v>40908</c:v>
                </c:pt>
                <c:pt idx="109">
                  <c:v>40999</c:v>
                </c:pt>
                <c:pt idx="110">
                  <c:v>41090</c:v>
                </c:pt>
                <c:pt idx="111">
                  <c:v>41182</c:v>
                </c:pt>
                <c:pt idx="112">
                  <c:v>41274</c:v>
                </c:pt>
                <c:pt idx="113">
                  <c:v>41364</c:v>
                </c:pt>
                <c:pt idx="114">
                  <c:v>41455</c:v>
                </c:pt>
                <c:pt idx="115">
                  <c:v>41547</c:v>
                </c:pt>
                <c:pt idx="116">
                  <c:v>41639</c:v>
                </c:pt>
                <c:pt idx="117">
                  <c:v>41729</c:v>
                </c:pt>
                <c:pt idx="118">
                  <c:v>41820</c:v>
                </c:pt>
                <c:pt idx="119">
                  <c:v>41912</c:v>
                </c:pt>
                <c:pt idx="120">
                  <c:v>42004</c:v>
                </c:pt>
                <c:pt idx="121">
                  <c:v>42094</c:v>
                </c:pt>
                <c:pt idx="122">
                  <c:v>42185</c:v>
                </c:pt>
                <c:pt idx="123">
                  <c:v>42277</c:v>
                </c:pt>
                <c:pt idx="124">
                  <c:v>42369</c:v>
                </c:pt>
                <c:pt idx="125">
                  <c:v>42460</c:v>
                </c:pt>
                <c:pt idx="126">
                  <c:v>42551</c:v>
                </c:pt>
                <c:pt idx="127">
                  <c:v>42643</c:v>
                </c:pt>
                <c:pt idx="128">
                  <c:v>42735</c:v>
                </c:pt>
              </c:numCache>
            </c:numRef>
          </c:cat>
          <c:val>
            <c:numRef>
              <c:f>'Revenue Data'!$B$2:$B$130</c:f>
              <c:numCache>
                <c:formatCode>_(* #,##0_);_(* \(#,##0\);_(* "-"??_);_(@_)</c:formatCode>
                <c:ptCount val="129"/>
                <c:pt idx="0">
                  <c:v>6576</c:v>
                </c:pt>
                <c:pt idx="1">
                  <c:v>6666</c:v>
                </c:pt>
                <c:pt idx="2">
                  <c:v>6478</c:v>
                </c:pt>
                <c:pt idx="3">
                  <c:v>6575</c:v>
                </c:pt>
                <c:pt idx="4">
                  <c:v>6725</c:v>
                </c:pt>
                <c:pt idx="5">
                  <c:v>6985</c:v>
                </c:pt>
                <c:pt idx="6">
                  <c:v>7335</c:v>
                </c:pt>
                <c:pt idx="7">
                  <c:v>7351</c:v>
                </c:pt>
                <c:pt idx="8">
                  <c:v>7321</c:v>
                </c:pt>
                <c:pt idx="9">
                  <c:v>7233</c:v>
                </c:pt>
                <c:pt idx="10">
                  <c:v>7286</c:v>
                </c:pt>
                <c:pt idx="11">
                  <c:v>7714</c:v>
                </c:pt>
                <c:pt idx="12">
                  <c:v>8180</c:v>
                </c:pt>
                <c:pt idx="13">
                  <c:v>8915</c:v>
                </c:pt>
                <c:pt idx="14">
                  <c:v>9475</c:v>
                </c:pt>
                <c:pt idx="15">
                  <c:v>10014</c:v>
                </c:pt>
                <c:pt idx="16">
                  <c:v>10435</c:v>
                </c:pt>
                <c:pt idx="17">
                  <c:v>10733</c:v>
                </c:pt>
                <c:pt idx="18">
                  <c:v>11172</c:v>
                </c:pt>
                <c:pt idx="19">
                  <c:v>11026</c:v>
                </c:pt>
                <c:pt idx="20">
                  <c:v>11126</c:v>
                </c:pt>
                <c:pt idx="21">
                  <c:v>11383</c:v>
                </c:pt>
                <c:pt idx="22">
                  <c:v>11289</c:v>
                </c:pt>
                <c:pt idx="23">
                  <c:v>11441</c:v>
                </c:pt>
                <c:pt idx="24">
                  <c:v>11436</c:v>
                </c:pt>
                <c:pt idx="25">
                  <c:v>11174</c:v>
                </c:pt>
                <c:pt idx="26">
                  <c:v>10918</c:v>
                </c:pt>
                <c:pt idx="27">
                  <c:v>10481</c:v>
                </c:pt>
                <c:pt idx="28">
                  <c:v>10182</c:v>
                </c:pt>
                <c:pt idx="29">
                  <c:v>9690</c:v>
                </c:pt>
                <c:pt idx="30">
                  <c:v>9599</c:v>
                </c:pt>
                <c:pt idx="31">
                  <c:v>9918</c:v>
                </c:pt>
                <c:pt idx="32">
                  <c:v>10194</c:v>
                </c:pt>
                <c:pt idx="33">
                  <c:v>10708</c:v>
                </c:pt>
                <c:pt idx="34">
                  <c:v>11013</c:v>
                </c:pt>
                <c:pt idx="35">
                  <c:v>11181</c:v>
                </c:pt>
                <c:pt idx="36">
                  <c:v>11615</c:v>
                </c:pt>
                <c:pt idx="37">
                  <c:v>12204</c:v>
                </c:pt>
                <c:pt idx="38">
                  <c:v>12904</c:v>
                </c:pt>
                <c:pt idx="39">
                  <c:v>13568</c:v>
                </c:pt>
                <c:pt idx="40">
                  <c:v>14328</c:v>
                </c:pt>
                <c:pt idx="41">
                  <c:v>14955</c:v>
                </c:pt>
                <c:pt idx="42">
                  <c:v>15563</c:v>
                </c:pt>
                <c:pt idx="43">
                  <c:v>15787</c:v>
                </c:pt>
                <c:pt idx="44">
                  <c:v>16072</c:v>
                </c:pt>
                <c:pt idx="45">
                  <c:v>16003</c:v>
                </c:pt>
                <c:pt idx="46">
                  <c:v>15970</c:v>
                </c:pt>
                <c:pt idx="47">
                  <c:v>16270</c:v>
                </c:pt>
                <c:pt idx="48">
                  <c:v>16522</c:v>
                </c:pt>
                <c:pt idx="49">
                  <c:v>16940</c:v>
                </c:pt>
                <c:pt idx="50">
                  <c:v>17630</c:v>
                </c:pt>
                <c:pt idx="51">
                  <c:v>18197</c:v>
                </c:pt>
                <c:pt idx="52">
                  <c:v>18925</c:v>
                </c:pt>
                <c:pt idx="53">
                  <c:v>19457</c:v>
                </c:pt>
                <c:pt idx="54">
                  <c:v>20191</c:v>
                </c:pt>
                <c:pt idx="55">
                  <c:v>20764</c:v>
                </c:pt>
                <c:pt idx="56">
                  <c:v>20977</c:v>
                </c:pt>
                <c:pt idx="57">
                  <c:v>21050</c:v>
                </c:pt>
                <c:pt idx="58">
                  <c:v>20547</c:v>
                </c:pt>
                <c:pt idx="59">
                  <c:v>20089</c:v>
                </c:pt>
                <c:pt idx="60">
                  <c:v>19702</c:v>
                </c:pt>
                <c:pt idx="61">
                  <c:v>19754</c:v>
                </c:pt>
                <c:pt idx="62">
                  <c:v>20016</c:v>
                </c:pt>
                <c:pt idx="63">
                  <c:v>20080</c:v>
                </c:pt>
                <c:pt idx="64">
                  <c:v>20175</c:v>
                </c:pt>
                <c:pt idx="65">
                  <c:v>20066</c:v>
                </c:pt>
                <c:pt idx="66">
                  <c:v>20191</c:v>
                </c:pt>
                <c:pt idx="67">
                  <c:v>20468</c:v>
                </c:pt>
                <c:pt idx="68">
                  <c:v>20450</c:v>
                </c:pt>
                <c:pt idx="69">
                  <c:v>20049</c:v>
                </c:pt>
                <c:pt idx="70">
                  <c:v>19852</c:v>
                </c:pt>
                <c:pt idx="71">
                  <c:v>19871</c:v>
                </c:pt>
                <c:pt idx="72">
                  <c:v>20152</c:v>
                </c:pt>
                <c:pt idx="73">
                  <c:v>20564</c:v>
                </c:pt>
                <c:pt idx="74">
                  <c:v>21205</c:v>
                </c:pt>
                <c:pt idx="75">
                  <c:v>21675</c:v>
                </c:pt>
                <c:pt idx="76">
                  <c:v>22807</c:v>
                </c:pt>
                <c:pt idx="77">
                  <c:v>24466</c:v>
                </c:pt>
                <c:pt idx="78">
                  <c:v>26117</c:v>
                </c:pt>
                <c:pt idx="79">
                  <c:v>28231</c:v>
                </c:pt>
                <c:pt idx="80">
                  <c:v>30306</c:v>
                </c:pt>
                <c:pt idx="81">
                  <c:v>32165</c:v>
                </c:pt>
                <c:pt idx="82">
                  <c:v>33942</c:v>
                </c:pt>
                <c:pt idx="83">
                  <c:v>35260</c:v>
                </c:pt>
                <c:pt idx="84">
                  <c:v>36339</c:v>
                </c:pt>
                <c:pt idx="85">
                  <c:v>37392</c:v>
                </c:pt>
                <c:pt idx="86">
                  <c:v>38637</c:v>
                </c:pt>
                <c:pt idx="87">
                  <c:v>40177</c:v>
                </c:pt>
                <c:pt idx="88">
                  <c:v>41517</c:v>
                </c:pt>
                <c:pt idx="89">
                  <c:v>42141</c:v>
                </c:pt>
                <c:pt idx="90">
                  <c:v>42892</c:v>
                </c:pt>
                <c:pt idx="91">
                  <c:v>43817</c:v>
                </c:pt>
                <c:pt idx="92">
                  <c:v>44958</c:v>
                </c:pt>
                <c:pt idx="93">
                  <c:v>46738</c:v>
                </c:pt>
                <c:pt idx="94">
                  <c:v>49006</c:v>
                </c:pt>
                <c:pt idx="95">
                  <c:v>50545</c:v>
                </c:pt>
                <c:pt idx="96">
                  <c:v>51324</c:v>
                </c:pt>
                <c:pt idx="97">
                  <c:v>48753</c:v>
                </c:pt>
                <c:pt idx="98">
                  <c:v>43104</c:v>
                </c:pt>
                <c:pt idx="99">
                  <c:v>37421</c:v>
                </c:pt>
                <c:pt idx="100">
                  <c:v>32396</c:v>
                </c:pt>
                <c:pt idx="101">
                  <c:v>31409</c:v>
                </c:pt>
                <c:pt idx="102">
                  <c:v>33843</c:v>
                </c:pt>
                <c:pt idx="103">
                  <c:v>37679</c:v>
                </c:pt>
                <c:pt idx="104">
                  <c:v>42588</c:v>
                </c:pt>
                <c:pt idx="105">
                  <c:v>47299</c:v>
                </c:pt>
                <c:pt idx="106">
                  <c:v>51120</c:v>
                </c:pt>
                <c:pt idx="107">
                  <c:v>55702</c:v>
                </c:pt>
                <c:pt idx="108">
                  <c:v>60138</c:v>
                </c:pt>
                <c:pt idx="109">
                  <c:v>63170</c:v>
                </c:pt>
                <c:pt idx="110">
                  <c:v>66314</c:v>
                </c:pt>
                <c:pt idx="111">
                  <c:v>67043</c:v>
                </c:pt>
                <c:pt idx="112">
                  <c:v>65875</c:v>
                </c:pt>
                <c:pt idx="113">
                  <c:v>63104</c:v>
                </c:pt>
                <c:pt idx="114">
                  <c:v>60351</c:v>
                </c:pt>
                <c:pt idx="115">
                  <c:v>57329</c:v>
                </c:pt>
                <c:pt idx="116">
                  <c:v>55656</c:v>
                </c:pt>
                <c:pt idx="117">
                  <c:v>55687</c:v>
                </c:pt>
                <c:pt idx="118">
                  <c:v>55216</c:v>
                </c:pt>
                <c:pt idx="119">
                  <c:v>55342</c:v>
                </c:pt>
                <c:pt idx="120">
                  <c:v>55184</c:v>
                </c:pt>
                <c:pt idx="121">
                  <c:v>54645</c:v>
                </c:pt>
                <c:pt idx="122">
                  <c:v>52812</c:v>
                </c:pt>
                <c:pt idx="123">
                  <c:v>50225</c:v>
                </c:pt>
                <c:pt idx="124">
                  <c:v>47011</c:v>
                </c:pt>
                <c:pt idx="125">
                  <c:v>43770</c:v>
                </c:pt>
                <c:pt idx="126">
                  <c:v>41795</c:v>
                </c:pt>
                <c:pt idx="127">
                  <c:v>39993</c:v>
                </c:pt>
                <c:pt idx="128">
                  <c:v>38537</c:v>
                </c:pt>
              </c:numCache>
            </c:numRef>
          </c:val>
          <c:smooth val="0"/>
          <c:extLst>
            <c:ext xmlns:c16="http://schemas.microsoft.com/office/drawing/2014/chart" uri="{C3380CC4-5D6E-409C-BE32-E72D297353CC}">
              <c16:uniqueId val="{00000004-DB63-4F92-BCA9-E219B2238E74}"/>
            </c:ext>
          </c:extLst>
        </c:ser>
        <c:dLbls>
          <c:showLegendKey val="0"/>
          <c:showVal val="0"/>
          <c:showCatName val="0"/>
          <c:showSerName val="0"/>
          <c:showPercent val="0"/>
          <c:showBubbleSize val="0"/>
        </c:dLbls>
        <c:marker val="1"/>
        <c:smooth val="0"/>
        <c:axId val="536721544"/>
        <c:axId val="536721872"/>
      </c:lineChart>
      <c:lineChart>
        <c:grouping val="standard"/>
        <c:varyColors val="0"/>
        <c:ser>
          <c:idx val="1"/>
          <c:order val="1"/>
          <c:tx>
            <c:strRef>
              <c:f>'Revenue Data'!$C$1</c:f>
              <c:strCache>
                <c:ptCount val="1"/>
                <c:pt idx="0">
                  <c:v>5-Year CAGR (RHS)</c:v>
                </c:pt>
              </c:strCache>
            </c:strRef>
          </c:tx>
          <c:spPr>
            <a:ln w="19050" cap="rnd">
              <a:solidFill>
                <a:srgbClr val="575A5D"/>
              </a:solidFill>
              <a:round/>
            </a:ln>
            <a:effectLst/>
          </c:spPr>
          <c:marker>
            <c:symbol val="none"/>
          </c:marker>
          <c:dLbls>
            <c:dLbl>
              <c:idx val="95"/>
              <c:layout>
                <c:manualLayout>
                  <c:x val="2.59259297063181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63-4F92-BCA9-E219B2238E74}"/>
                </c:ext>
              </c:extLst>
            </c:dLbl>
            <c:dLbl>
              <c:idx val="101"/>
              <c:layout>
                <c:manualLayout>
                  <c:x val="1.481481697503893E-2"/>
                  <c:y val="-8.5511820289368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63-4F92-BCA9-E219B2238E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'Revenue Data'!$A$2:$A$130</c:f>
              <c:numCache>
                <c:formatCode>m/d/yyyy</c:formatCode>
                <c:ptCount val="129"/>
                <c:pt idx="0">
                  <c:v>31047</c:v>
                </c:pt>
                <c:pt idx="1">
                  <c:v>31137</c:v>
                </c:pt>
                <c:pt idx="2">
                  <c:v>31228</c:v>
                </c:pt>
                <c:pt idx="3">
                  <c:v>31320</c:v>
                </c:pt>
                <c:pt idx="4">
                  <c:v>31412</c:v>
                </c:pt>
                <c:pt idx="5">
                  <c:v>31502</c:v>
                </c:pt>
                <c:pt idx="6">
                  <c:v>31593</c:v>
                </c:pt>
                <c:pt idx="7">
                  <c:v>31685</c:v>
                </c:pt>
                <c:pt idx="8">
                  <c:v>31777</c:v>
                </c:pt>
                <c:pt idx="9">
                  <c:v>31867</c:v>
                </c:pt>
                <c:pt idx="10">
                  <c:v>31958</c:v>
                </c:pt>
                <c:pt idx="11">
                  <c:v>32050</c:v>
                </c:pt>
                <c:pt idx="12">
                  <c:v>32142</c:v>
                </c:pt>
                <c:pt idx="13">
                  <c:v>32233</c:v>
                </c:pt>
                <c:pt idx="14">
                  <c:v>32324</c:v>
                </c:pt>
                <c:pt idx="15">
                  <c:v>32416</c:v>
                </c:pt>
                <c:pt idx="16">
                  <c:v>32508</c:v>
                </c:pt>
                <c:pt idx="17">
                  <c:v>32598</c:v>
                </c:pt>
                <c:pt idx="18">
                  <c:v>32689</c:v>
                </c:pt>
                <c:pt idx="19">
                  <c:v>32781</c:v>
                </c:pt>
                <c:pt idx="20">
                  <c:v>32873</c:v>
                </c:pt>
                <c:pt idx="21">
                  <c:v>32963</c:v>
                </c:pt>
                <c:pt idx="22">
                  <c:v>33054</c:v>
                </c:pt>
                <c:pt idx="23">
                  <c:v>33146</c:v>
                </c:pt>
                <c:pt idx="24">
                  <c:v>33238</c:v>
                </c:pt>
                <c:pt idx="25">
                  <c:v>33328</c:v>
                </c:pt>
                <c:pt idx="26">
                  <c:v>33419</c:v>
                </c:pt>
                <c:pt idx="27">
                  <c:v>33511</c:v>
                </c:pt>
                <c:pt idx="28">
                  <c:v>33603</c:v>
                </c:pt>
                <c:pt idx="29">
                  <c:v>33694</c:v>
                </c:pt>
                <c:pt idx="30">
                  <c:v>33785</c:v>
                </c:pt>
                <c:pt idx="31">
                  <c:v>33877</c:v>
                </c:pt>
                <c:pt idx="32">
                  <c:v>33969</c:v>
                </c:pt>
                <c:pt idx="33">
                  <c:v>34059</c:v>
                </c:pt>
                <c:pt idx="34">
                  <c:v>34150</c:v>
                </c:pt>
                <c:pt idx="35">
                  <c:v>34242</c:v>
                </c:pt>
                <c:pt idx="36">
                  <c:v>34334</c:v>
                </c:pt>
                <c:pt idx="37">
                  <c:v>34424</c:v>
                </c:pt>
                <c:pt idx="38">
                  <c:v>34515</c:v>
                </c:pt>
                <c:pt idx="39">
                  <c:v>34607</c:v>
                </c:pt>
                <c:pt idx="40">
                  <c:v>34699</c:v>
                </c:pt>
                <c:pt idx="41">
                  <c:v>34789</c:v>
                </c:pt>
                <c:pt idx="42">
                  <c:v>34880</c:v>
                </c:pt>
                <c:pt idx="43">
                  <c:v>34972</c:v>
                </c:pt>
                <c:pt idx="44">
                  <c:v>35064</c:v>
                </c:pt>
                <c:pt idx="45">
                  <c:v>35155</c:v>
                </c:pt>
                <c:pt idx="46">
                  <c:v>35246</c:v>
                </c:pt>
                <c:pt idx="47">
                  <c:v>35338</c:v>
                </c:pt>
                <c:pt idx="48">
                  <c:v>35430</c:v>
                </c:pt>
                <c:pt idx="49">
                  <c:v>35520</c:v>
                </c:pt>
                <c:pt idx="50">
                  <c:v>35611</c:v>
                </c:pt>
                <c:pt idx="51">
                  <c:v>35703</c:v>
                </c:pt>
                <c:pt idx="52">
                  <c:v>35795</c:v>
                </c:pt>
                <c:pt idx="53">
                  <c:v>35885</c:v>
                </c:pt>
                <c:pt idx="54">
                  <c:v>35976</c:v>
                </c:pt>
                <c:pt idx="55">
                  <c:v>36068</c:v>
                </c:pt>
                <c:pt idx="56">
                  <c:v>36160</c:v>
                </c:pt>
                <c:pt idx="57">
                  <c:v>36250</c:v>
                </c:pt>
                <c:pt idx="58">
                  <c:v>36341</c:v>
                </c:pt>
                <c:pt idx="59">
                  <c:v>36433</c:v>
                </c:pt>
                <c:pt idx="60">
                  <c:v>36525</c:v>
                </c:pt>
                <c:pt idx="61">
                  <c:v>36616</c:v>
                </c:pt>
                <c:pt idx="62">
                  <c:v>36707</c:v>
                </c:pt>
                <c:pt idx="63">
                  <c:v>36799</c:v>
                </c:pt>
                <c:pt idx="64">
                  <c:v>36891</c:v>
                </c:pt>
                <c:pt idx="65">
                  <c:v>36981</c:v>
                </c:pt>
                <c:pt idx="66">
                  <c:v>37072</c:v>
                </c:pt>
                <c:pt idx="67">
                  <c:v>37164</c:v>
                </c:pt>
                <c:pt idx="68">
                  <c:v>37256</c:v>
                </c:pt>
                <c:pt idx="69">
                  <c:v>37346</c:v>
                </c:pt>
                <c:pt idx="70">
                  <c:v>37437</c:v>
                </c:pt>
                <c:pt idx="71">
                  <c:v>37529</c:v>
                </c:pt>
                <c:pt idx="72">
                  <c:v>37621</c:v>
                </c:pt>
                <c:pt idx="73">
                  <c:v>37711</c:v>
                </c:pt>
                <c:pt idx="74">
                  <c:v>37802</c:v>
                </c:pt>
                <c:pt idx="75">
                  <c:v>37894</c:v>
                </c:pt>
                <c:pt idx="76">
                  <c:v>37986</c:v>
                </c:pt>
                <c:pt idx="77">
                  <c:v>38077</c:v>
                </c:pt>
                <c:pt idx="78">
                  <c:v>38168</c:v>
                </c:pt>
                <c:pt idx="79">
                  <c:v>38260</c:v>
                </c:pt>
                <c:pt idx="80">
                  <c:v>38352</c:v>
                </c:pt>
                <c:pt idx="81">
                  <c:v>38442</c:v>
                </c:pt>
                <c:pt idx="82">
                  <c:v>38533</c:v>
                </c:pt>
                <c:pt idx="83">
                  <c:v>38625</c:v>
                </c:pt>
                <c:pt idx="84">
                  <c:v>38717</c:v>
                </c:pt>
                <c:pt idx="85">
                  <c:v>38807</c:v>
                </c:pt>
                <c:pt idx="86">
                  <c:v>38898</c:v>
                </c:pt>
                <c:pt idx="87">
                  <c:v>38990</c:v>
                </c:pt>
                <c:pt idx="88">
                  <c:v>39082</c:v>
                </c:pt>
                <c:pt idx="89">
                  <c:v>39172</c:v>
                </c:pt>
                <c:pt idx="90">
                  <c:v>39263</c:v>
                </c:pt>
                <c:pt idx="91">
                  <c:v>39355</c:v>
                </c:pt>
                <c:pt idx="92">
                  <c:v>39447</c:v>
                </c:pt>
                <c:pt idx="93">
                  <c:v>39538</c:v>
                </c:pt>
                <c:pt idx="94">
                  <c:v>39629</c:v>
                </c:pt>
                <c:pt idx="95">
                  <c:v>39721</c:v>
                </c:pt>
                <c:pt idx="96">
                  <c:v>39813</c:v>
                </c:pt>
                <c:pt idx="97">
                  <c:v>39903</c:v>
                </c:pt>
                <c:pt idx="98">
                  <c:v>39994</c:v>
                </c:pt>
                <c:pt idx="99">
                  <c:v>40086</c:v>
                </c:pt>
                <c:pt idx="100">
                  <c:v>40178</c:v>
                </c:pt>
                <c:pt idx="101">
                  <c:v>40268</c:v>
                </c:pt>
                <c:pt idx="102">
                  <c:v>40359</c:v>
                </c:pt>
                <c:pt idx="103">
                  <c:v>40451</c:v>
                </c:pt>
                <c:pt idx="104">
                  <c:v>40543</c:v>
                </c:pt>
                <c:pt idx="105">
                  <c:v>40633</c:v>
                </c:pt>
                <c:pt idx="106">
                  <c:v>40724</c:v>
                </c:pt>
                <c:pt idx="107">
                  <c:v>40816</c:v>
                </c:pt>
                <c:pt idx="108">
                  <c:v>40908</c:v>
                </c:pt>
                <c:pt idx="109">
                  <c:v>40999</c:v>
                </c:pt>
                <c:pt idx="110">
                  <c:v>41090</c:v>
                </c:pt>
                <c:pt idx="111">
                  <c:v>41182</c:v>
                </c:pt>
                <c:pt idx="112">
                  <c:v>41274</c:v>
                </c:pt>
                <c:pt idx="113">
                  <c:v>41364</c:v>
                </c:pt>
                <c:pt idx="114">
                  <c:v>41455</c:v>
                </c:pt>
                <c:pt idx="115">
                  <c:v>41547</c:v>
                </c:pt>
                <c:pt idx="116">
                  <c:v>41639</c:v>
                </c:pt>
                <c:pt idx="117">
                  <c:v>41729</c:v>
                </c:pt>
                <c:pt idx="118">
                  <c:v>41820</c:v>
                </c:pt>
                <c:pt idx="119">
                  <c:v>41912</c:v>
                </c:pt>
                <c:pt idx="120">
                  <c:v>42004</c:v>
                </c:pt>
                <c:pt idx="121">
                  <c:v>42094</c:v>
                </c:pt>
                <c:pt idx="122">
                  <c:v>42185</c:v>
                </c:pt>
                <c:pt idx="123">
                  <c:v>42277</c:v>
                </c:pt>
                <c:pt idx="124">
                  <c:v>42369</c:v>
                </c:pt>
                <c:pt idx="125">
                  <c:v>42460</c:v>
                </c:pt>
                <c:pt idx="126">
                  <c:v>42551</c:v>
                </c:pt>
                <c:pt idx="127">
                  <c:v>42643</c:v>
                </c:pt>
                <c:pt idx="128">
                  <c:v>42735</c:v>
                </c:pt>
              </c:numCache>
            </c:numRef>
          </c:cat>
          <c:val>
            <c:numRef>
              <c:f>'Revenue Data'!$C$2:$C$130</c:f>
              <c:numCache>
                <c:formatCode>General</c:formatCode>
                <c:ptCount val="129"/>
                <c:pt idx="20" formatCode="0%">
                  <c:v>0.11090123662602358</c:v>
                </c:pt>
                <c:pt idx="21" formatCode="0%">
                  <c:v>0.11295674364827679</c:v>
                </c:pt>
                <c:pt idx="22" formatCode="0%">
                  <c:v>0.11748809690091622</c:v>
                </c:pt>
                <c:pt idx="23" formatCode="0%">
                  <c:v>0.11715554553255303</c:v>
                </c:pt>
                <c:pt idx="24" formatCode="0%">
                  <c:v>0.11202966184583629</c:v>
                </c:pt>
                <c:pt idx="25" formatCode="0%">
                  <c:v>9.8521221932142522E-2</c:v>
                </c:pt>
                <c:pt idx="26" formatCode="0%">
                  <c:v>8.2800865801720303E-2</c:v>
                </c:pt>
                <c:pt idx="27" formatCode="0%">
                  <c:v>7.3522767912413967E-2</c:v>
                </c:pt>
                <c:pt idx="28" formatCode="0%">
                  <c:v>6.8199910313498924E-2</c:v>
                </c:pt>
                <c:pt idx="29" formatCode="0%">
                  <c:v>6.0232376919638231E-2</c:v>
                </c:pt>
                <c:pt idx="30" formatCode="0%">
                  <c:v>5.6689434209019618E-2</c:v>
                </c:pt>
                <c:pt idx="31" formatCode="0%">
                  <c:v>5.1547496797280434E-2</c:v>
                </c:pt>
                <c:pt idx="32" formatCode="0%">
                  <c:v>4.500475146264038E-2</c:v>
                </c:pt>
                <c:pt idx="33" formatCode="0%">
                  <c:v>3.7331110559180924E-2</c:v>
                </c:pt>
                <c:pt idx="34" formatCode="0%">
                  <c:v>3.0541022027346987E-2</c:v>
                </c:pt>
                <c:pt idx="35" formatCode="0%">
                  <c:v>2.2291175821184117E-2</c:v>
                </c:pt>
                <c:pt idx="36" formatCode="0%">
                  <c:v>2.1657557954917195E-2</c:v>
                </c:pt>
                <c:pt idx="37" formatCode="0%">
                  <c:v>2.6020915348792695E-2</c:v>
                </c:pt>
                <c:pt idx="38" formatCode="0%">
                  <c:v>2.9244809381950398E-2</c:v>
                </c:pt>
                <c:pt idx="39" formatCode="0%">
                  <c:v>4.2364397381712271E-2</c:v>
                </c:pt>
                <c:pt idx="40" formatCode="0%">
                  <c:v>5.1887522286805599E-2</c:v>
                </c:pt>
                <c:pt idx="41" formatCode="0%">
                  <c:v>5.6102173221026952E-2</c:v>
                </c:pt>
                <c:pt idx="42" formatCode="0%">
                  <c:v>6.6320034202286049E-2</c:v>
                </c:pt>
                <c:pt idx="43" formatCode="0%">
                  <c:v>6.6515384839407776E-2</c:v>
                </c:pt>
                <c:pt idx="44" formatCode="0%">
                  <c:v>7.0432176941702673E-2</c:v>
                </c:pt>
                <c:pt idx="45" formatCode="0%">
                  <c:v>7.4480523386530662E-2</c:v>
                </c:pt>
                <c:pt idx="46" formatCode="0%">
                  <c:v>7.9027132332900374E-2</c:v>
                </c:pt>
                <c:pt idx="47" formatCode="0%">
                  <c:v>9.1935451697573445E-2</c:v>
                </c:pt>
                <c:pt idx="48" formatCode="0%">
                  <c:v>0.10165574864940585</c:v>
                </c:pt>
                <c:pt idx="49" formatCode="0%">
                  <c:v>0.11819597790203629</c:v>
                </c:pt>
                <c:pt idx="50" formatCode="0%">
                  <c:v>0.12928943235161672</c:v>
                </c:pt>
                <c:pt idx="51" formatCode="0%">
                  <c:v>0.12905510364080341</c:v>
                </c:pt>
                <c:pt idx="52" formatCode="0%">
                  <c:v>0.13171807394941215</c:v>
                </c:pt>
                <c:pt idx="53" formatCode="0%">
                  <c:v>0.12686918578036188</c:v>
                </c:pt>
                <c:pt idx="54" formatCode="0%">
                  <c:v>0.12888691182570589</c:v>
                </c:pt>
                <c:pt idx="55" formatCode="0%">
                  <c:v>0.13179057897411095</c:v>
                </c:pt>
                <c:pt idx="56" formatCode="0%">
                  <c:v>0.12549827266744451</c:v>
                </c:pt>
                <c:pt idx="57" formatCode="0%">
                  <c:v>0.1151928601005805</c:v>
                </c:pt>
                <c:pt idx="58" formatCode="0%">
                  <c:v>9.7500718692627997E-2</c:v>
                </c:pt>
                <c:pt idx="59" formatCode="0%">
                  <c:v>8.1654339001547394E-2</c:v>
                </c:pt>
                <c:pt idx="60" formatCode="0%">
                  <c:v>6.5773575793065531E-2</c:v>
                </c:pt>
                <c:pt idx="61" formatCode="0%">
                  <c:v>5.7240341759126512E-2</c:v>
                </c:pt>
                <c:pt idx="62" formatCode="0%">
                  <c:v>5.1615055262136167E-2</c:v>
                </c:pt>
                <c:pt idx="63" formatCode="0%">
                  <c:v>4.9283442673015099E-2</c:v>
                </c:pt>
                <c:pt idx="64" formatCode="0%">
                  <c:v>4.6522870905424174E-2</c:v>
                </c:pt>
                <c:pt idx="65" formatCode="0%">
                  <c:v>4.6289532619237406E-2</c:v>
                </c:pt>
                <c:pt idx="66" formatCode="0%">
                  <c:v>4.802244187062632E-2</c:v>
                </c:pt>
                <c:pt idx="67" formatCode="0%">
                  <c:v>4.6978036320894256E-2</c:v>
                </c:pt>
                <c:pt idx="68" formatCode="0%">
                  <c:v>4.3580940896033926E-2</c:v>
                </c:pt>
                <c:pt idx="69" formatCode="0%">
                  <c:v>3.4274606377757033E-2</c:v>
                </c:pt>
                <c:pt idx="70" formatCode="0%">
                  <c:v>2.4024602556810493E-2</c:v>
                </c:pt>
                <c:pt idx="71" formatCode="0%">
                  <c:v>1.7756736527419825E-2</c:v>
                </c:pt>
                <c:pt idx="72" formatCode="0%">
                  <c:v>1.2643205922558298E-2</c:v>
                </c:pt>
                <c:pt idx="73" formatCode="0%">
                  <c:v>1.1128480282895037E-2</c:v>
                </c:pt>
                <c:pt idx="74" formatCode="0%">
                  <c:v>9.8481858055017302E-3</c:v>
                </c:pt>
                <c:pt idx="75" formatCode="0%">
                  <c:v>8.6247415437006314E-3</c:v>
                </c:pt>
                <c:pt idx="76" formatCode="0%">
                  <c:v>1.6868880873757153E-2</c:v>
                </c:pt>
                <c:pt idx="77" formatCode="0%">
                  <c:v>3.0533642613743694E-2</c:v>
                </c:pt>
                <c:pt idx="78" formatCode="0%">
                  <c:v>4.9143691651577059E-2</c:v>
                </c:pt>
                <c:pt idx="79" formatCode="0%">
                  <c:v>7.0418456297209442E-2</c:v>
                </c:pt>
                <c:pt idx="80" formatCode="0%">
                  <c:v>8.9942684527360983E-2</c:v>
                </c:pt>
                <c:pt idx="81" formatCode="0%">
                  <c:v>0.1024164911433858</c:v>
                </c:pt>
                <c:pt idx="82" formatCode="0%">
                  <c:v>0.1114041838834221</c:v>
                </c:pt>
                <c:pt idx="83" formatCode="0%">
                  <c:v>0.11918973928870424</c:v>
                </c:pt>
                <c:pt idx="84" formatCode="0%">
                  <c:v>0.1248947391842703</c:v>
                </c:pt>
                <c:pt idx="85" formatCode="0%">
                  <c:v>0.13256615021900453</c:v>
                </c:pt>
                <c:pt idx="86" formatCode="0%">
                  <c:v>0.13859458445239481</c:v>
                </c:pt>
                <c:pt idx="87" formatCode="0%">
                  <c:v>0.14440677273382874</c:v>
                </c:pt>
                <c:pt idx="88" formatCode="0%">
                  <c:v>0.15214338409021422</c:v>
                </c:pt>
                <c:pt idx="89" formatCode="0%">
                  <c:v>0.16017211865706704</c:v>
                </c:pt>
                <c:pt idx="90" formatCode="0%">
                  <c:v>0.16657967659244122</c:v>
                </c:pt>
                <c:pt idx="91" formatCode="0%">
                  <c:v>0.17134433970778296</c:v>
                </c:pt>
                <c:pt idx="92" formatCode="0%">
                  <c:v>0.17408020443928529</c:v>
                </c:pt>
                <c:pt idx="93" formatCode="0%">
                  <c:v>0.17845364983006284</c:v>
                </c:pt>
                <c:pt idx="94" formatCode="0%">
                  <c:v>0.18239394154179545</c:v>
                </c:pt>
                <c:pt idx="95" formatCode="0%">
                  <c:v>0.18452387569918804</c:v>
                </c:pt>
                <c:pt idx="96" formatCode="0%">
                  <c:v>0.17611683558612312</c:v>
                </c:pt>
                <c:pt idx="97" formatCode="0%">
                  <c:v>0.14785670316284483</c:v>
                </c:pt>
                <c:pt idx="98" formatCode="0%">
                  <c:v>0.105398464566971</c:v>
                </c:pt>
                <c:pt idx="99" formatCode="0%">
                  <c:v>5.7980895239939212E-2</c:v>
                </c:pt>
                <c:pt idx="100" formatCode="0%">
                  <c:v>1.3427195029774408E-2</c:v>
                </c:pt>
                <c:pt idx="101" formatCode="0%">
                  <c:v>-4.7455897001386083E-3</c:v>
                </c:pt>
                <c:pt idx="102" formatCode="0%">
                  <c:v>-5.8402984777305988E-4</c:v>
                </c:pt>
                <c:pt idx="103" formatCode="0%">
                  <c:v>1.3359193799870717E-2</c:v>
                </c:pt>
                <c:pt idx="104" formatCode="0%">
                  <c:v>3.2245158723606115E-2</c:v>
                </c:pt>
                <c:pt idx="105" formatCode="0%">
                  <c:v>4.8128795865384211E-2</c:v>
                </c:pt>
                <c:pt idx="106" formatCode="0%">
                  <c:v>5.7590374385017684E-2</c:v>
                </c:pt>
                <c:pt idx="107" formatCode="0%">
                  <c:v>6.7526480678094414E-2</c:v>
                </c:pt>
                <c:pt idx="108" formatCode="0%">
                  <c:v>7.6922878465615296E-2</c:v>
                </c:pt>
                <c:pt idx="109" formatCode="0%">
                  <c:v>8.4329336982097436E-2</c:v>
                </c:pt>
                <c:pt idx="110" formatCode="0%">
                  <c:v>9.1052843575705866E-2</c:v>
                </c:pt>
                <c:pt idx="111" formatCode="0%">
                  <c:v>8.8785077633602105E-2</c:v>
                </c:pt>
                <c:pt idx="112" formatCode="0%">
                  <c:v>7.9400783696338406E-2</c:v>
                </c:pt>
                <c:pt idx="113" formatCode="0%">
                  <c:v>6.1884674461467171E-2</c:v>
                </c:pt>
                <c:pt idx="114" formatCode="0%">
                  <c:v>4.2526355643559333E-2</c:v>
                </c:pt>
                <c:pt idx="115" formatCode="0%">
                  <c:v>2.5508426083273417E-2</c:v>
                </c:pt>
                <c:pt idx="116" formatCode="0%">
                  <c:v>1.6338316000721331E-2</c:v>
                </c:pt>
                <c:pt idx="117" formatCode="0%">
                  <c:v>2.6952828461521028E-2</c:v>
                </c:pt>
                <c:pt idx="118" formatCode="0%">
                  <c:v>5.0774375920053183E-2</c:v>
                </c:pt>
                <c:pt idx="119" formatCode="0%">
                  <c:v>8.1403802195008534E-2</c:v>
                </c:pt>
                <c:pt idx="120" formatCode="0%">
                  <c:v>0.11240865026057612</c:v>
                </c:pt>
                <c:pt idx="121" formatCode="0%">
                  <c:v>0.1171185518574609</c:v>
                </c:pt>
                <c:pt idx="122" formatCode="0%">
                  <c:v>9.3082023623752619E-2</c:v>
                </c:pt>
                <c:pt idx="123" formatCode="0%">
                  <c:v>5.9166205623449208E-2</c:v>
                </c:pt>
                <c:pt idx="124" formatCode="0%">
                  <c:v>1.9958376066359751E-2</c:v>
                </c:pt>
                <c:pt idx="125" formatCode="0%">
                  <c:v>-1.5388469111024872E-2</c:v>
                </c:pt>
                <c:pt idx="126" formatCode="0%">
                  <c:v>-3.9479370361268362E-2</c:v>
                </c:pt>
                <c:pt idx="127" formatCode="0%">
                  <c:v>-6.4114671996229777E-2</c:v>
                </c:pt>
                <c:pt idx="128" formatCode="0%">
                  <c:v>-8.5158653463101919E-2</c:v>
                </c:pt>
              </c:numCache>
            </c:numRef>
          </c:val>
          <c:smooth val="0"/>
          <c:extLst>
            <c:ext xmlns:c16="http://schemas.microsoft.com/office/drawing/2014/chart" uri="{C3380CC4-5D6E-409C-BE32-E72D297353CC}">
              <c16:uniqueId val="{00000007-DB63-4F92-BCA9-E219B2238E74}"/>
            </c:ext>
          </c:extLst>
        </c:ser>
        <c:dLbls>
          <c:showLegendKey val="0"/>
          <c:showVal val="0"/>
          <c:showCatName val="0"/>
          <c:showSerName val="0"/>
          <c:showPercent val="0"/>
          <c:showBubbleSize val="0"/>
        </c:dLbls>
        <c:marker val="1"/>
        <c:smooth val="0"/>
        <c:axId val="252648432"/>
        <c:axId val="252652368"/>
      </c:lineChart>
      <c:dateAx>
        <c:axId val="536721544"/>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536721872"/>
        <c:crosses val="autoZero"/>
        <c:auto val="1"/>
        <c:lblOffset val="100"/>
        <c:baseTimeUnit val="months"/>
        <c:majorUnit val="60"/>
        <c:majorTimeUnit val="months"/>
      </c:dateAx>
      <c:valAx>
        <c:axId val="536721872"/>
        <c:scaling>
          <c:orientation val="minMax"/>
        </c:scaling>
        <c:delete val="0"/>
        <c:axPos val="l"/>
        <c:majorGridlines>
          <c:spPr>
            <a:ln w="9525" cap="flat" cmpd="sng" algn="ctr">
              <a:solidFill>
                <a:srgbClr val="0049AA">
                  <a:alpha val="30000"/>
                </a:srgb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536721544"/>
        <c:crosses val="autoZero"/>
        <c:crossBetween val="between"/>
      </c:valAx>
      <c:valAx>
        <c:axId val="252652368"/>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252648432"/>
        <c:crosses val="max"/>
        <c:crossBetween val="between"/>
      </c:valAx>
      <c:dateAx>
        <c:axId val="252648432"/>
        <c:scaling>
          <c:orientation val="minMax"/>
        </c:scaling>
        <c:delete val="1"/>
        <c:axPos val="b"/>
        <c:numFmt formatCode="m/d/yyyy" sourceLinked="1"/>
        <c:majorTickMark val="out"/>
        <c:minorTickMark val="none"/>
        <c:tickLblPos val="nextTo"/>
        <c:crossAx val="252652368"/>
        <c:crosses val="autoZero"/>
        <c:auto val="1"/>
        <c:lblOffset val="100"/>
        <c:baseTimeUnit val="month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Revenue vs IOI Best- and Worst-Case Projections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9260360064528671E-2"/>
          <c:y val="0.29138362733787326"/>
          <c:w val="0.87825685383625962"/>
          <c:h val="0.59692556365079408"/>
        </c:manualLayout>
      </c:layout>
      <c:lineChart>
        <c:grouping val="standard"/>
        <c:varyColors val="0"/>
        <c:ser>
          <c:idx val="0"/>
          <c:order val="0"/>
          <c:tx>
            <c:strRef>
              <c:f>'Revenue Projections'!$D$1</c:f>
              <c:strCache>
                <c:ptCount val="1"/>
                <c:pt idx="0">
                  <c:v>CAT Revenue (Annual)</c:v>
                </c:pt>
              </c:strCache>
            </c:strRef>
          </c:tx>
          <c:spPr>
            <a:ln w="19050" cap="rnd">
              <a:solidFill>
                <a:srgbClr val="0049AA"/>
              </a:solidFill>
              <a:round/>
            </a:ln>
            <a:effectLst/>
          </c:spPr>
          <c:marker>
            <c:symbol val="none"/>
          </c:marker>
          <c:trendline>
            <c:spPr>
              <a:ln w="19050" cap="rnd">
                <a:solidFill>
                  <a:schemeClr val="accent1"/>
                </a:solidFill>
                <a:prstDash val="sysDot"/>
              </a:ln>
              <a:effectLst/>
            </c:spPr>
            <c:trendlineType val="exp"/>
            <c:dispRSqr val="0"/>
            <c:dispEq val="0"/>
          </c:trendline>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Projections'!$D$2:$D$38</c:f>
              <c:numCache>
                <c:formatCode>General</c:formatCode>
                <c:ptCount val="37"/>
                <c:pt idx="0">
                  <c:v>6576</c:v>
                </c:pt>
                <c:pt idx="1">
                  <c:v>6725</c:v>
                </c:pt>
                <c:pt idx="2">
                  <c:v>7321</c:v>
                </c:pt>
                <c:pt idx="3">
                  <c:v>8180</c:v>
                </c:pt>
                <c:pt idx="4">
                  <c:v>10435</c:v>
                </c:pt>
                <c:pt idx="5">
                  <c:v>11126</c:v>
                </c:pt>
                <c:pt idx="6">
                  <c:v>11436</c:v>
                </c:pt>
                <c:pt idx="7">
                  <c:v>10182</c:v>
                </c:pt>
                <c:pt idx="8">
                  <c:v>10194</c:v>
                </c:pt>
                <c:pt idx="9">
                  <c:v>11615</c:v>
                </c:pt>
                <c:pt idx="10">
                  <c:v>14328</c:v>
                </c:pt>
                <c:pt idx="11">
                  <c:v>16072</c:v>
                </c:pt>
                <c:pt idx="12">
                  <c:v>16522</c:v>
                </c:pt>
                <c:pt idx="13">
                  <c:v>18925</c:v>
                </c:pt>
                <c:pt idx="14">
                  <c:v>20977</c:v>
                </c:pt>
                <c:pt idx="15">
                  <c:v>19702</c:v>
                </c:pt>
                <c:pt idx="16">
                  <c:v>20175</c:v>
                </c:pt>
                <c:pt idx="17">
                  <c:v>20450</c:v>
                </c:pt>
                <c:pt idx="18">
                  <c:v>20152</c:v>
                </c:pt>
                <c:pt idx="19">
                  <c:v>22807</c:v>
                </c:pt>
                <c:pt idx="20">
                  <c:v>30306</c:v>
                </c:pt>
                <c:pt idx="21">
                  <c:v>36339</c:v>
                </c:pt>
                <c:pt idx="22">
                  <c:v>41517</c:v>
                </c:pt>
                <c:pt idx="23">
                  <c:v>44958</c:v>
                </c:pt>
                <c:pt idx="24">
                  <c:v>51324</c:v>
                </c:pt>
                <c:pt idx="25">
                  <c:v>32396</c:v>
                </c:pt>
                <c:pt idx="26">
                  <c:v>42588</c:v>
                </c:pt>
                <c:pt idx="27">
                  <c:v>60138</c:v>
                </c:pt>
                <c:pt idx="28">
                  <c:v>65875</c:v>
                </c:pt>
                <c:pt idx="29">
                  <c:v>55656</c:v>
                </c:pt>
                <c:pt idx="30">
                  <c:v>55184</c:v>
                </c:pt>
                <c:pt idx="31">
                  <c:v>47011</c:v>
                </c:pt>
              </c:numCache>
            </c:numRef>
          </c:val>
          <c:smooth val="0"/>
          <c:extLst>
            <c:ext xmlns:c16="http://schemas.microsoft.com/office/drawing/2014/chart" uri="{C3380CC4-5D6E-409C-BE32-E72D297353CC}">
              <c16:uniqueId val="{00000001-42B6-40CC-8FD7-15710F843641}"/>
            </c:ext>
          </c:extLst>
        </c:ser>
        <c:ser>
          <c:idx val="1"/>
          <c:order val="1"/>
          <c:tx>
            <c:strRef>
              <c:f>'Revenue Projections'!$E$1</c:f>
              <c:strCache>
                <c:ptCount val="1"/>
                <c:pt idx="0">
                  <c:v>Best-Case Assumption</c:v>
                </c:pt>
              </c:strCache>
            </c:strRef>
          </c:tx>
          <c:spPr>
            <a:ln w="19050" cap="rnd">
              <a:solidFill>
                <a:srgbClr val="0049AA"/>
              </a:solidFill>
              <a:prstDash val="dash"/>
              <a:round/>
            </a:ln>
            <a:effectLst/>
          </c:spPr>
          <c:marker>
            <c:symbol val="none"/>
          </c:marker>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Projections'!$E$2:$E$38</c:f>
              <c:numCache>
                <c:formatCode>General</c:formatCode>
                <c:ptCount val="37"/>
                <c:pt idx="31">
                  <c:v>47011</c:v>
                </c:pt>
                <c:pt idx="32">
                  <c:v>40899.57</c:v>
                </c:pt>
                <c:pt idx="33">
                  <c:v>47034.505499999999</c:v>
                </c:pt>
                <c:pt idx="34">
                  <c:v>54089.681324999998</c:v>
                </c:pt>
                <c:pt idx="35">
                  <c:v>62203.133523749995</c:v>
                </c:pt>
                <c:pt idx="36">
                  <c:v>71533.603552312488</c:v>
                </c:pt>
              </c:numCache>
            </c:numRef>
          </c:val>
          <c:smooth val="0"/>
          <c:extLst>
            <c:ext xmlns:c16="http://schemas.microsoft.com/office/drawing/2014/chart" uri="{C3380CC4-5D6E-409C-BE32-E72D297353CC}">
              <c16:uniqueId val="{00000002-42B6-40CC-8FD7-15710F843641}"/>
            </c:ext>
          </c:extLst>
        </c:ser>
        <c:ser>
          <c:idx val="2"/>
          <c:order val="2"/>
          <c:tx>
            <c:strRef>
              <c:f>'Revenue Projections'!$F$1</c:f>
              <c:strCache>
                <c:ptCount val="1"/>
                <c:pt idx="0">
                  <c:v>Worst-Case Assumption</c:v>
                </c:pt>
              </c:strCache>
            </c:strRef>
          </c:tx>
          <c:spPr>
            <a:ln w="19050" cap="rnd">
              <a:solidFill>
                <a:srgbClr val="FFC000"/>
              </a:solidFill>
              <a:prstDash val="dash"/>
              <a:round/>
            </a:ln>
            <a:effectLst/>
          </c:spPr>
          <c:marker>
            <c:symbol val="none"/>
          </c:marker>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Projections'!$F$2:$F$38</c:f>
              <c:numCache>
                <c:formatCode>General</c:formatCode>
                <c:ptCount val="37"/>
                <c:pt idx="31">
                  <c:v>47011</c:v>
                </c:pt>
                <c:pt idx="32">
                  <c:v>38219.942999999999</c:v>
                </c:pt>
                <c:pt idx="33">
                  <c:v>36308.945849999996</c:v>
                </c:pt>
                <c:pt idx="34">
                  <c:v>34493.498557499996</c:v>
                </c:pt>
                <c:pt idx="35">
                  <c:v>34493.498557499996</c:v>
                </c:pt>
                <c:pt idx="36">
                  <c:v>34493.498557499996</c:v>
                </c:pt>
              </c:numCache>
            </c:numRef>
          </c:val>
          <c:smooth val="0"/>
          <c:extLst>
            <c:ext xmlns:c16="http://schemas.microsoft.com/office/drawing/2014/chart" uri="{C3380CC4-5D6E-409C-BE32-E72D297353CC}">
              <c16:uniqueId val="{00000003-42B6-40CC-8FD7-15710F843641}"/>
            </c:ext>
          </c:extLst>
        </c:ser>
        <c:dLbls>
          <c:showLegendKey val="0"/>
          <c:showVal val="0"/>
          <c:showCatName val="0"/>
          <c:showSerName val="0"/>
          <c:showPercent val="0"/>
          <c:showBubbleSize val="0"/>
        </c:dLbls>
        <c:smooth val="0"/>
        <c:axId val="818921928"/>
        <c:axId val="818922584"/>
      </c:lineChart>
      <c:catAx>
        <c:axId val="818921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922584"/>
        <c:crosses val="autoZero"/>
        <c:auto val="1"/>
        <c:lblAlgn val="ctr"/>
        <c:lblOffset val="100"/>
        <c:tickLblSkip val="2"/>
        <c:noMultiLvlLbl val="0"/>
      </c:catAx>
      <c:valAx>
        <c:axId val="818922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8921928"/>
        <c:crosses val="autoZero"/>
        <c:crossBetween val="between"/>
        <c:majorUnit val="20000"/>
      </c:valAx>
      <c:spPr>
        <a:noFill/>
        <a:ln>
          <a:noFill/>
        </a:ln>
        <a:effectLst/>
      </c:spPr>
    </c:plotArea>
    <c:legend>
      <c:legendPos val="t"/>
      <c:layout>
        <c:manualLayout>
          <c:xMode val="edge"/>
          <c:yMode val="edge"/>
          <c:x val="0.14119952897367735"/>
          <c:y val="0.12934488748578241"/>
          <c:w val="0.72155558887554527"/>
          <c:h val="0.1395596144635294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Revenue and Growth Rate for Caterpillar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Projections'!$D$44</c:f>
              <c:strCache>
                <c:ptCount val="1"/>
                <c:pt idx="0">
                  <c:v>CAT Revenue (Annual)</c:v>
                </c:pt>
              </c:strCache>
            </c:strRef>
          </c:tx>
          <c:spPr>
            <a:solidFill>
              <a:srgbClr val="0049AA"/>
            </a:solidFill>
            <a:ln>
              <a:noFill/>
            </a:ln>
            <a:effectLst/>
          </c:spPr>
          <c:invertIfNegative val="0"/>
          <c:cat>
            <c:numRef>
              <c:f>'Revenue Projections'!$C$45:$C$71</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'Revenue Projections'!$D$45:$D$71</c:f>
              <c:numCache>
                <c:formatCode>General</c:formatCode>
                <c:ptCount val="27"/>
                <c:pt idx="0">
                  <c:v>11126</c:v>
                </c:pt>
                <c:pt idx="1">
                  <c:v>11436</c:v>
                </c:pt>
                <c:pt idx="2">
                  <c:v>10182</c:v>
                </c:pt>
                <c:pt idx="3">
                  <c:v>10194</c:v>
                </c:pt>
                <c:pt idx="4">
                  <c:v>11615</c:v>
                </c:pt>
                <c:pt idx="5">
                  <c:v>14328</c:v>
                </c:pt>
                <c:pt idx="6">
                  <c:v>16072</c:v>
                </c:pt>
                <c:pt idx="7">
                  <c:v>16522</c:v>
                </c:pt>
                <c:pt idx="8">
                  <c:v>18925</c:v>
                </c:pt>
                <c:pt idx="9">
                  <c:v>20977</c:v>
                </c:pt>
                <c:pt idx="10">
                  <c:v>19702</c:v>
                </c:pt>
                <c:pt idx="11">
                  <c:v>20175</c:v>
                </c:pt>
                <c:pt idx="12">
                  <c:v>20450</c:v>
                </c:pt>
                <c:pt idx="13">
                  <c:v>20152</c:v>
                </c:pt>
                <c:pt idx="14">
                  <c:v>22807</c:v>
                </c:pt>
                <c:pt idx="15">
                  <c:v>30306</c:v>
                </c:pt>
                <c:pt idx="16">
                  <c:v>36339</c:v>
                </c:pt>
                <c:pt idx="17">
                  <c:v>41517</c:v>
                </c:pt>
                <c:pt idx="18">
                  <c:v>44958</c:v>
                </c:pt>
                <c:pt idx="19">
                  <c:v>51324</c:v>
                </c:pt>
                <c:pt idx="20">
                  <c:v>32396</c:v>
                </c:pt>
                <c:pt idx="21">
                  <c:v>42588</c:v>
                </c:pt>
                <c:pt idx="22">
                  <c:v>60138</c:v>
                </c:pt>
                <c:pt idx="23">
                  <c:v>65875</c:v>
                </c:pt>
                <c:pt idx="24">
                  <c:v>55656</c:v>
                </c:pt>
                <c:pt idx="25">
                  <c:v>55184</c:v>
                </c:pt>
                <c:pt idx="26">
                  <c:v>47011</c:v>
                </c:pt>
              </c:numCache>
            </c:numRef>
          </c:val>
          <c:extLst>
            <c:ext xmlns:c16="http://schemas.microsoft.com/office/drawing/2014/chart" uri="{C3380CC4-5D6E-409C-BE32-E72D297353CC}">
              <c16:uniqueId val="{00000000-017B-4D92-80B7-708261FEFF3B}"/>
            </c:ext>
          </c:extLst>
        </c:ser>
        <c:dLbls>
          <c:showLegendKey val="0"/>
          <c:showVal val="0"/>
          <c:showCatName val="0"/>
          <c:showSerName val="0"/>
          <c:showPercent val="0"/>
          <c:showBubbleSize val="0"/>
        </c:dLbls>
        <c:gapWidth val="150"/>
        <c:axId val="818203840"/>
        <c:axId val="818200560"/>
      </c:barChart>
      <c:lineChart>
        <c:grouping val="standard"/>
        <c:varyColors val="0"/>
        <c:ser>
          <c:idx val="1"/>
          <c:order val="1"/>
          <c:tx>
            <c:strRef>
              <c:f>'Revenue Projections'!$E$44</c:f>
              <c:strCache>
                <c:ptCount val="1"/>
                <c:pt idx="0">
                  <c:v>5Y RGR</c:v>
                </c:pt>
              </c:strCache>
            </c:strRef>
          </c:tx>
          <c:spPr>
            <a:ln w="19050" cap="rnd">
              <a:solidFill>
                <a:srgbClr val="00B050"/>
              </a:solidFill>
              <a:round/>
            </a:ln>
            <a:effectLst/>
          </c:spPr>
          <c:marker>
            <c:symbol val="none"/>
          </c:marker>
          <c:cat>
            <c:numRef>
              <c:f>'Revenue Projections'!$C$45:$C$71</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'Revenue Projections'!$E$45:$E$71</c:f>
              <c:numCache>
                <c:formatCode>General</c:formatCode>
                <c:ptCount val="27"/>
                <c:pt idx="5" formatCode="0%">
                  <c:v>5.8695213828753756E-2</c:v>
                </c:pt>
                <c:pt idx="6" formatCode="0%">
                  <c:v>8.0270106484287007E-2</c:v>
                </c:pt>
                <c:pt idx="7" formatCode="0%">
                  <c:v>0.10161722043243415</c:v>
                </c:pt>
                <c:pt idx="8" formatCode="0%">
                  <c:v>0.12703147051548802</c:v>
                </c:pt>
                <c:pt idx="9" formatCode="0%">
                  <c:v>0.12085926002426994</c:v>
                </c:pt>
                <c:pt idx="10" formatCode="0%">
                  <c:v>6.1895328480604528E-2</c:v>
                </c:pt>
                <c:pt idx="11" formatCode="0%">
                  <c:v>4.4502049936007371E-2</c:v>
                </c:pt>
                <c:pt idx="12" formatCode="0%">
                  <c:v>4.0788776855899656E-2</c:v>
                </c:pt>
                <c:pt idx="13" formatCode="0%">
                  <c:v>1.2241965898093454E-2</c:v>
                </c:pt>
                <c:pt idx="14" formatCode="0%">
                  <c:v>1.803737580823217E-2</c:v>
                </c:pt>
                <c:pt idx="15" formatCode="0%">
                  <c:v>0.10266638266560801</c:v>
                </c:pt>
                <c:pt idx="16" formatCode="0%">
                  <c:v>0.14192642023004653</c:v>
                </c:pt>
                <c:pt idx="17" formatCode="0%">
                  <c:v>0.16198655942916029</c:v>
                </c:pt>
                <c:pt idx="18" formatCode="0%">
                  <c:v>0.16414661099383943</c:v>
                </c:pt>
                <c:pt idx="19" formatCode="0%">
                  <c:v>0.16209564194239667</c:v>
                </c:pt>
                <c:pt idx="20" formatCode="0%">
                  <c:v>1.0222848310539767E-2</c:v>
                </c:pt>
                <c:pt idx="21" formatCode="0%">
                  <c:v>3.0256519507684043E-2</c:v>
                </c:pt>
                <c:pt idx="22" formatCode="0%">
                  <c:v>8.751169031360595E-2</c:v>
                </c:pt>
                <c:pt idx="23" formatCode="0%">
                  <c:v>9.0391695908454528E-2</c:v>
                </c:pt>
                <c:pt idx="24" formatCode="0%">
                  <c:v>1.7168606655807439E-2</c:v>
                </c:pt>
                <c:pt idx="25" formatCode="0%">
                  <c:v>8.8789143318020791E-2</c:v>
                </c:pt>
                <c:pt idx="26" formatCode="0%">
                  <c:v>1.5828028098954672E-2</c:v>
                </c:pt>
              </c:numCache>
            </c:numRef>
          </c:val>
          <c:smooth val="0"/>
          <c:extLst>
            <c:ext xmlns:c16="http://schemas.microsoft.com/office/drawing/2014/chart" uri="{C3380CC4-5D6E-409C-BE32-E72D297353CC}">
              <c16:uniqueId val="{00000001-017B-4D92-80B7-708261FEFF3B}"/>
            </c:ext>
          </c:extLst>
        </c:ser>
        <c:dLbls>
          <c:showLegendKey val="0"/>
          <c:showVal val="0"/>
          <c:showCatName val="0"/>
          <c:showSerName val="0"/>
          <c:showPercent val="0"/>
          <c:showBubbleSize val="0"/>
        </c:dLbls>
        <c:marker val="1"/>
        <c:smooth val="0"/>
        <c:axId val="941165352"/>
        <c:axId val="941167976"/>
      </c:lineChart>
      <c:catAx>
        <c:axId val="81820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200560"/>
        <c:crosses val="autoZero"/>
        <c:auto val="1"/>
        <c:lblAlgn val="ctr"/>
        <c:lblOffset val="100"/>
        <c:tickLblSkip val="2"/>
        <c:noMultiLvlLbl val="0"/>
      </c:catAx>
      <c:valAx>
        <c:axId val="818200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203840"/>
        <c:crosses val="autoZero"/>
        <c:crossBetween val="between"/>
      </c:valAx>
      <c:valAx>
        <c:axId val="94116797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941165352"/>
        <c:crosses val="max"/>
        <c:crossBetween val="between"/>
      </c:valAx>
      <c:catAx>
        <c:axId val="941165352"/>
        <c:scaling>
          <c:orientation val="minMax"/>
        </c:scaling>
        <c:delete val="1"/>
        <c:axPos val="b"/>
        <c:numFmt formatCode="General" sourceLinked="1"/>
        <c:majorTickMark val="out"/>
        <c:minorTickMark val="none"/>
        <c:tickLblPos val="nextTo"/>
        <c:crossAx val="94116797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Revenue vs IOI Best- and Worst-Case Projections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9260360064528671E-2"/>
          <c:y val="0.15249489647127445"/>
          <c:w val="0.87825685383625962"/>
          <c:h val="0.6998512685914261"/>
        </c:manualLayout>
      </c:layout>
      <c:lineChart>
        <c:grouping val="standard"/>
        <c:varyColors val="0"/>
        <c:ser>
          <c:idx val="0"/>
          <c:order val="0"/>
          <c:tx>
            <c:strRef>
              <c:f>'Revenue Projections'!$D$1</c:f>
              <c:strCache>
                <c:ptCount val="1"/>
                <c:pt idx="0">
                  <c:v>CAT Revenue (Annual)</c:v>
                </c:pt>
              </c:strCache>
            </c:strRef>
          </c:tx>
          <c:spPr>
            <a:ln w="19050" cap="rnd">
              <a:solidFill>
                <a:srgbClr val="0049AA"/>
              </a:solidFill>
              <a:round/>
            </a:ln>
            <a:effectLst/>
          </c:spPr>
          <c:marker>
            <c:symbol val="none"/>
          </c:marker>
          <c:trendline>
            <c:spPr>
              <a:ln w="19050" cap="rnd">
                <a:solidFill>
                  <a:schemeClr val="tx1"/>
                </a:solidFill>
                <a:prstDash val="sysDot"/>
              </a:ln>
              <a:effectLst/>
            </c:spPr>
            <c:trendlineType val="exp"/>
            <c:dispRSqr val="0"/>
            <c:dispEq val="0"/>
          </c:trendline>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Projections'!$D$2:$D$38</c:f>
              <c:numCache>
                <c:formatCode>General</c:formatCode>
                <c:ptCount val="37"/>
                <c:pt idx="0">
                  <c:v>6576</c:v>
                </c:pt>
                <c:pt idx="1">
                  <c:v>6725</c:v>
                </c:pt>
                <c:pt idx="2">
                  <c:v>7321</c:v>
                </c:pt>
                <c:pt idx="3">
                  <c:v>8180</c:v>
                </c:pt>
                <c:pt idx="4">
                  <c:v>10435</c:v>
                </c:pt>
                <c:pt idx="5">
                  <c:v>11126</c:v>
                </c:pt>
                <c:pt idx="6">
                  <c:v>11436</c:v>
                </c:pt>
                <c:pt idx="7">
                  <c:v>10182</c:v>
                </c:pt>
                <c:pt idx="8">
                  <c:v>10194</c:v>
                </c:pt>
                <c:pt idx="9">
                  <c:v>11615</c:v>
                </c:pt>
                <c:pt idx="10">
                  <c:v>14328</c:v>
                </c:pt>
                <c:pt idx="11">
                  <c:v>16072</c:v>
                </c:pt>
                <c:pt idx="12">
                  <c:v>16522</c:v>
                </c:pt>
                <c:pt idx="13">
                  <c:v>18925</c:v>
                </c:pt>
                <c:pt idx="14">
                  <c:v>20977</c:v>
                </c:pt>
                <c:pt idx="15">
                  <c:v>19702</c:v>
                </c:pt>
                <c:pt idx="16">
                  <c:v>20175</c:v>
                </c:pt>
                <c:pt idx="17">
                  <c:v>20450</c:v>
                </c:pt>
                <c:pt idx="18">
                  <c:v>20152</c:v>
                </c:pt>
                <c:pt idx="19">
                  <c:v>22807</c:v>
                </c:pt>
                <c:pt idx="20">
                  <c:v>30306</c:v>
                </c:pt>
                <c:pt idx="21">
                  <c:v>36339</c:v>
                </c:pt>
                <c:pt idx="22">
                  <c:v>41517</c:v>
                </c:pt>
                <c:pt idx="23">
                  <c:v>44958</c:v>
                </c:pt>
                <c:pt idx="24">
                  <c:v>51324</c:v>
                </c:pt>
                <c:pt idx="25">
                  <c:v>32396</c:v>
                </c:pt>
                <c:pt idx="26">
                  <c:v>42588</c:v>
                </c:pt>
                <c:pt idx="27">
                  <c:v>60138</c:v>
                </c:pt>
                <c:pt idx="28">
                  <c:v>65875</c:v>
                </c:pt>
                <c:pt idx="29">
                  <c:v>55656</c:v>
                </c:pt>
                <c:pt idx="30">
                  <c:v>55184</c:v>
                </c:pt>
                <c:pt idx="31">
                  <c:v>47011</c:v>
                </c:pt>
              </c:numCache>
            </c:numRef>
          </c:val>
          <c:smooth val="0"/>
          <c:extLst>
            <c:ext xmlns:c16="http://schemas.microsoft.com/office/drawing/2014/chart" uri="{C3380CC4-5D6E-409C-BE32-E72D297353CC}">
              <c16:uniqueId val="{00000001-4104-46DE-B408-DD132BFA50A8}"/>
            </c:ext>
          </c:extLst>
        </c:ser>
        <c:ser>
          <c:idx val="1"/>
          <c:order val="1"/>
          <c:tx>
            <c:strRef>
              <c:f>'Revenue Projections'!$E$1</c:f>
              <c:strCache>
                <c:ptCount val="1"/>
                <c:pt idx="0">
                  <c:v>Best-Case Assumption</c:v>
                </c:pt>
              </c:strCache>
            </c:strRef>
          </c:tx>
          <c:spPr>
            <a:ln w="19050" cap="rnd">
              <a:solidFill>
                <a:srgbClr val="0049AA"/>
              </a:solidFill>
              <a:prstDash val="dash"/>
              <a:round/>
            </a:ln>
            <a:effectLst/>
          </c:spPr>
          <c:marker>
            <c:symbol val="none"/>
          </c:marker>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Projections'!$E$2:$E$38</c:f>
              <c:numCache>
                <c:formatCode>General</c:formatCode>
                <c:ptCount val="37"/>
                <c:pt idx="31">
                  <c:v>47011</c:v>
                </c:pt>
                <c:pt idx="32">
                  <c:v>40899.57</c:v>
                </c:pt>
                <c:pt idx="33">
                  <c:v>47034.505499999999</c:v>
                </c:pt>
                <c:pt idx="34">
                  <c:v>54089.681324999998</c:v>
                </c:pt>
                <c:pt idx="35">
                  <c:v>62203.133523749995</c:v>
                </c:pt>
                <c:pt idx="36">
                  <c:v>71533.603552312488</c:v>
                </c:pt>
              </c:numCache>
            </c:numRef>
          </c:val>
          <c:smooth val="0"/>
          <c:extLst>
            <c:ext xmlns:c16="http://schemas.microsoft.com/office/drawing/2014/chart" uri="{C3380CC4-5D6E-409C-BE32-E72D297353CC}">
              <c16:uniqueId val="{00000002-4104-46DE-B408-DD132BFA50A8}"/>
            </c:ext>
          </c:extLst>
        </c:ser>
        <c:ser>
          <c:idx val="2"/>
          <c:order val="2"/>
          <c:tx>
            <c:strRef>
              <c:f>'Revenue Projections'!$F$1</c:f>
              <c:strCache>
                <c:ptCount val="1"/>
                <c:pt idx="0">
                  <c:v>Worst-Case Assumption</c:v>
                </c:pt>
              </c:strCache>
            </c:strRef>
          </c:tx>
          <c:spPr>
            <a:ln w="19050" cap="rnd">
              <a:solidFill>
                <a:srgbClr val="FFC000"/>
              </a:solidFill>
              <a:prstDash val="dash"/>
              <a:round/>
            </a:ln>
            <a:effectLst/>
          </c:spPr>
          <c:marker>
            <c:symbol val="none"/>
          </c:marker>
          <c:cat>
            <c:numRef>
              <c:f>'Revenue Projections'!$C$2:$C$38</c:f>
              <c:numCache>
                <c:formatCode>General</c:formatCode>
                <c:ptCount val="37"/>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formatCode="yyyy\ &quot;e&quot;">
                  <c:v>42735</c:v>
                </c:pt>
                <c:pt idx="33" formatCode="yyyy\ &quot;e&quot;">
                  <c:v>43100</c:v>
                </c:pt>
                <c:pt idx="34" formatCode="yyyy\ &quot;e&quot;">
                  <c:v>43465</c:v>
                </c:pt>
                <c:pt idx="35" formatCode="yyyy\ &quot;e&quot;">
                  <c:v>43830</c:v>
                </c:pt>
                <c:pt idx="36" formatCode="yyyy\ &quot;e&quot;">
                  <c:v>44195</c:v>
                </c:pt>
              </c:numCache>
            </c:numRef>
          </c:cat>
          <c:val>
            <c:numRef>
              <c:f>'Revenue Projections'!$F$2:$F$38</c:f>
              <c:numCache>
                <c:formatCode>General</c:formatCode>
                <c:ptCount val="37"/>
                <c:pt idx="31">
                  <c:v>47011</c:v>
                </c:pt>
                <c:pt idx="32">
                  <c:v>38219.942999999999</c:v>
                </c:pt>
                <c:pt idx="33">
                  <c:v>36308.945849999996</c:v>
                </c:pt>
                <c:pt idx="34">
                  <c:v>34493.498557499996</c:v>
                </c:pt>
                <c:pt idx="35">
                  <c:v>34493.498557499996</c:v>
                </c:pt>
                <c:pt idx="36">
                  <c:v>34493.498557499996</c:v>
                </c:pt>
              </c:numCache>
            </c:numRef>
          </c:val>
          <c:smooth val="0"/>
          <c:extLst>
            <c:ext xmlns:c16="http://schemas.microsoft.com/office/drawing/2014/chart" uri="{C3380CC4-5D6E-409C-BE32-E72D297353CC}">
              <c16:uniqueId val="{00000003-4104-46DE-B408-DD132BFA50A8}"/>
            </c:ext>
          </c:extLst>
        </c:ser>
        <c:ser>
          <c:idx val="3"/>
          <c:order val="3"/>
          <c:tx>
            <c:v>Best Case</c:v>
          </c:tx>
          <c:spPr>
            <a:ln w="28575" cap="rnd">
              <a:noFill/>
              <a:round/>
            </a:ln>
            <a:effectLst/>
          </c:spPr>
          <c:marker>
            <c:symbol val="none"/>
          </c:marker>
          <c:trendline>
            <c:spPr>
              <a:ln w="19050" cap="rnd">
                <a:solidFill>
                  <a:srgbClr val="0049AA"/>
                </a:solidFill>
                <a:prstDash val="sysDot"/>
              </a:ln>
              <a:effectLst/>
            </c:spPr>
            <c:trendlineType val="exp"/>
            <c:dispRSqr val="0"/>
            <c:dispEq val="0"/>
          </c:trendline>
          <c:val>
            <c:numRef>
              <c:f>'Revenue Projections'!$G$2:$G$38</c:f>
              <c:numCache>
                <c:formatCode>General</c:formatCode>
                <c:ptCount val="37"/>
                <c:pt idx="0">
                  <c:v>6576</c:v>
                </c:pt>
                <c:pt idx="1">
                  <c:v>6725</c:v>
                </c:pt>
                <c:pt idx="2">
                  <c:v>7321</c:v>
                </c:pt>
                <c:pt idx="3">
                  <c:v>8180</c:v>
                </c:pt>
                <c:pt idx="4">
                  <c:v>10435</c:v>
                </c:pt>
                <c:pt idx="5">
                  <c:v>11126</c:v>
                </c:pt>
                <c:pt idx="6">
                  <c:v>11436</c:v>
                </c:pt>
                <c:pt idx="7">
                  <c:v>10182</c:v>
                </c:pt>
                <c:pt idx="8">
                  <c:v>10194</c:v>
                </c:pt>
                <c:pt idx="9">
                  <c:v>11615</c:v>
                </c:pt>
                <c:pt idx="10">
                  <c:v>14328</c:v>
                </c:pt>
                <c:pt idx="11">
                  <c:v>16072</c:v>
                </c:pt>
                <c:pt idx="12">
                  <c:v>16522</c:v>
                </c:pt>
                <c:pt idx="13">
                  <c:v>18925</c:v>
                </c:pt>
                <c:pt idx="14">
                  <c:v>20977</c:v>
                </c:pt>
                <c:pt idx="15">
                  <c:v>19702</c:v>
                </c:pt>
                <c:pt idx="16">
                  <c:v>20175</c:v>
                </c:pt>
                <c:pt idx="17">
                  <c:v>20450</c:v>
                </c:pt>
                <c:pt idx="18">
                  <c:v>20152</c:v>
                </c:pt>
                <c:pt idx="19">
                  <c:v>22807</c:v>
                </c:pt>
                <c:pt idx="20">
                  <c:v>30306</c:v>
                </c:pt>
                <c:pt idx="21">
                  <c:v>36339</c:v>
                </c:pt>
                <c:pt idx="22">
                  <c:v>41517</c:v>
                </c:pt>
                <c:pt idx="23">
                  <c:v>44958</c:v>
                </c:pt>
                <c:pt idx="24">
                  <c:v>51324</c:v>
                </c:pt>
                <c:pt idx="25">
                  <c:v>32396</c:v>
                </c:pt>
                <c:pt idx="26">
                  <c:v>42588</c:v>
                </c:pt>
                <c:pt idx="27">
                  <c:v>60138</c:v>
                </c:pt>
                <c:pt idx="28">
                  <c:v>65875</c:v>
                </c:pt>
                <c:pt idx="29">
                  <c:v>55656</c:v>
                </c:pt>
                <c:pt idx="30">
                  <c:v>55184</c:v>
                </c:pt>
                <c:pt idx="31">
                  <c:v>47011</c:v>
                </c:pt>
                <c:pt idx="32">
                  <c:v>40899.57</c:v>
                </c:pt>
                <c:pt idx="33">
                  <c:v>47034.505499999999</c:v>
                </c:pt>
                <c:pt idx="34">
                  <c:v>54089.681324999998</c:v>
                </c:pt>
                <c:pt idx="35">
                  <c:v>62203.133523749995</c:v>
                </c:pt>
                <c:pt idx="36">
                  <c:v>71533.603552312488</c:v>
                </c:pt>
              </c:numCache>
            </c:numRef>
          </c:val>
          <c:smooth val="0"/>
          <c:extLst>
            <c:ext xmlns:c16="http://schemas.microsoft.com/office/drawing/2014/chart" uri="{C3380CC4-5D6E-409C-BE32-E72D297353CC}">
              <c16:uniqueId val="{00000005-4104-46DE-B408-DD132BFA50A8}"/>
            </c:ext>
          </c:extLst>
        </c:ser>
        <c:ser>
          <c:idx val="4"/>
          <c:order val="4"/>
          <c:tx>
            <c:v>Worst Case</c:v>
          </c:tx>
          <c:spPr>
            <a:ln w="28575" cap="rnd">
              <a:noFill/>
              <a:round/>
            </a:ln>
            <a:effectLst/>
          </c:spPr>
          <c:marker>
            <c:symbol val="none"/>
          </c:marker>
          <c:trendline>
            <c:spPr>
              <a:ln w="19050" cap="rnd">
                <a:solidFill>
                  <a:srgbClr val="FFC000"/>
                </a:solidFill>
                <a:prstDash val="sysDot"/>
              </a:ln>
              <a:effectLst/>
            </c:spPr>
            <c:trendlineType val="exp"/>
            <c:dispRSqr val="0"/>
            <c:dispEq val="0"/>
          </c:trendline>
          <c:val>
            <c:numRef>
              <c:f>'Revenue Projections'!$H$2:$H$38</c:f>
              <c:numCache>
                <c:formatCode>General</c:formatCode>
                <c:ptCount val="37"/>
                <c:pt idx="0">
                  <c:v>6576</c:v>
                </c:pt>
                <c:pt idx="1">
                  <c:v>6725</c:v>
                </c:pt>
                <c:pt idx="2">
                  <c:v>7321</c:v>
                </c:pt>
                <c:pt idx="3">
                  <c:v>8180</c:v>
                </c:pt>
                <c:pt idx="4">
                  <c:v>10435</c:v>
                </c:pt>
                <c:pt idx="5">
                  <c:v>11126</c:v>
                </c:pt>
                <c:pt idx="6">
                  <c:v>11436</c:v>
                </c:pt>
                <c:pt idx="7">
                  <c:v>10182</c:v>
                </c:pt>
                <c:pt idx="8">
                  <c:v>10194</c:v>
                </c:pt>
                <c:pt idx="9">
                  <c:v>11615</c:v>
                </c:pt>
                <c:pt idx="10">
                  <c:v>14328</c:v>
                </c:pt>
                <c:pt idx="11">
                  <c:v>16072</c:v>
                </c:pt>
                <c:pt idx="12">
                  <c:v>16522</c:v>
                </c:pt>
                <c:pt idx="13">
                  <c:v>18925</c:v>
                </c:pt>
                <c:pt idx="14">
                  <c:v>20977</c:v>
                </c:pt>
                <c:pt idx="15">
                  <c:v>19702</c:v>
                </c:pt>
                <c:pt idx="16">
                  <c:v>20175</c:v>
                </c:pt>
                <c:pt idx="17">
                  <c:v>20450</c:v>
                </c:pt>
                <c:pt idx="18">
                  <c:v>20152</c:v>
                </c:pt>
                <c:pt idx="19">
                  <c:v>22807</c:v>
                </c:pt>
                <c:pt idx="20">
                  <c:v>30306</c:v>
                </c:pt>
                <c:pt idx="21">
                  <c:v>36339</c:v>
                </c:pt>
                <c:pt idx="22">
                  <c:v>41517</c:v>
                </c:pt>
                <c:pt idx="23">
                  <c:v>44958</c:v>
                </c:pt>
                <c:pt idx="24">
                  <c:v>51324</c:v>
                </c:pt>
                <c:pt idx="25">
                  <c:v>32396</c:v>
                </c:pt>
                <c:pt idx="26">
                  <c:v>42588</c:v>
                </c:pt>
                <c:pt idx="27">
                  <c:v>60138</c:v>
                </c:pt>
                <c:pt idx="28">
                  <c:v>65875</c:v>
                </c:pt>
                <c:pt idx="29">
                  <c:v>55656</c:v>
                </c:pt>
                <c:pt idx="30">
                  <c:v>55184</c:v>
                </c:pt>
                <c:pt idx="31">
                  <c:v>47011</c:v>
                </c:pt>
                <c:pt idx="32">
                  <c:v>38219.942999999999</c:v>
                </c:pt>
                <c:pt idx="33">
                  <c:v>36308.945849999996</c:v>
                </c:pt>
                <c:pt idx="34">
                  <c:v>34493.498557499996</c:v>
                </c:pt>
                <c:pt idx="35">
                  <c:v>34493.498557499996</c:v>
                </c:pt>
                <c:pt idx="36">
                  <c:v>34493.498557499996</c:v>
                </c:pt>
              </c:numCache>
            </c:numRef>
          </c:val>
          <c:smooth val="0"/>
          <c:extLst>
            <c:ext xmlns:c16="http://schemas.microsoft.com/office/drawing/2014/chart" uri="{C3380CC4-5D6E-409C-BE32-E72D297353CC}">
              <c16:uniqueId val="{00000007-4104-46DE-B408-DD132BFA50A8}"/>
            </c:ext>
          </c:extLst>
        </c:ser>
        <c:dLbls>
          <c:showLegendKey val="0"/>
          <c:showVal val="0"/>
          <c:showCatName val="0"/>
          <c:showSerName val="0"/>
          <c:showPercent val="0"/>
          <c:showBubbleSize val="0"/>
        </c:dLbls>
        <c:smooth val="0"/>
        <c:axId val="818921928"/>
        <c:axId val="818922584"/>
      </c:lineChart>
      <c:catAx>
        <c:axId val="818921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922584"/>
        <c:crosses val="autoZero"/>
        <c:auto val="1"/>
        <c:lblAlgn val="ctr"/>
        <c:lblOffset val="100"/>
        <c:tickLblSkip val="2"/>
        <c:noMultiLvlLbl val="0"/>
      </c:catAx>
      <c:valAx>
        <c:axId val="818922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8921928"/>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 Long-Term Profitability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Data'!$L$1</c:f>
              <c:strCache>
                <c:ptCount val="1"/>
                <c:pt idx="0">
                  <c:v>OCP Margin</c:v>
                </c:pt>
              </c:strCache>
            </c:strRef>
          </c:tx>
          <c:spPr>
            <a:ln w="19050" cap="rnd">
              <a:solidFill>
                <a:srgbClr val="0049AA"/>
              </a:solidFill>
              <a:round/>
            </a:ln>
            <a:effectLst/>
          </c:spPr>
          <c:marker>
            <c:symbol val="none"/>
          </c:marker>
          <c:cat>
            <c:numRef>
              <c:f>'OCP Data'!$K$2:$K$28</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'OCP Data'!$L$2:$L$28</c:f>
              <c:numCache>
                <c:formatCode>0%</c:formatCode>
                <c:ptCount val="27"/>
                <c:pt idx="0">
                  <c:v>3.7220133021750854E-2</c:v>
                </c:pt>
                <c:pt idx="1">
                  <c:v>2.2250209863588666E-2</c:v>
                </c:pt>
                <c:pt idx="2">
                  <c:v>2.0185523472795132E-3</c:v>
                </c:pt>
                <c:pt idx="3">
                  <c:v>-1.6673592309201492E-2</c:v>
                </c:pt>
                <c:pt idx="4">
                  <c:v>6.1871777873439518E-2</c:v>
                </c:pt>
                <c:pt idx="5">
                  <c:v>7.3683026242322716E-2</c:v>
                </c:pt>
                <c:pt idx="6">
                  <c:v>9.2750628422100551E-2</c:v>
                </c:pt>
                <c:pt idx="7">
                  <c:v>6.43309163539523E-2</c:v>
                </c:pt>
                <c:pt idx="8">
                  <c:v>7.109306737120212E-2</c:v>
                </c:pt>
                <c:pt idx="9">
                  <c:v>4.2859183868045957E-2</c:v>
                </c:pt>
                <c:pt idx="10">
                  <c:v>8.2206400365445131E-2</c:v>
                </c:pt>
                <c:pt idx="11">
                  <c:v>4.9684604708798014E-2</c:v>
                </c:pt>
                <c:pt idx="12">
                  <c:v>3.9112987775061121E-2</c:v>
                </c:pt>
                <c:pt idx="13">
                  <c:v>3.5033832870186583E-2</c:v>
                </c:pt>
                <c:pt idx="14">
                  <c:v>6.3876485289604155E-3</c:v>
                </c:pt>
                <c:pt idx="15">
                  <c:v>9.5202039200158357E-3</c:v>
                </c:pt>
                <c:pt idx="16">
                  <c:v>4.3632188557747871E-2</c:v>
                </c:pt>
                <c:pt idx="17">
                  <c:v>0.10011074981332947</c:v>
                </c:pt>
                <c:pt idx="18">
                  <c:v>0.13534096267627563</c:v>
                </c:pt>
                <c:pt idx="19">
                  <c:v>5.2415834697217681E-2</c:v>
                </c:pt>
                <c:pt idx="20">
                  <c:v>0.12654125200642055</c:v>
                </c:pt>
                <c:pt idx="21">
                  <c:v>6.289702967972198E-2</c:v>
                </c:pt>
                <c:pt idx="22">
                  <c:v>7.2419106056071034E-2</c:v>
                </c:pt>
                <c:pt idx="23">
                  <c:v>3.5248966982922202E-2</c:v>
                </c:pt>
                <c:pt idx="24">
                  <c:v>0.12680829560155238</c:v>
                </c:pt>
                <c:pt idx="25">
                  <c:v>8.8251520368222675E-2</c:v>
                </c:pt>
                <c:pt idx="26">
                  <c:v>7.6722031014017991E-2</c:v>
                </c:pt>
              </c:numCache>
            </c:numRef>
          </c:val>
          <c:smooth val="0"/>
          <c:extLst>
            <c:ext xmlns:c16="http://schemas.microsoft.com/office/drawing/2014/chart" uri="{C3380CC4-5D6E-409C-BE32-E72D297353CC}">
              <c16:uniqueId val="{00000000-FE9E-4598-9E64-F9766171D501}"/>
            </c:ext>
          </c:extLst>
        </c:ser>
        <c:ser>
          <c:idx val="1"/>
          <c:order val="1"/>
          <c:tx>
            <c:strRef>
              <c:f>'OCP Data'!$M$1</c:f>
              <c:strCache>
                <c:ptCount val="1"/>
                <c:pt idx="0">
                  <c:v>5-Y Median OCP Margin</c:v>
                </c:pt>
              </c:strCache>
            </c:strRef>
          </c:tx>
          <c:spPr>
            <a:ln w="19050" cap="rnd">
              <a:solidFill>
                <a:srgbClr val="575A5D"/>
              </a:solidFill>
              <a:round/>
            </a:ln>
            <a:effectLst/>
          </c:spPr>
          <c:marker>
            <c:symbol val="none"/>
          </c:marker>
          <c:cat>
            <c:numRef>
              <c:f>'OCP Data'!$K$2:$K$28</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'OCP Data'!$M$2:$M$28</c:f>
              <c:numCache>
                <c:formatCode>General</c:formatCode>
                <c:ptCount val="27"/>
                <c:pt idx="4" formatCode="0%">
                  <c:v>2.2250209863588666E-2</c:v>
                </c:pt>
                <c:pt idx="5" formatCode="0%">
                  <c:v>2.2250209863588666E-2</c:v>
                </c:pt>
                <c:pt idx="6" formatCode="0%">
                  <c:v>6.1871777873439518E-2</c:v>
                </c:pt>
                <c:pt idx="7" formatCode="0%">
                  <c:v>6.43309163539523E-2</c:v>
                </c:pt>
                <c:pt idx="8" formatCode="0%">
                  <c:v>7.109306737120212E-2</c:v>
                </c:pt>
                <c:pt idx="9" formatCode="0%">
                  <c:v>7.109306737120212E-2</c:v>
                </c:pt>
                <c:pt idx="10" formatCode="0%">
                  <c:v>7.109306737120212E-2</c:v>
                </c:pt>
                <c:pt idx="11" formatCode="0%">
                  <c:v>6.43309163539523E-2</c:v>
                </c:pt>
                <c:pt idx="12" formatCode="0%">
                  <c:v>4.9684604708798014E-2</c:v>
                </c:pt>
                <c:pt idx="13" formatCode="0%">
                  <c:v>4.2859183868045957E-2</c:v>
                </c:pt>
                <c:pt idx="14" formatCode="0%">
                  <c:v>3.9112987775061121E-2</c:v>
                </c:pt>
                <c:pt idx="15" formatCode="0%">
                  <c:v>3.5033832870186583E-2</c:v>
                </c:pt>
                <c:pt idx="16" formatCode="0%">
                  <c:v>3.5033832870186583E-2</c:v>
                </c:pt>
                <c:pt idx="17" formatCode="0%">
                  <c:v>3.5033832870186583E-2</c:v>
                </c:pt>
                <c:pt idx="18" formatCode="0%">
                  <c:v>4.3632188557747871E-2</c:v>
                </c:pt>
                <c:pt idx="19" formatCode="0%">
                  <c:v>5.2415834697217681E-2</c:v>
                </c:pt>
                <c:pt idx="20" formatCode="0%">
                  <c:v>0.10011074981332947</c:v>
                </c:pt>
                <c:pt idx="21" formatCode="0%">
                  <c:v>0.10011074981332947</c:v>
                </c:pt>
                <c:pt idx="22" formatCode="0%">
                  <c:v>7.2419106056071034E-2</c:v>
                </c:pt>
                <c:pt idx="23" formatCode="0%">
                  <c:v>6.289702967972198E-2</c:v>
                </c:pt>
                <c:pt idx="24" formatCode="0%">
                  <c:v>7.2419106056071034E-2</c:v>
                </c:pt>
                <c:pt idx="25" formatCode="0%">
                  <c:v>7.2419106056071034E-2</c:v>
                </c:pt>
                <c:pt idx="26" formatCode="0%">
                  <c:v>7.6722031014017991E-2</c:v>
                </c:pt>
              </c:numCache>
            </c:numRef>
          </c:val>
          <c:smooth val="0"/>
          <c:extLst>
            <c:ext xmlns:c16="http://schemas.microsoft.com/office/drawing/2014/chart" uri="{C3380CC4-5D6E-409C-BE32-E72D297353CC}">
              <c16:uniqueId val="{00000001-FE9E-4598-9E64-F9766171D501}"/>
            </c:ext>
          </c:extLst>
        </c:ser>
        <c:dLbls>
          <c:showLegendKey val="0"/>
          <c:showVal val="0"/>
          <c:showCatName val="0"/>
          <c:showSerName val="0"/>
          <c:showPercent val="0"/>
          <c:showBubbleSize val="0"/>
        </c:dLbls>
        <c:smooth val="0"/>
        <c:axId val="890844240"/>
        <c:axId val="890844568"/>
      </c:lineChart>
      <c:catAx>
        <c:axId val="89084424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90844568"/>
        <c:crosses val="autoZero"/>
        <c:auto val="1"/>
        <c:lblAlgn val="ctr"/>
        <c:lblOffset val="100"/>
        <c:tickLblSkip val="5"/>
        <c:tickMarkSkip val="5"/>
        <c:noMultiLvlLbl val="0"/>
      </c:catAx>
      <c:valAx>
        <c:axId val="890844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908442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Latin America Revenues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2"/>
          <c:order val="2"/>
          <c:tx>
            <c:strRef>
              <c:f>Segments!$A$10</c:f>
              <c:strCache>
                <c:ptCount val="1"/>
                <c:pt idx="0">
                  <c:v>Construction</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Segments!$B$10:$G$10</c:f>
              <c:numCache>
                <c:formatCode>_(* #,##0_);_(* \(#,##0\);_(* "-"_);_(@_)</c:formatCode>
                <c:ptCount val="6"/>
                <c:pt idx="0">
                  <c:v>2048</c:v>
                </c:pt>
                <c:pt idx="1">
                  <c:v>3045</c:v>
                </c:pt>
                <c:pt idx="2">
                  <c:v>2650</c:v>
                </c:pt>
                <c:pt idx="3">
                  <c:v>2731</c:v>
                </c:pt>
                <c:pt idx="4">
                  <c:v>2445</c:v>
                </c:pt>
                <c:pt idx="5">
                  <c:v>1449</c:v>
                </c:pt>
              </c:numCache>
            </c:numRef>
          </c:val>
          <c:extLst>
            <c:ext xmlns:c16="http://schemas.microsoft.com/office/drawing/2014/chart" uri="{C3380CC4-5D6E-409C-BE32-E72D297353CC}">
              <c16:uniqueId val="{00000000-AF38-477E-B972-743423A407D4}"/>
            </c:ext>
          </c:extLst>
        </c:ser>
        <c:ser>
          <c:idx val="3"/>
          <c:order val="3"/>
          <c:tx>
            <c:strRef>
              <c:f>Segments!$A$11</c:f>
              <c:strCache>
                <c:ptCount val="1"/>
                <c:pt idx="0">
                  <c:v>Resources</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Segments!$B$11:$G$11</c:f>
              <c:numCache>
                <c:formatCode>_(* #,##0_);_(* \(#,##0\);_(* "-"_);_(@_)</c:formatCode>
                <c:ptCount val="6"/>
                <c:pt idx="0">
                  <c:v>1809</c:v>
                </c:pt>
                <c:pt idx="1">
                  <c:v>2831</c:v>
                </c:pt>
                <c:pt idx="2">
                  <c:v>3662</c:v>
                </c:pt>
                <c:pt idx="3">
                  <c:v>2481</c:v>
                </c:pt>
                <c:pt idx="4">
                  <c:v>1514</c:v>
                </c:pt>
                <c:pt idx="5">
                  <c:v>1216</c:v>
                </c:pt>
              </c:numCache>
            </c:numRef>
          </c:val>
          <c:extLst>
            <c:ext xmlns:c16="http://schemas.microsoft.com/office/drawing/2014/chart" uri="{C3380CC4-5D6E-409C-BE32-E72D297353CC}">
              <c16:uniqueId val="{00000001-AF38-477E-B972-743423A407D4}"/>
            </c:ext>
          </c:extLst>
        </c:ser>
        <c:ser>
          <c:idx val="4"/>
          <c:order val="4"/>
          <c:tx>
            <c:strRef>
              <c:f>Segments!$A$12</c:f>
              <c:strCache>
                <c:ptCount val="1"/>
                <c:pt idx="0">
                  <c:v>Energy &amp; Transportation</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Segments!$B$12:$G$12</c:f>
              <c:numCache>
                <c:formatCode>_(* #,##0_);_(* \(#,##0\);_(* "-"_);_(@_)</c:formatCode>
                <c:ptCount val="6"/>
                <c:pt idx="0">
                  <c:v>1900</c:v>
                </c:pt>
                <c:pt idx="1">
                  <c:v>2363</c:v>
                </c:pt>
                <c:pt idx="2">
                  <c:v>2191</c:v>
                </c:pt>
                <c:pt idx="3">
                  <c:v>2168</c:v>
                </c:pt>
                <c:pt idx="4">
                  <c:v>1963</c:v>
                </c:pt>
                <c:pt idx="5">
                  <c:v>1634</c:v>
                </c:pt>
              </c:numCache>
            </c:numRef>
          </c:val>
          <c:extLst>
            <c:ext xmlns:c16="http://schemas.microsoft.com/office/drawing/2014/chart" uri="{C3380CC4-5D6E-409C-BE32-E72D297353CC}">
              <c16:uniqueId val="{00000002-AF38-477E-B972-743423A407D4}"/>
            </c:ext>
          </c:extLst>
        </c:ser>
        <c:ser>
          <c:idx val="5"/>
          <c:order val="5"/>
          <c:tx>
            <c:strRef>
              <c:f>Segments!$A$13</c:f>
              <c:strCache>
                <c:ptCount val="1"/>
                <c:pt idx="0">
                  <c:v>Other</c:v>
                </c:pt>
              </c:strCache>
            </c:strRef>
          </c:tx>
          <c:spPr>
            <a:solidFill>
              <a:schemeClr val="accent5"/>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Segments!$B$13:$G$13</c:f>
              <c:numCache>
                <c:formatCode>_(* #,##0_);_(* \(#,##0\);_(* "-"_);_(@_)</c:formatCode>
                <c:ptCount val="6"/>
                <c:pt idx="0">
                  <c:v>108</c:v>
                </c:pt>
                <c:pt idx="1">
                  <c:v>103</c:v>
                </c:pt>
                <c:pt idx="2">
                  <c:v>65</c:v>
                </c:pt>
                <c:pt idx="3">
                  <c:v>37</c:v>
                </c:pt>
                <c:pt idx="4">
                  <c:v>251</c:v>
                </c:pt>
                <c:pt idx="5">
                  <c:v>143</c:v>
                </c:pt>
              </c:numCache>
            </c:numRef>
          </c:val>
          <c:extLst>
            <c:ext xmlns:c16="http://schemas.microsoft.com/office/drawing/2014/chart" uri="{C3380CC4-5D6E-409C-BE32-E72D297353CC}">
              <c16:uniqueId val="{00000003-AF38-477E-B972-743423A407D4}"/>
            </c:ext>
          </c:extLst>
        </c:ser>
        <c:dLbls>
          <c:showLegendKey val="0"/>
          <c:showVal val="0"/>
          <c:showCatName val="0"/>
          <c:showSerName val="0"/>
          <c:showPercent val="0"/>
          <c:showBubbleSize val="0"/>
        </c:dLbls>
        <c:axId val="329799128"/>
        <c:axId val="329798800"/>
        <c:extLst>
          <c:ext xmlns:c15="http://schemas.microsoft.com/office/drawing/2012/chart" uri="{02D57815-91ED-43cb-92C2-25804820EDAC}">
            <c15:filteredAreaSeries>
              <c15:ser>
                <c:idx val="0"/>
                <c:order val="0"/>
                <c:tx>
                  <c:strRef>
                    <c:extLst>
                      <c:ext uri="{02D57815-91ED-43cb-92C2-25804820EDAC}">
                        <c15:formulaRef>
                          <c15:sqref>Segments!$A$2</c15:sqref>
                        </c15:formulaRef>
                      </c:ext>
                    </c:extLst>
                    <c:strCache>
                      <c:ptCount val="1"/>
                      <c:pt idx="0">
                        <c:v>Revenues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Segments!$B$2:$G$2</c15:sqref>
                        </c15:formulaRef>
                      </c:ext>
                    </c:extLst>
                    <c:numCache>
                      <c:formatCode>General</c:formatCode>
                      <c:ptCount val="6"/>
                    </c:numCache>
                  </c:numRef>
                </c:val>
                <c:extLst>
                  <c:ext xmlns:c16="http://schemas.microsoft.com/office/drawing/2014/chart" uri="{C3380CC4-5D6E-409C-BE32-E72D297353CC}">
                    <c16:uniqueId val="{00000004-AF38-477E-B972-743423A407D4}"/>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Segments!$A$3</c15:sqref>
                        </c15:formulaRef>
                      </c:ext>
                    </c:extLst>
                    <c:strCache>
                      <c:ptCount val="1"/>
                      <c:pt idx="0">
                        <c:v>N. America</c:v>
                      </c:pt>
                    </c:strCache>
                  </c:strRef>
                </c:tx>
                <c:spPr>
                  <a:solidFill>
                    <a:schemeClr val="accent2"/>
                  </a:solidFill>
                  <a:ln>
                    <a:noFill/>
                  </a:ln>
                  <a:effectLst/>
                </c:spPr>
                <c:cat>
                  <c:numRef>
                    <c:extLst xmlns:c15="http://schemas.microsoft.com/office/drawing/2012/chart">
                      <c:ext xmlns:c15="http://schemas.microsoft.com/office/drawing/2012/char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xmlns:c15="http://schemas.microsoft.com/office/drawing/2012/chart">
                      <c:ext xmlns:c15="http://schemas.microsoft.com/office/drawing/2012/chart" uri="{02D57815-91ED-43cb-92C2-25804820EDAC}">
                        <c15:formulaRef>
                          <c15:sqref>Segments!$B$3:$G$3</c15:sqref>
                        </c15:formulaRef>
                      </c:ext>
                    </c:extLst>
                    <c:numCache>
                      <c:formatCode>_(* #,##0_);_(* \(#,##0\);_(* "-"_);_(@_)</c:formatCode>
                      <c:ptCount val="6"/>
                    </c:numCache>
                  </c:numRef>
                </c:val>
                <c:extLst xmlns:c15="http://schemas.microsoft.com/office/drawing/2012/chart">
                  <c:ext xmlns:c16="http://schemas.microsoft.com/office/drawing/2014/chart" uri="{C3380CC4-5D6E-409C-BE32-E72D297353CC}">
                    <c16:uniqueId val="{00000005-AF38-477E-B972-743423A407D4}"/>
                  </c:ext>
                </c:extLst>
              </c15:ser>
            </c15:filteredAreaSeries>
          </c:ext>
        </c:extLst>
      </c:areaChart>
      <c:catAx>
        <c:axId val="32979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8800"/>
        <c:crosses val="autoZero"/>
        <c:auto val="1"/>
        <c:lblAlgn val="ctr"/>
        <c:lblOffset val="100"/>
        <c:noMultiLvlLbl val="0"/>
      </c:catAx>
      <c:valAx>
        <c:axId val="329798800"/>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912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 Profit Growth vs US GDP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Data'!$U$1</c:f>
              <c:strCache>
                <c:ptCount val="1"/>
                <c:pt idx="0">
                  <c:v>US GDP</c:v>
                </c:pt>
              </c:strCache>
            </c:strRef>
          </c:tx>
          <c:spPr>
            <a:ln w="19050" cap="rnd">
              <a:solidFill>
                <a:srgbClr val="575A5D"/>
              </a:solidFill>
              <a:round/>
            </a:ln>
            <a:effectLst/>
          </c:spPr>
          <c:marker>
            <c:symbol val="none"/>
          </c:marker>
          <c:cat>
            <c:numRef>
              <c:f>'OCP Data'!$T$2:$T$28</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'OCP Data'!$U$2:$U$28</c:f>
              <c:numCache>
                <c:formatCode>0%</c:formatCode>
                <c:ptCount val="27"/>
                <c:pt idx="0">
                  <c:v>1</c:v>
                </c:pt>
                <c:pt idx="1">
                  <c:v>1.0450949092549537</c:v>
                </c:pt>
                <c:pt idx="2">
                  <c:v>1.089513134608044</c:v>
                </c:pt>
                <c:pt idx="3">
                  <c:v>1.1620918208002222</c:v>
                </c:pt>
                <c:pt idx="4">
                  <c:v>1.2202519346219247</c:v>
                </c:pt>
                <c:pt idx="5">
                  <c:v>1.2972724433494118</c:v>
                </c:pt>
                <c:pt idx="6">
                  <c:v>1.353281049380574</c:v>
                </c:pt>
                <c:pt idx="7">
                  <c:v>1.437883887982788</c:v>
                </c:pt>
                <c:pt idx="8">
                  <c:v>1.5248464448068848</c:v>
                </c:pt>
                <c:pt idx="9">
                  <c:v>1.6180900163098173</c:v>
                </c:pt>
                <c:pt idx="10">
                  <c:v>1.7222646354582367</c:v>
                </c:pt>
                <c:pt idx="11">
                  <c:v>1.8170350834576812</c:v>
                </c:pt>
                <c:pt idx="12">
                  <c:v>1.8567685741055626</c:v>
                </c:pt>
                <c:pt idx="13">
                  <c:v>1.9266058229517298</c:v>
                </c:pt>
                <c:pt idx="14">
                  <c:v>2.0503175209077975</c:v>
                </c:pt>
                <c:pt idx="15">
                  <c:v>2.1796509005101159</c:v>
                </c:pt>
                <c:pt idx="16">
                  <c:v>2.3218239233785614</c:v>
                </c:pt>
                <c:pt idx="17">
                  <c:v>2.4406426761980775</c:v>
                </c:pt>
                <c:pt idx="18">
                  <c:v>2.5480272061630287</c:v>
                </c:pt>
                <c:pt idx="19">
                  <c:v>2.5245341291598709</c:v>
                </c:pt>
                <c:pt idx="20">
                  <c:v>2.5274143734601107</c:v>
                </c:pt>
                <c:pt idx="21">
                  <c:v>2.6425720928618528</c:v>
                </c:pt>
                <c:pt idx="22">
                  <c:v>2.7388867682270881</c:v>
                </c:pt>
                <c:pt idx="23">
                  <c:v>2.8277232189332686</c:v>
                </c:pt>
                <c:pt idx="24">
                  <c:v>2.9496304264843674</c:v>
                </c:pt>
                <c:pt idx="25">
                  <c:v>3.0697504944997749</c:v>
                </c:pt>
                <c:pt idx="26">
                  <c:v>3.1618142068917652</c:v>
                </c:pt>
              </c:numCache>
            </c:numRef>
          </c:val>
          <c:smooth val="0"/>
          <c:extLst>
            <c:ext xmlns:c16="http://schemas.microsoft.com/office/drawing/2014/chart" uri="{C3380CC4-5D6E-409C-BE32-E72D297353CC}">
              <c16:uniqueId val="{00000000-F69F-44E9-8A7A-18B31A14C892}"/>
            </c:ext>
          </c:extLst>
        </c:ser>
        <c:ser>
          <c:idx val="1"/>
          <c:order val="1"/>
          <c:tx>
            <c:strRef>
              <c:f>'OCP Data'!$V$1</c:f>
              <c:strCache>
                <c:ptCount val="1"/>
                <c:pt idx="0">
                  <c:v>CAT OCP</c:v>
                </c:pt>
              </c:strCache>
            </c:strRef>
          </c:tx>
          <c:spPr>
            <a:ln w="19050" cap="rnd">
              <a:solidFill>
                <a:srgbClr val="0049AA"/>
              </a:solidFill>
              <a:round/>
            </a:ln>
            <a:effectLst/>
          </c:spPr>
          <c:marker>
            <c:symbol val="none"/>
          </c:marker>
          <c:cat>
            <c:numRef>
              <c:f>'OCP Data'!$T$2:$T$28</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'OCP Data'!$V$2:$V$28</c:f>
              <c:numCache>
                <c:formatCode>0%</c:formatCode>
                <c:ptCount val="27"/>
                <c:pt idx="0">
                  <c:v>1</c:v>
                </c:pt>
                <c:pt idx="1">
                  <c:v>0.61445669665539104</c:v>
                </c:pt>
                <c:pt idx="2">
                  <c:v>4.9631355056323039E-2</c:v>
                </c:pt>
                <c:pt idx="3">
                  <c:v>-0.41044675922795615</c:v>
                </c:pt>
                <c:pt idx="4">
                  <c:v>1.7353809797947992</c:v>
                </c:pt>
                <c:pt idx="5">
                  <c:v>2.5493886666190142</c:v>
                </c:pt>
                <c:pt idx="6">
                  <c:v>3.5997290099857238</c:v>
                </c:pt>
                <c:pt idx="7">
                  <c:v>2.5666424863659807</c:v>
                </c:pt>
                <c:pt idx="8">
                  <c:v>3.2489734641323396</c:v>
                </c:pt>
                <c:pt idx="9">
                  <c:v>2.1710523646788591</c:v>
                </c:pt>
                <c:pt idx="10">
                  <c:v>3.9111004483819807</c:v>
                </c:pt>
                <c:pt idx="11">
                  <c:v>2.4205742322352064</c:v>
                </c:pt>
                <c:pt idx="12">
                  <c:v>1.9315116326242805</c:v>
                </c:pt>
                <c:pt idx="13">
                  <c:v>1.7048604336226598</c:v>
                </c:pt>
                <c:pt idx="14">
                  <c:v>0.3517970535450386</c:v>
                </c:pt>
                <c:pt idx="15">
                  <c:v>0.69671938358585794</c:v>
                </c:pt>
                <c:pt idx="16">
                  <c:v>3.8288027467018519</c:v>
                </c:pt>
                <c:pt idx="17">
                  <c:v>10.036671309541978</c:v>
                </c:pt>
                <c:pt idx="18">
                  <c:v>14.69329735587929</c:v>
                </c:pt>
                <c:pt idx="19">
                  <c:v>6.496299303182334</c:v>
                </c:pt>
                <c:pt idx="20">
                  <c:v>9.8993468421042472</c:v>
                </c:pt>
                <c:pt idx="21">
                  <c:v>6.4684526764791679</c:v>
                </c:pt>
                <c:pt idx="22">
                  <c:v>10.516837506447542</c:v>
                </c:pt>
                <c:pt idx="23">
                  <c:v>5.6072516270991954</c:v>
                </c:pt>
                <c:pt idx="24">
                  <c:v>17.042867954307926</c:v>
                </c:pt>
                <c:pt idx="25">
                  <c:v>11.760299890464204</c:v>
                </c:pt>
                <c:pt idx="26">
                  <c:v>8.7096881224173597</c:v>
                </c:pt>
              </c:numCache>
            </c:numRef>
          </c:val>
          <c:smooth val="0"/>
          <c:extLst>
            <c:ext xmlns:c16="http://schemas.microsoft.com/office/drawing/2014/chart" uri="{C3380CC4-5D6E-409C-BE32-E72D297353CC}">
              <c16:uniqueId val="{00000001-F69F-44E9-8A7A-18B31A14C892}"/>
            </c:ext>
          </c:extLst>
        </c:ser>
        <c:dLbls>
          <c:showLegendKey val="0"/>
          <c:showVal val="0"/>
          <c:showCatName val="0"/>
          <c:showSerName val="0"/>
          <c:showPercent val="0"/>
          <c:showBubbleSize val="0"/>
        </c:dLbls>
        <c:smooth val="0"/>
        <c:axId val="770233008"/>
        <c:axId val="770229400"/>
      </c:lineChart>
      <c:catAx>
        <c:axId val="7702330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770229400"/>
        <c:crosses val="autoZero"/>
        <c:auto val="1"/>
        <c:lblAlgn val="ctr"/>
        <c:lblOffset val="100"/>
        <c:tickLblSkip val="5"/>
        <c:tickMarkSkip val="5"/>
        <c:noMultiLvlLbl val="0"/>
      </c:catAx>
      <c:valAx>
        <c:axId val="770229400"/>
        <c:scaling>
          <c:orientation val="minMax"/>
          <c:max val="17"/>
          <c:min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70233008"/>
        <c:crosses val="autoZero"/>
        <c:crossBetween val="between"/>
        <c:majorUnit val="4"/>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 Funding </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v>LT Debt Issue</c:v>
          </c:tx>
          <c:spPr>
            <a:solidFill>
              <a:schemeClr val="accent1"/>
            </a:solidFill>
            <a:ln>
              <a:noFill/>
            </a:ln>
            <a:effectLst/>
          </c:spPr>
          <c:invertIfNegative val="0"/>
          <c:cat>
            <c:multiLvlStrRef>
              <c:f>}</c:f>
            </c:multiLvlStrRef>
          </c:cat>
          <c:val>
            <c:numRef>
              <c:f>{}</c:f>
            </c:numRef>
          </c:val>
          <c:extLst>
            <c:ext xmlns:c16="http://schemas.microsoft.com/office/drawing/2014/chart" uri="{C3380CC4-5D6E-409C-BE32-E72D297353CC}">
              <c16:uniqueId val="{00000000-66F1-408F-8753-35D5378D19CE}"/>
            </c:ext>
          </c:extLst>
        </c:ser>
        <c:ser>
          <c:idx val="1"/>
          <c:order val="1"/>
          <c:tx>
            <c:v>LT Debt Payments</c:v>
          </c:tx>
          <c:spPr>
            <a:solidFill>
              <a:schemeClr val="accent2"/>
            </a:solidFill>
            <a:ln>
              <a:noFill/>
            </a:ln>
            <a:effectLst/>
          </c:spPr>
          <c:invertIfNegative val="0"/>
          <c:cat>
            <c:multiLvlStrRef>
              <c:f>}</c:f>
            </c:multiLvlStrRef>
          </c:cat>
          <c:val>
            <c:numRef>
              <c:f>{}</c:f>
            </c:numRef>
          </c:val>
          <c:extLst>
            <c:ext xmlns:c16="http://schemas.microsoft.com/office/drawing/2014/chart" uri="{C3380CC4-5D6E-409C-BE32-E72D297353CC}">
              <c16:uniqueId val="{00000001-66F1-408F-8753-35D5378D19CE}"/>
            </c:ext>
          </c:extLst>
        </c:ser>
        <c:ser>
          <c:idx val="2"/>
          <c:order val="2"/>
          <c:tx>
            <c:v>ST Debt - Net</c:v>
          </c:tx>
          <c:spPr>
            <a:solidFill>
              <a:schemeClr val="accent3"/>
            </a:solidFill>
            <a:ln>
              <a:noFill/>
            </a:ln>
            <a:effectLst/>
          </c:spPr>
          <c:invertIfNegative val="0"/>
          <c:cat>
            <c:multiLvlStrRef>
              <c:f>}</c:f>
            </c:multiLvlStrRef>
          </c:cat>
          <c:val>
            <c:numRef>
              <c:f>{}</c:f>
            </c:numRef>
          </c:val>
          <c:extLst>
            <c:ext xmlns:c16="http://schemas.microsoft.com/office/drawing/2014/chart" uri="{C3380CC4-5D6E-409C-BE32-E72D297353CC}">
              <c16:uniqueId val="{00000002-66F1-408F-8753-35D5378D19CE}"/>
            </c:ext>
          </c:extLst>
        </c:ser>
        <c:ser>
          <c:idx val="3"/>
          <c:order val="3"/>
          <c:tx>
            <c:strRef>
              <c:f>'OCP Data'!$AC$6</c:f>
              <c:strCache>
                <c:ptCount val="1"/>
                <c:pt idx="0">
                  <c:v>Net Debt Issued</c:v>
                </c:pt>
              </c:strCache>
            </c:strRef>
          </c:tx>
          <c:spPr>
            <a:solidFill>
              <a:srgbClr val="575A5D"/>
            </a:solidFill>
            <a:ln>
              <a:noFill/>
            </a:ln>
            <a:effectLst/>
          </c:spPr>
          <c:invertIfNegative val="0"/>
          <c:cat>
            <c:numRef>
              <c:f>'OCP Data'!$Y$9:$Y$16</c:f>
              <c:numCache>
                <c:formatCode>General</c:formatCode>
                <c:ptCount val="8"/>
                <c:pt idx="0">
                  <c:v>1996</c:v>
                </c:pt>
                <c:pt idx="1">
                  <c:v>1997</c:v>
                </c:pt>
                <c:pt idx="2">
                  <c:v>1998</c:v>
                </c:pt>
                <c:pt idx="3">
                  <c:v>1999</c:v>
                </c:pt>
                <c:pt idx="4">
                  <c:v>2000</c:v>
                </c:pt>
                <c:pt idx="5">
                  <c:v>2001</c:v>
                </c:pt>
                <c:pt idx="6">
                  <c:v>2002</c:v>
                </c:pt>
                <c:pt idx="7">
                  <c:v>2003</c:v>
                </c:pt>
              </c:numCache>
              <c:extLst/>
            </c:numRef>
          </c:cat>
          <c:val>
            <c:numRef>
              <c:f>'OCP Data'!$AC$9:$AC$16</c:f>
              <c:numCache>
                <c:formatCode>_(* #,##0_);_(* \(#,##0\);_(* "-"_);_(@_)</c:formatCode>
                <c:ptCount val="8"/>
                <c:pt idx="0">
                  <c:v>1015</c:v>
                </c:pt>
                <c:pt idx="1">
                  <c:v>1305</c:v>
                </c:pt>
                <c:pt idx="2">
                  <c:v>3825</c:v>
                </c:pt>
                <c:pt idx="3">
                  <c:v>1355</c:v>
                </c:pt>
                <c:pt idx="4">
                  <c:v>1413</c:v>
                </c:pt>
                <c:pt idx="5">
                  <c:v>1529</c:v>
                </c:pt>
                <c:pt idx="6">
                  <c:v>696</c:v>
                </c:pt>
                <c:pt idx="7">
                  <c:v>1484</c:v>
                </c:pt>
              </c:numCache>
              <c:extLst/>
            </c:numRef>
          </c:val>
          <c:extLst>
            <c:ext xmlns:c16="http://schemas.microsoft.com/office/drawing/2014/chart" uri="{C3380CC4-5D6E-409C-BE32-E72D297353CC}">
              <c16:uniqueId val="{00000003-66F1-408F-8753-35D5378D19CE}"/>
            </c:ext>
          </c:extLst>
        </c:ser>
        <c:ser>
          <c:idx val="4"/>
          <c:order val="4"/>
          <c:tx>
            <c:strRef>
              <c:f>'OCP Data'!$AD$6</c:f>
              <c:strCache>
                <c:ptCount val="1"/>
                <c:pt idx="0">
                  <c:v>FCFO</c:v>
                </c:pt>
              </c:strCache>
            </c:strRef>
          </c:tx>
          <c:spPr>
            <a:solidFill>
              <a:srgbClr val="0049AA"/>
            </a:solidFill>
            <a:ln>
              <a:noFill/>
            </a:ln>
            <a:effectLst/>
          </c:spPr>
          <c:invertIfNegative val="0"/>
          <c:cat>
            <c:numRef>
              <c:f>'OCP Data'!$Y$9:$Y$16</c:f>
              <c:numCache>
                <c:formatCode>General</c:formatCode>
                <c:ptCount val="8"/>
                <c:pt idx="0">
                  <c:v>1996</c:v>
                </c:pt>
                <c:pt idx="1">
                  <c:v>1997</c:v>
                </c:pt>
                <c:pt idx="2">
                  <c:v>1998</c:v>
                </c:pt>
                <c:pt idx="3">
                  <c:v>1999</c:v>
                </c:pt>
                <c:pt idx="4">
                  <c:v>2000</c:v>
                </c:pt>
                <c:pt idx="5">
                  <c:v>2001</c:v>
                </c:pt>
                <c:pt idx="6">
                  <c:v>2002</c:v>
                </c:pt>
                <c:pt idx="7">
                  <c:v>2003</c:v>
                </c:pt>
              </c:numCache>
              <c:extLst/>
            </c:numRef>
          </c:cat>
          <c:val>
            <c:numRef>
              <c:f>'OCP Data'!$AD$9:$AD$16</c:f>
              <c:numCache>
                <c:formatCode>_(* #,##0_);_(* \(#,##0\);_(* "-"_);_(@_)</c:formatCode>
                <c:ptCount val="8"/>
                <c:pt idx="0">
                  <c:v>-562.26651332921983</c:v>
                </c:pt>
                <c:pt idx="1">
                  <c:v>-292.82744245315121</c:v>
                </c:pt>
                <c:pt idx="2">
                  <c:v>-3062.6192914173398</c:v>
                </c:pt>
                <c:pt idx="3">
                  <c:v>-638.73290931377801</c:v>
                </c:pt>
                <c:pt idx="4">
                  <c:v>-610.43961748889888</c:v>
                </c:pt>
                <c:pt idx="5">
                  <c:v>-954.9521950289386</c:v>
                </c:pt>
                <c:pt idx="6">
                  <c:v>-355.57813703760644</c:v>
                </c:pt>
                <c:pt idx="7">
                  <c:v>-1002.2214570871149</c:v>
                </c:pt>
              </c:numCache>
              <c:extLst/>
            </c:numRef>
          </c:val>
          <c:extLst>
            <c:ext xmlns:c16="http://schemas.microsoft.com/office/drawing/2014/chart" uri="{C3380CC4-5D6E-409C-BE32-E72D297353CC}">
              <c16:uniqueId val="{00000004-66F1-408F-8753-35D5378D19CE}"/>
            </c:ext>
          </c:extLst>
        </c:ser>
        <c:dLbls>
          <c:showLegendKey val="0"/>
          <c:showVal val="0"/>
          <c:showCatName val="0"/>
          <c:showSerName val="0"/>
          <c:showPercent val="0"/>
          <c:showBubbleSize val="0"/>
        </c:dLbls>
        <c:gapWidth val="75"/>
        <c:overlap val="100"/>
        <c:axId val="883329296"/>
        <c:axId val="883327984"/>
      </c:barChart>
      <c:lineChart>
        <c:grouping val="standard"/>
        <c:varyColors val="0"/>
        <c:ser>
          <c:idx val="5"/>
          <c:order val="5"/>
          <c:tx>
            <c:strRef>
              <c:f>'OCP Data'!$AE$6</c:f>
              <c:strCache>
                <c:ptCount val="1"/>
                <c:pt idx="0">
                  <c:v>Net Cash Flow</c:v>
                </c:pt>
              </c:strCache>
            </c:strRef>
          </c:tx>
          <c:spPr>
            <a:ln w="19050" cap="rnd">
              <a:solidFill>
                <a:srgbClr val="00B050"/>
              </a:solidFill>
              <a:round/>
            </a:ln>
            <a:effectLst/>
          </c:spPr>
          <c:marker>
            <c:symbol val="none"/>
          </c:marker>
          <c:cat>
            <c:numRef>
              <c:f>'OCP Data'!$Y$9:$Y$16</c:f>
              <c:numCache>
                <c:formatCode>General</c:formatCode>
                <c:ptCount val="8"/>
                <c:pt idx="0">
                  <c:v>1996</c:v>
                </c:pt>
                <c:pt idx="1">
                  <c:v>1997</c:v>
                </c:pt>
                <c:pt idx="2">
                  <c:v>1998</c:v>
                </c:pt>
                <c:pt idx="3">
                  <c:v>1999</c:v>
                </c:pt>
                <c:pt idx="4">
                  <c:v>2000</c:v>
                </c:pt>
                <c:pt idx="5">
                  <c:v>2001</c:v>
                </c:pt>
                <c:pt idx="6">
                  <c:v>2002</c:v>
                </c:pt>
                <c:pt idx="7">
                  <c:v>2003</c:v>
                </c:pt>
              </c:numCache>
              <c:extLst/>
            </c:numRef>
          </c:cat>
          <c:val>
            <c:numRef>
              <c:f>'OCP Data'!$AE$9:$AE$16</c:f>
              <c:numCache>
                <c:formatCode>_(* #,##0_);_(* \(#,##0\);_(* "-"_);_(@_)</c:formatCode>
                <c:ptCount val="8"/>
                <c:pt idx="0">
                  <c:v>452.73348667078017</c:v>
                </c:pt>
                <c:pt idx="1">
                  <c:v>1012.1725575468488</c:v>
                </c:pt>
                <c:pt idx="2">
                  <c:v>762.38070858266019</c:v>
                </c:pt>
                <c:pt idx="3">
                  <c:v>716.26709068622199</c:v>
                </c:pt>
                <c:pt idx="4">
                  <c:v>802.56038251110112</c:v>
                </c:pt>
                <c:pt idx="5">
                  <c:v>574.0478049710614</c:v>
                </c:pt>
                <c:pt idx="6">
                  <c:v>340.42186296239356</c:v>
                </c:pt>
                <c:pt idx="7">
                  <c:v>481.77854291288509</c:v>
                </c:pt>
              </c:numCache>
              <c:extLst/>
            </c:numRef>
          </c:val>
          <c:smooth val="0"/>
          <c:extLst>
            <c:ext xmlns:c16="http://schemas.microsoft.com/office/drawing/2014/chart" uri="{C3380CC4-5D6E-409C-BE32-E72D297353CC}">
              <c16:uniqueId val="{00000005-66F1-408F-8753-35D5378D19CE}"/>
            </c:ext>
          </c:extLst>
        </c:ser>
        <c:dLbls>
          <c:showLegendKey val="0"/>
          <c:showVal val="0"/>
          <c:showCatName val="0"/>
          <c:showSerName val="0"/>
          <c:showPercent val="0"/>
          <c:showBubbleSize val="0"/>
        </c:dLbls>
        <c:marker val="1"/>
        <c:smooth val="0"/>
        <c:axId val="883329296"/>
        <c:axId val="883327984"/>
      </c:lineChart>
      <c:catAx>
        <c:axId val="88332929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83327984"/>
        <c:crosses val="autoZero"/>
        <c:auto val="1"/>
        <c:lblAlgn val="ctr"/>
        <c:lblOffset val="100"/>
        <c:noMultiLvlLbl val="0"/>
      </c:catAx>
      <c:valAx>
        <c:axId val="8833279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83329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 Debt-to-Assets (Percent)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Data'!$AI$8</c:f>
              <c:strCache>
                <c:ptCount val="1"/>
                <c:pt idx="0">
                  <c:v>CAT Debt To Assets (Annual)</c:v>
                </c:pt>
              </c:strCache>
            </c:strRef>
          </c:tx>
          <c:spPr>
            <a:ln w="19050" cap="rnd">
              <a:solidFill>
                <a:srgbClr val="0049AA"/>
              </a:solidFill>
              <a:round/>
            </a:ln>
            <a:effectLst/>
          </c:spPr>
          <c:marker>
            <c:symbol val="none"/>
          </c:marker>
          <c:cat>
            <c:numRef>
              <c:f>'OCP Data'!$AH$9:$AH$16</c:f>
              <c:numCache>
                <c:formatCode>General</c:formatCode>
                <c:ptCount val="8"/>
                <c:pt idx="0">
                  <c:v>1996</c:v>
                </c:pt>
                <c:pt idx="1">
                  <c:v>1997</c:v>
                </c:pt>
                <c:pt idx="2">
                  <c:v>1998</c:v>
                </c:pt>
                <c:pt idx="3">
                  <c:v>1999</c:v>
                </c:pt>
                <c:pt idx="4">
                  <c:v>2000</c:v>
                </c:pt>
                <c:pt idx="5">
                  <c:v>2001</c:v>
                </c:pt>
                <c:pt idx="6">
                  <c:v>2002</c:v>
                </c:pt>
                <c:pt idx="7">
                  <c:v>2003</c:v>
                </c:pt>
              </c:numCache>
            </c:numRef>
          </c:cat>
          <c:val>
            <c:numRef>
              <c:f>'OCP Data'!$AI$9:$AI$16</c:f>
              <c:numCache>
                <c:formatCode>General</c:formatCode>
                <c:ptCount val="8"/>
                <c:pt idx="0">
                  <c:v>39.828099999999999</c:v>
                </c:pt>
                <c:pt idx="1">
                  <c:v>41.279600000000002</c:v>
                </c:pt>
                <c:pt idx="2">
                  <c:v>49.554299999999998</c:v>
                </c:pt>
                <c:pt idx="3">
                  <c:v>51.671599999999998</c:v>
                </c:pt>
                <c:pt idx="4">
                  <c:v>52.933500000000002</c:v>
                </c:pt>
                <c:pt idx="5">
                  <c:v>54.154000000000003</c:v>
                </c:pt>
                <c:pt idx="6">
                  <c:v>54.979399999999998</c:v>
                </c:pt>
                <c:pt idx="7">
                  <c:v>55.5991</c:v>
                </c:pt>
              </c:numCache>
            </c:numRef>
          </c:val>
          <c:smooth val="0"/>
          <c:extLst>
            <c:ext xmlns:c16="http://schemas.microsoft.com/office/drawing/2014/chart" uri="{C3380CC4-5D6E-409C-BE32-E72D297353CC}">
              <c16:uniqueId val="{00000000-2220-4C37-810C-3AD228D04E0B}"/>
            </c:ext>
          </c:extLst>
        </c:ser>
        <c:dLbls>
          <c:showLegendKey val="0"/>
          <c:showVal val="0"/>
          <c:showCatName val="0"/>
          <c:showSerName val="0"/>
          <c:showPercent val="0"/>
          <c:showBubbleSize val="0"/>
        </c:dLbls>
        <c:smooth val="0"/>
        <c:axId val="934266064"/>
        <c:axId val="934272624"/>
      </c:lineChart>
      <c:catAx>
        <c:axId val="93426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934272624"/>
        <c:crosses val="autoZero"/>
        <c:auto val="1"/>
        <c:lblAlgn val="ctr"/>
        <c:lblOffset val="100"/>
        <c:noMultiLvlLbl val="0"/>
      </c:catAx>
      <c:valAx>
        <c:axId val="934272624"/>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934266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and Projected Long-Term Profitability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Data'!$G$48</c:f>
              <c:strCache>
                <c:ptCount val="1"/>
                <c:pt idx="0">
                  <c:v>CAT Owners' Cash Profits</c:v>
                </c:pt>
              </c:strCache>
            </c:strRef>
          </c:tx>
          <c:spPr>
            <a:ln w="19050" cap="rnd">
              <a:solidFill>
                <a:srgbClr val="0049AA"/>
              </a:solidFill>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Data'!$G$49:$G$85</c:f>
              <c:numCache>
                <c:formatCode>General</c:formatCode>
                <c:ptCount val="37"/>
                <c:pt idx="0">
                  <c:v>414.1112</c:v>
                </c:pt>
                <c:pt idx="1">
                  <c:v>254.45339999999999</c:v>
                </c:pt>
                <c:pt idx="2">
                  <c:v>20.552900000000001</c:v>
                </c:pt>
                <c:pt idx="3">
                  <c:v>-169.97059999999999</c:v>
                </c:pt>
                <c:pt idx="4">
                  <c:v>718.64070000000004</c:v>
                </c:pt>
                <c:pt idx="5">
                  <c:v>1055.7303999999999</c:v>
                </c:pt>
                <c:pt idx="6">
                  <c:v>1490.6881000000001</c:v>
                </c:pt>
                <c:pt idx="7">
                  <c:v>1062.8753999999999</c:v>
                </c:pt>
                <c:pt idx="8">
                  <c:v>1345.4363000000001</c:v>
                </c:pt>
                <c:pt idx="9">
                  <c:v>899.05709999999999</c:v>
                </c:pt>
                <c:pt idx="10">
                  <c:v>1619.6305</c:v>
                </c:pt>
                <c:pt idx="11">
                  <c:v>1002.3869</c:v>
                </c:pt>
                <c:pt idx="12">
                  <c:v>799.86059999999998</c:v>
                </c:pt>
                <c:pt idx="13">
                  <c:v>706.0018</c:v>
                </c:pt>
                <c:pt idx="14">
                  <c:v>145.68310000000019</c:v>
                </c:pt>
                <c:pt idx="15">
                  <c:v>288.51929999999993</c:v>
                </c:pt>
                <c:pt idx="16">
                  <c:v>1585.5500999999999</c:v>
                </c:pt>
                <c:pt idx="17">
                  <c:v>4156.2979999999998</c:v>
                </c:pt>
                <c:pt idx="18">
                  <c:v>6084.6589999999997</c:v>
                </c:pt>
                <c:pt idx="19">
                  <c:v>2690.1903000000002</c:v>
                </c:pt>
                <c:pt idx="20">
                  <c:v>4099.4304000000002</c:v>
                </c:pt>
                <c:pt idx="21">
                  <c:v>2678.6587</c:v>
                </c:pt>
                <c:pt idx="22">
                  <c:v>4355.1401999999998</c:v>
                </c:pt>
                <c:pt idx="23">
                  <c:v>2322.0257000000001</c:v>
                </c:pt>
                <c:pt idx="24">
                  <c:v>7057.6424999999999</c:v>
                </c:pt>
                <c:pt idx="25">
                  <c:v>4870.0718999999999</c:v>
                </c:pt>
                <c:pt idx="26">
                  <c:v>3606.7793999999999</c:v>
                </c:pt>
              </c:numCache>
            </c:numRef>
          </c:val>
          <c:smooth val="0"/>
          <c:extLst>
            <c:ext xmlns:c16="http://schemas.microsoft.com/office/drawing/2014/chart" uri="{C3380CC4-5D6E-409C-BE32-E72D297353CC}">
              <c16:uniqueId val="{00000000-9FF8-4277-86E2-3078AB91F460}"/>
            </c:ext>
          </c:extLst>
        </c:ser>
        <c:ser>
          <c:idx val="1"/>
          <c:order val="1"/>
          <c:tx>
            <c:strRef>
              <c:f>'OCP Data'!$H$48</c:f>
              <c:strCache>
                <c:ptCount val="1"/>
                <c:pt idx="0">
                  <c:v>Best Case OCP</c:v>
                </c:pt>
              </c:strCache>
            </c:strRef>
          </c:tx>
          <c:spPr>
            <a:ln w="19050" cap="rnd">
              <a:solidFill>
                <a:srgbClr val="0049AA"/>
              </a:solidFill>
              <a:prstDash val="dash"/>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Data'!$H$49:$H$85</c:f>
              <c:numCache>
                <c:formatCode>General</c:formatCode>
                <c:ptCount val="37"/>
                <c:pt idx="26">
                  <c:v>3606.7793999999999</c:v>
                </c:pt>
                <c:pt idx="27">
                  <c:v>2453.9742000000001</c:v>
                </c:pt>
                <c:pt idx="28">
                  <c:v>4703.4505500000005</c:v>
                </c:pt>
                <c:pt idx="29">
                  <c:v>5408.9681325000001</c:v>
                </c:pt>
                <c:pt idx="30">
                  <c:v>6220.3133523750002</c:v>
                </c:pt>
                <c:pt idx="31">
                  <c:v>7153.3603552312488</c:v>
                </c:pt>
                <c:pt idx="32">
                  <c:v>7153.3603552312488</c:v>
                </c:pt>
                <c:pt idx="33">
                  <c:v>7153.3603552312488</c:v>
                </c:pt>
                <c:pt idx="34">
                  <c:v>7153.3603552312488</c:v>
                </c:pt>
                <c:pt idx="35">
                  <c:v>7153.3603552312488</c:v>
                </c:pt>
                <c:pt idx="36">
                  <c:v>7153.3603552312488</c:v>
                </c:pt>
              </c:numCache>
            </c:numRef>
          </c:val>
          <c:smooth val="0"/>
          <c:extLst>
            <c:ext xmlns:c16="http://schemas.microsoft.com/office/drawing/2014/chart" uri="{C3380CC4-5D6E-409C-BE32-E72D297353CC}">
              <c16:uniqueId val="{00000001-9FF8-4277-86E2-3078AB91F460}"/>
            </c:ext>
          </c:extLst>
        </c:ser>
        <c:ser>
          <c:idx val="2"/>
          <c:order val="2"/>
          <c:tx>
            <c:strRef>
              <c:f>'OCP Data'!$I$48</c:f>
              <c:strCache>
                <c:ptCount val="1"/>
                <c:pt idx="0">
                  <c:v>Worst Case OCP</c:v>
                </c:pt>
              </c:strCache>
            </c:strRef>
          </c:tx>
          <c:spPr>
            <a:ln w="19050" cap="rnd">
              <a:solidFill>
                <a:srgbClr val="FFC000"/>
              </a:solidFill>
              <a:prstDash val="dash"/>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Data'!$I$49:$I$85</c:f>
              <c:numCache>
                <c:formatCode>General</c:formatCode>
                <c:ptCount val="37"/>
                <c:pt idx="26">
                  <c:v>3606.7793999999999</c:v>
                </c:pt>
                <c:pt idx="27">
                  <c:v>2293.1965799999998</c:v>
                </c:pt>
                <c:pt idx="28">
                  <c:v>2728.9039302000001</c:v>
                </c:pt>
                <c:pt idx="29">
                  <c:v>2783.4820088040005</c:v>
                </c:pt>
                <c:pt idx="30">
                  <c:v>2839.1516489800806</c:v>
                </c:pt>
                <c:pt idx="31">
                  <c:v>2895.9346819596822</c:v>
                </c:pt>
                <c:pt idx="32">
                  <c:v>3185.5281501556506</c:v>
                </c:pt>
                <c:pt idx="33">
                  <c:v>3504.0809651712161</c:v>
                </c:pt>
                <c:pt idx="34">
                  <c:v>3854.4890616883381</c:v>
                </c:pt>
                <c:pt idx="35">
                  <c:v>4239.9379678571722</c:v>
                </c:pt>
                <c:pt idx="36">
                  <c:v>4663.9317646428899</c:v>
                </c:pt>
              </c:numCache>
            </c:numRef>
          </c:val>
          <c:smooth val="0"/>
          <c:extLst>
            <c:ext xmlns:c16="http://schemas.microsoft.com/office/drawing/2014/chart" uri="{C3380CC4-5D6E-409C-BE32-E72D297353CC}">
              <c16:uniqueId val="{00000002-9FF8-4277-86E2-3078AB91F460}"/>
            </c:ext>
          </c:extLst>
        </c:ser>
        <c:ser>
          <c:idx val="3"/>
          <c:order val="3"/>
          <c:tx>
            <c:strRef>
              <c:f>'OCP Data'!$J$48</c:f>
              <c:strCache>
                <c:ptCount val="1"/>
                <c:pt idx="0">
                  <c:v>Early Hist. Avg.</c:v>
                </c:pt>
              </c:strCache>
            </c:strRef>
          </c:tx>
          <c:spPr>
            <a:ln w="15875" cap="rnd">
              <a:solidFill>
                <a:schemeClr val="tx1"/>
              </a:solidFill>
              <a:prstDash val="lgDash"/>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Data'!$J$49:$J$85</c:f>
              <c:numCache>
                <c:formatCode>General</c:formatCode>
                <c:ptCount val="37"/>
                <c:pt idx="0">
                  <c:v>778.77689411764709</c:v>
                </c:pt>
                <c:pt idx="1">
                  <c:v>778.77689411764709</c:v>
                </c:pt>
                <c:pt idx="2">
                  <c:v>778.77689411764709</c:v>
                </c:pt>
                <c:pt idx="3">
                  <c:v>778.77689411764709</c:v>
                </c:pt>
                <c:pt idx="4">
                  <c:v>778.77689411764709</c:v>
                </c:pt>
                <c:pt idx="5">
                  <c:v>778.77689411764709</c:v>
                </c:pt>
                <c:pt idx="6">
                  <c:v>778.77689411764709</c:v>
                </c:pt>
                <c:pt idx="7">
                  <c:v>778.77689411764709</c:v>
                </c:pt>
                <c:pt idx="8">
                  <c:v>778.77689411764709</c:v>
                </c:pt>
                <c:pt idx="9">
                  <c:v>778.77689411764709</c:v>
                </c:pt>
                <c:pt idx="10">
                  <c:v>778.77689411764709</c:v>
                </c:pt>
                <c:pt idx="11">
                  <c:v>778.77689411764709</c:v>
                </c:pt>
                <c:pt idx="12">
                  <c:v>778.77689411764709</c:v>
                </c:pt>
                <c:pt idx="13">
                  <c:v>778.77689411764709</c:v>
                </c:pt>
                <c:pt idx="14">
                  <c:v>778.77689411764709</c:v>
                </c:pt>
                <c:pt idx="15">
                  <c:v>778.77689411764709</c:v>
                </c:pt>
                <c:pt idx="16">
                  <c:v>778.77689411764709</c:v>
                </c:pt>
              </c:numCache>
            </c:numRef>
          </c:val>
          <c:smooth val="0"/>
          <c:extLst>
            <c:ext xmlns:c16="http://schemas.microsoft.com/office/drawing/2014/chart" uri="{C3380CC4-5D6E-409C-BE32-E72D297353CC}">
              <c16:uniqueId val="{00000003-9FF8-4277-86E2-3078AB91F460}"/>
            </c:ext>
          </c:extLst>
        </c:ser>
        <c:ser>
          <c:idx val="4"/>
          <c:order val="4"/>
          <c:tx>
            <c:strRef>
              <c:f>'OCP Data'!$K$48</c:f>
              <c:strCache>
                <c:ptCount val="1"/>
                <c:pt idx="0">
                  <c:v>Recent Hist. Avg.</c:v>
                </c:pt>
              </c:strCache>
            </c:strRef>
          </c:tx>
          <c:spPr>
            <a:ln w="19050" cap="rnd">
              <a:solidFill>
                <a:schemeClr val="tx1"/>
              </a:solidFill>
              <a:prstDash val="dashDot"/>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Data'!$K$49:$K$85</c:f>
              <c:numCache>
                <c:formatCode>General</c:formatCode>
                <c:ptCount val="37"/>
                <c:pt idx="17">
                  <c:v>4192.08961</c:v>
                </c:pt>
                <c:pt idx="18">
                  <c:v>4192.08961</c:v>
                </c:pt>
                <c:pt idx="19">
                  <c:v>4192.08961</c:v>
                </c:pt>
                <c:pt idx="20">
                  <c:v>4192.08961</c:v>
                </c:pt>
                <c:pt idx="21">
                  <c:v>4192.08961</c:v>
                </c:pt>
                <c:pt idx="22">
                  <c:v>4192.08961</c:v>
                </c:pt>
                <c:pt idx="23">
                  <c:v>4192.08961</c:v>
                </c:pt>
                <c:pt idx="24">
                  <c:v>4192.08961</c:v>
                </c:pt>
                <c:pt idx="25">
                  <c:v>4192.08961</c:v>
                </c:pt>
              </c:numCache>
            </c:numRef>
          </c:val>
          <c:smooth val="0"/>
          <c:extLst>
            <c:ext xmlns:c16="http://schemas.microsoft.com/office/drawing/2014/chart" uri="{C3380CC4-5D6E-409C-BE32-E72D297353CC}">
              <c16:uniqueId val="{00000004-9FF8-4277-86E2-3078AB91F460}"/>
            </c:ext>
          </c:extLst>
        </c:ser>
        <c:ser>
          <c:idx val="5"/>
          <c:order val="5"/>
          <c:tx>
            <c:strRef>
              <c:f>'OCP Data'!$L$48</c:f>
              <c:strCache>
                <c:ptCount val="1"/>
                <c:pt idx="0">
                  <c:v>Best-Case Avg</c:v>
                </c:pt>
              </c:strCache>
            </c:strRef>
          </c:tx>
          <c:spPr>
            <a:ln w="19050" cap="rnd">
              <a:solidFill>
                <a:schemeClr val="tx1"/>
              </a:solidFill>
              <a:prstDash val="sysDash"/>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Data'!$L$49:$L$85</c:f>
              <c:numCache>
                <c:formatCode>General</c:formatCode>
                <c:ptCount val="37"/>
                <c:pt idx="27">
                  <c:v>6170.6868366262497</c:v>
                </c:pt>
                <c:pt idx="28">
                  <c:v>6170.6868366262497</c:v>
                </c:pt>
                <c:pt idx="29">
                  <c:v>6170.6868366262497</c:v>
                </c:pt>
                <c:pt idx="30">
                  <c:v>6170.6868366262497</c:v>
                </c:pt>
                <c:pt idx="31">
                  <c:v>6170.6868366262497</c:v>
                </c:pt>
                <c:pt idx="32">
                  <c:v>6170.6868366262497</c:v>
                </c:pt>
                <c:pt idx="33">
                  <c:v>6170.6868366262497</c:v>
                </c:pt>
                <c:pt idx="34">
                  <c:v>6170.6868366262497</c:v>
                </c:pt>
                <c:pt idx="35">
                  <c:v>6170.6868366262497</c:v>
                </c:pt>
                <c:pt idx="36">
                  <c:v>6170.6868366262497</c:v>
                </c:pt>
              </c:numCache>
            </c:numRef>
          </c:val>
          <c:smooth val="0"/>
          <c:extLst>
            <c:ext xmlns:c16="http://schemas.microsoft.com/office/drawing/2014/chart" uri="{C3380CC4-5D6E-409C-BE32-E72D297353CC}">
              <c16:uniqueId val="{00000005-9FF8-4277-86E2-3078AB91F460}"/>
            </c:ext>
          </c:extLst>
        </c:ser>
        <c:ser>
          <c:idx val="6"/>
          <c:order val="6"/>
          <c:tx>
            <c:strRef>
              <c:f>'OCP Data'!$M$48</c:f>
              <c:strCache>
                <c:ptCount val="1"/>
                <c:pt idx="0">
                  <c:v>Worst-Case Avg</c:v>
                </c:pt>
              </c:strCache>
            </c:strRef>
          </c:tx>
          <c:spPr>
            <a:ln w="19050" cap="rnd">
              <a:solidFill>
                <a:schemeClr val="tx1"/>
              </a:solidFill>
              <a:prstDash val="sysDot"/>
              <a:round/>
            </a:ln>
            <a:effectLst/>
          </c:spPr>
          <c:marker>
            <c:symbol val="none"/>
          </c:marker>
          <c:cat>
            <c:numRef>
              <c:f>'OCP Data'!$F$49:$F$85</c:f>
              <c:numCache>
                <c:formatCode>yyyy</c:formatCode>
                <c:ptCount val="37"/>
                <c:pt idx="0">
                  <c:v>32873</c:v>
                </c:pt>
                <c:pt idx="1">
                  <c:v>33238</c:v>
                </c:pt>
                <c:pt idx="2">
                  <c:v>33603</c:v>
                </c:pt>
                <c:pt idx="3">
                  <c:v>33969</c:v>
                </c:pt>
                <c:pt idx="4">
                  <c:v>34334</c:v>
                </c:pt>
                <c:pt idx="5">
                  <c:v>34699</c:v>
                </c:pt>
                <c:pt idx="6">
                  <c:v>35064</c:v>
                </c:pt>
                <c:pt idx="7">
                  <c:v>35430</c:v>
                </c:pt>
                <c:pt idx="8">
                  <c:v>35795</c:v>
                </c:pt>
                <c:pt idx="9">
                  <c:v>36160</c:v>
                </c:pt>
                <c:pt idx="10">
                  <c:v>36525</c:v>
                </c:pt>
                <c:pt idx="11">
                  <c:v>36891</c:v>
                </c:pt>
                <c:pt idx="12">
                  <c:v>37256</c:v>
                </c:pt>
                <c:pt idx="13">
                  <c:v>37621</c:v>
                </c:pt>
                <c:pt idx="14">
                  <c:v>37986</c:v>
                </c:pt>
                <c:pt idx="15">
                  <c:v>38352</c:v>
                </c:pt>
                <c:pt idx="16">
                  <c:v>38717</c:v>
                </c:pt>
                <c:pt idx="17">
                  <c:v>39082</c:v>
                </c:pt>
                <c:pt idx="18">
                  <c:v>39447</c:v>
                </c:pt>
                <c:pt idx="19">
                  <c:v>39813</c:v>
                </c:pt>
                <c:pt idx="20">
                  <c:v>40178</c:v>
                </c:pt>
                <c:pt idx="21">
                  <c:v>40543</c:v>
                </c:pt>
                <c:pt idx="22">
                  <c:v>40908</c:v>
                </c:pt>
                <c:pt idx="23">
                  <c:v>41274</c:v>
                </c:pt>
                <c:pt idx="24">
                  <c:v>41639</c:v>
                </c:pt>
                <c:pt idx="25">
                  <c:v>42004</c:v>
                </c:pt>
                <c:pt idx="26">
                  <c:v>42369</c:v>
                </c:pt>
                <c:pt idx="27">
                  <c:v>42735</c:v>
                </c:pt>
                <c:pt idx="28">
                  <c:v>43100</c:v>
                </c:pt>
                <c:pt idx="29">
                  <c:v>43465</c:v>
                </c:pt>
                <c:pt idx="30">
                  <c:v>43830</c:v>
                </c:pt>
                <c:pt idx="31">
                  <c:v>44196</c:v>
                </c:pt>
                <c:pt idx="32">
                  <c:v>44561</c:v>
                </c:pt>
                <c:pt idx="33">
                  <c:v>44926</c:v>
                </c:pt>
                <c:pt idx="34">
                  <c:v>45291</c:v>
                </c:pt>
                <c:pt idx="35">
                  <c:v>45657</c:v>
                </c:pt>
                <c:pt idx="36">
                  <c:v>46022</c:v>
                </c:pt>
              </c:numCache>
            </c:numRef>
          </c:cat>
          <c:val>
            <c:numRef>
              <c:f>'OCP Data'!$M$49:$M$85</c:f>
              <c:numCache>
                <c:formatCode>General</c:formatCode>
                <c:ptCount val="37"/>
                <c:pt idx="27">
                  <c:v>3298.8636759459027</c:v>
                </c:pt>
                <c:pt idx="28">
                  <c:v>3298.8636759459027</c:v>
                </c:pt>
                <c:pt idx="29">
                  <c:v>3298.8636759459027</c:v>
                </c:pt>
                <c:pt idx="30">
                  <c:v>3298.8636759459027</c:v>
                </c:pt>
                <c:pt idx="31">
                  <c:v>3298.8636759459027</c:v>
                </c:pt>
                <c:pt idx="32">
                  <c:v>3298.8636759459027</c:v>
                </c:pt>
                <c:pt idx="33">
                  <c:v>3298.8636759459027</c:v>
                </c:pt>
                <c:pt idx="34">
                  <c:v>3298.8636759459027</c:v>
                </c:pt>
                <c:pt idx="35">
                  <c:v>3298.8636759459027</c:v>
                </c:pt>
                <c:pt idx="36">
                  <c:v>3298.8636759459027</c:v>
                </c:pt>
              </c:numCache>
            </c:numRef>
          </c:val>
          <c:smooth val="0"/>
          <c:extLst>
            <c:ext xmlns:c16="http://schemas.microsoft.com/office/drawing/2014/chart" uri="{C3380CC4-5D6E-409C-BE32-E72D297353CC}">
              <c16:uniqueId val="{00000006-9FF8-4277-86E2-3078AB91F460}"/>
            </c:ext>
          </c:extLst>
        </c:ser>
        <c:dLbls>
          <c:showLegendKey val="0"/>
          <c:showVal val="0"/>
          <c:showCatName val="0"/>
          <c:showSerName val="0"/>
          <c:showPercent val="0"/>
          <c:showBubbleSize val="0"/>
        </c:dLbls>
        <c:smooth val="0"/>
        <c:axId val="818915368"/>
        <c:axId val="818906840"/>
      </c:lineChart>
      <c:dateAx>
        <c:axId val="818915368"/>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906840"/>
        <c:crosses val="autoZero"/>
        <c:auto val="1"/>
        <c:lblOffset val="100"/>
        <c:baseTimeUnit val="years"/>
      </c:dateAx>
      <c:valAx>
        <c:axId val="818906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8915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OCP Growth Rates With Best-Case Growth Assumptions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Data'!$L$90</c:f>
              <c:strCache>
                <c:ptCount val="1"/>
                <c:pt idx="0">
                  <c:v>Best-Case 5Y RGR</c:v>
                </c:pt>
              </c:strCache>
            </c:strRef>
          </c:tx>
          <c:spPr>
            <a:ln w="19050" cap="rnd">
              <a:solidFill>
                <a:srgbClr val="0049AA"/>
              </a:solidFill>
              <a:round/>
            </a:ln>
            <a:effectLst/>
          </c:spPr>
          <c:marker>
            <c:symbol val="none"/>
          </c:marker>
          <c:cat>
            <c:numRef>
              <c:f>'OCP Data'!$K$91:$K$122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Data'!$L$91:$L$122</c:f>
              <c:numCache>
                <c:formatCode>0.0%</c:formatCode>
                <c:ptCount val="32"/>
                <c:pt idx="0">
                  <c:v>0.51835969272918869</c:v>
                </c:pt>
                <c:pt idx="1">
                  <c:v>0.65777919926649187</c:v>
                </c:pt>
                <c:pt idx="2">
                  <c:v>0.33454506880846213</c:v>
                </c:pt>
                <c:pt idx="3">
                  <c:v>0.36445887939385724</c:v>
                </c:pt>
                <c:pt idx="4">
                  <c:v>3.1800564986858237E-2</c:v>
                </c:pt>
                <c:pt idx="5">
                  <c:v>9.6330814753040395E-2</c:v>
                </c:pt>
                <c:pt idx="6">
                  <c:v>-7.6086784781695616E-2</c:v>
                </c:pt>
                <c:pt idx="7">
                  <c:v>-4.4357846011110036E-2</c:v>
                </c:pt>
                <c:pt idx="8">
                  <c:v>-0.11284726235911735</c:v>
                </c:pt>
                <c:pt idx="9">
                  <c:v>-0.14986740732711412</c:v>
                </c:pt>
                <c:pt idx="10">
                  <c:v>-0.31147574778880638</c:v>
                </c:pt>
                <c:pt idx="11">
                  <c:v>0.1981895573680954</c:v>
                </c:pt>
                <c:pt idx="12">
                  <c:v>0.95201475351150777</c:v>
                </c:pt>
                <c:pt idx="13">
                  <c:v>0.78154843432387167</c:v>
                </c:pt>
                <c:pt idx="14">
                  <c:v>0.20753343841969341</c:v>
                </c:pt>
                <c:pt idx="15">
                  <c:v>0.25740326381038381</c:v>
                </c:pt>
                <c:pt idx="16">
                  <c:v>5.8718365695791919E-2</c:v>
                </c:pt>
                <c:pt idx="17">
                  <c:v>1.0088782536496588E-2</c:v>
                </c:pt>
                <c:pt idx="18">
                  <c:v>-0.18900032371782982</c:v>
                </c:pt>
                <c:pt idx="19">
                  <c:v>0.27050676638816529</c:v>
                </c:pt>
                <c:pt idx="20">
                  <c:v>3.7568632125227541E-2</c:v>
                </c:pt>
                <c:pt idx="21">
                  <c:v>4.3607442352514791E-2</c:v>
                </c:pt>
                <c:pt idx="22">
                  <c:v>-8.5593153581404846E-2</c:v>
                </c:pt>
                <c:pt idx="23">
                  <c:v>0.11725095830634591</c:v>
                </c:pt>
                <c:pt idx="24">
                  <c:v>-7.2654692632853846E-2</c:v>
                </c:pt>
                <c:pt idx="25">
                  <c:v>6.4165080282530429E-2</c:v>
                </c:pt>
                <c:pt idx="26">
                  <c:v>0.15837556569165345</c:v>
                </c:pt>
                <c:pt idx="27">
                  <c:v>0.18116322635130144</c:v>
                </c:pt>
                <c:pt idx="28">
                  <c:v>7.9959319952412011E-2</c:v>
                </c:pt>
                <c:pt idx="29">
                  <c:v>5.2717613404168473E-2</c:v>
                </c:pt>
                <c:pt idx="30">
                  <c:v>2.6785714285714191E-2</c:v>
                </c:pt>
                <c:pt idx="31">
                  <c:v>0</c:v>
                </c:pt>
              </c:numCache>
            </c:numRef>
          </c:val>
          <c:smooth val="0"/>
          <c:extLst>
            <c:ext xmlns:c16="http://schemas.microsoft.com/office/drawing/2014/chart" uri="{C3380CC4-5D6E-409C-BE32-E72D297353CC}">
              <c16:uniqueId val="{00000000-4E24-4186-8A28-257A61D2C2A8}"/>
            </c:ext>
          </c:extLst>
        </c:ser>
        <c:ser>
          <c:idx val="1"/>
          <c:order val="1"/>
          <c:tx>
            <c:strRef>
              <c:f>'OCP Data'!$M$90</c:f>
              <c:strCache>
                <c:ptCount val="1"/>
                <c:pt idx="0">
                  <c:v>Best-Case 10Y RGR</c:v>
                </c:pt>
              </c:strCache>
            </c:strRef>
          </c:tx>
          <c:spPr>
            <a:ln w="19050" cap="rnd">
              <a:solidFill>
                <a:srgbClr val="575A5D"/>
              </a:solidFill>
              <a:round/>
            </a:ln>
            <a:effectLst/>
          </c:spPr>
          <c:marker>
            <c:symbol val="none"/>
          </c:marker>
          <c:cat>
            <c:numRef>
              <c:f>'OCP Data'!$K$91:$K$122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Data'!$M$91:$M$122</c:f>
              <c:numCache>
                <c:formatCode>0.0%</c:formatCode>
                <c:ptCount val="32"/>
                <c:pt idx="7">
                  <c:v>8.6158685837965931E-2</c:v>
                </c:pt>
                <c:pt idx="8">
                  <c:v>8.9163527539990017E-2</c:v>
                </c:pt>
                <c:pt idx="9">
                  <c:v>-5.3545898931991243E-2</c:v>
                </c:pt>
                <c:pt idx="10">
                  <c:v>-7.5756351350425355E-2</c:v>
                </c:pt>
                <c:pt idx="11">
                  <c:v>1.0134678447246692E-2</c:v>
                </c:pt>
                <c:pt idx="12">
                  <c:v>0.32717316130190599</c:v>
                </c:pt>
                <c:pt idx="13">
                  <c:v>0.37767474332254203</c:v>
                </c:pt>
                <c:pt idx="14">
                  <c:v>0.10360769526151348</c:v>
                </c:pt>
                <c:pt idx="15">
                  <c:v>0.12997686183239954</c:v>
                </c:pt>
                <c:pt idx="16">
                  <c:v>7.7754278754775807E-2</c:v>
                </c:pt>
                <c:pt idx="17">
                  <c:v>0.15301494957275663</c:v>
                </c:pt>
                <c:pt idx="18">
                  <c:v>6.032161268760361E-2</c:v>
                </c:pt>
                <c:pt idx="19">
                  <c:v>0.24332611888744626</c:v>
                </c:pt>
                <c:pt idx="20">
                  <c:v>0.12972245839784957</c:v>
                </c:pt>
                <c:pt idx="21">
                  <c:v>5.0657798976907698E-2</c:v>
                </c:pt>
                <c:pt idx="22">
                  <c:v>-4.0608001220660883E-2</c:v>
                </c:pt>
                <c:pt idx="23">
                  <c:v>-3.4342552980181185E-2</c:v>
                </c:pt>
                <c:pt idx="24">
                  <c:v>7.0004180587555309E-2</c:v>
                </c:pt>
                <c:pt idx="25">
                  <c:v>5.1036570444366935E-2</c:v>
                </c:pt>
                <c:pt idx="26">
                  <c:v>0.10244978206822064</c:v>
                </c:pt>
                <c:pt idx="27">
                  <c:v>5.8112561497222881E-2</c:v>
                </c:pt>
                <c:pt idx="28">
                  <c:v>9.4825117439811812E-2</c:v>
                </c:pt>
                <c:pt idx="29">
                  <c:v>1.715949389162974E-3</c:v>
                </c:pt>
                <c:pt idx="30">
                  <c:v>4.0862761026901007E-2</c:v>
                </c:pt>
                <c:pt idx="31">
                  <c:v>6.0979426221999145E-2</c:v>
                </c:pt>
              </c:numCache>
            </c:numRef>
          </c:val>
          <c:smooth val="0"/>
          <c:extLst>
            <c:ext xmlns:c16="http://schemas.microsoft.com/office/drawing/2014/chart" uri="{C3380CC4-5D6E-409C-BE32-E72D297353CC}">
              <c16:uniqueId val="{00000001-4E24-4186-8A28-257A61D2C2A8}"/>
            </c:ext>
          </c:extLst>
        </c:ser>
        <c:dLbls>
          <c:showLegendKey val="0"/>
          <c:showVal val="0"/>
          <c:showCatName val="0"/>
          <c:showSerName val="0"/>
          <c:showPercent val="0"/>
          <c:showBubbleSize val="0"/>
        </c:dLbls>
        <c:smooth val="0"/>
        <c:axId val="816143808"/>
        <c:axId val="816141512"/>
      </c:lineChart>
      <c:catAx>
        <c:axId val="8161438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6141512"/>
        <c:crosses val="autoZero"/>
        <c:auto val="1"/>
        <c:lblAlgn val="ctr"/>
        <c:lblOffset val="100"/>
        <c:tickLblSkip val="5"/>
        <c:noMultiLvlLbl val="0"/>
      </c:catAx>
      <c:valAx>
        <c:axId val="81614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6143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OCP Growth Rates With Worst-Case Growth Assumptions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'OCP Data'!$P$90</c:f>
              <c:strCache>
                <c:ptCount val="1"/>
                <c:pt idx="0">
                  <c:v>Worst-Case 5Y RGR</c:v>
                </c:pt>
              </c:strCache>
            </c:strRef>
          </c:tx>
          <c:spPr>
            <a:ln w="19050" cap="rnd">
              <a:solidFill>
                <a:srgbClr val="0049AA"/>
              </a:solidFill>
              <a:round/>
            </a:ln>
            <a:effectLst/>
          </c:spPr>
          <c:marker>
            <c:symbol val="none"/>
          </c:marker>
          <c:cat>
            <c:numRef>
              <c:f>'OCP Data'!$O$91:$O$122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Data'!$P$91:$P$122</c:f>
              <c:numCache>
                <c:formatCode>0.0%</c:formatCode>
                <c:ptCount val="32"/>
                <c:pt idx="0">
                  <c:v>0.51835969272918869</c:v>
                </c:pt>
                <c:pt idx="1">
                  <c:v>0.65777919926649187</c:v>
                </c:pt>
                <c:pt idx="2">
                  <c:v>0.33454506880846213</c:v>
                </c:pt>
                <c:pt idx="3">
                  <c:v>0.36445887939385724</c:v>
                </c:pt>
                <c:pt idx="4">
                  <c:v>3.1800564986858237E-2</c:v>
                </c:pt>
                <c:pt idx="5">
                  <c:v>9.6330814753040395E-2</c:v>
                </c:pt>
                <c:pt idx="6">
                  <c:v>-7.6086784781695616E-2</c:v>
                </c:pt>
                <c:pt idx="7">
                  <c:v>-4.4357846011110036E-2</c:v>
                </c:pt>
                <c:pt idx="8">
                  <c:v>-0.11284726235911735</c:v>
                </c:pt>
                <c:pt idx="9">
                  <c:v>-0.14986740732711412</c:v>
                </c:pt>
                <c:pt idx="10">
                  <c:v>-0.31147574778880638</c:v>
                </c:pt>
                <c:pt idx="11">
                  <c:v>0.1981895573680954</c:v>
                </c:pt>
                <c:pt idx="12">
                  <c:v>0.95201475351150777</c:v>
                </c:pt>
                <c:pt idx="13">
                  <c:v>0.78154843432387167</c:v>
                </c:pt>
                <c:pt idx="14">
                  <c:v>0.20753343841969341</c:v>
                </c:pt>
                <c:pt idx="15">
                  <c:v>0.25740326381038381</c:v>
                </c:pt>
                <c:pt idx="16">
                  <c:v>5.8718365695791919E-2</c:v>
                </c:pt>
                <c:pt idx="17">
                  <c:v>1.0088782536496588E-2</c:v>
                </c:pt>
                <c:pt idx="18">
                  <c:v>-0.18900032371782982</c:v>
                </c:pt>
                <c:pt idx="19">
                  <c:v>0.27050676638816529</c:v>
                </c:pt>
                <c:pt idx="20">
                  <c:v>3.7568632125227541E-2</c:v>
                </c:pt>
                <c:pt idx="21">
                  <c:v>4.3607442352514791E-2</c:v>
                </c:pt>
                <c:pt idx="22">
                  <c:v>-9.2831587006530714E-2</c:v>
                </c:pt>
                <c:pt idx="23">
                  <c:v>1.0898441875216713E-2</c:v>
                </c:pt>
                <c:pt idx="24">
                  <c:v>-0.22794567410123256</c:v>
                </c:pt>
                <c:pt idx="25">
                  <c:v>-0.15614223627222368</c:v>
                </c:pt>
                <c:pt idx="26">
                  <c:v>-8.9839663379536083E-2</c:v>
                </c:pt>
                <c:pt idx="27">
                  <c:v>6.590011025632303E-2</c:v>
                </c:pt>
                <c:pt idx="28">
                  <c:v>5.3708654639246456E-2</c:v>
                </c:pt>
                <c:pt idx="29">
                  <c:v>7.0423103363200568E-2</c:v>
                </c:pt>
                <c:pt idx="30">
                  <c:v>8.6047695951390057E-2</c:v>
                </c:pt>
                <c:pt idx="31">
                  <c:v>0.10000000000000031</c:v>
                </c:pt>
              </c:numCache>
            </c:numRef>
          </c:val>
          <c:smooth val="0"/>
          <c:extLst>
            <c:ext xmlns:c16="http://schemas.microsoft.com/office/drawing/2014/chart" uri="{C3380CC4-5D6E-409C-BE32-E72D297353CC}">
              <c16:uniqueId val="{00000000-A622-4F3C-AE89-3893F1C65EFA}"/>
            </c:ext>
          </c:extLst>
        </c:ser>
        <c:ser>
          <c:idx val="1"/>
          <c:order val="1"/>
          <c:tx>
            <c:strRef>
              <c:f>'OCP Data'!$Q$90</c:f>
              <c:strCache>
                <c:ptCount val="1"/>
                <c:pt idx="0">
                  <c:v>Worst-Case 10Y RGR</c:v>
                </c:pt>
              </c:strCache>
            </c:strRef>
          </c:tx>
          <c:spPr>
            <a:ln w="19050" cap="rnd">
              <a:solidFill>
                <a:srgbClr val="575A5D"/>
              </a:solidFill>
              <a:round/>
            </a:ln>
            <a:effectLst/>
          </c:spPr>
          <c:marker>
            <c:symbol val="none"/>
          </c:marker>
          <c:cat>
            <c:numRef>
              <c:f>'OCP Data'!$O$91:$O$122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Data'!$Q$91:$Q$122</c:f>
              <c:numCache>
                <c:formatCode>0.0%</c:formatCode>
                <c:ptCount val="32"/>
                <c:pt idx="7">
                  <c:v>8.6158685837965931E-2</c:v>
                </c:pt>
                <c:pt idx="8">
                  <c:v>8.9163527539990017E-2</c:v>
                </c:pt>
                <c:pt idx="9">
                  <c:v>-5.3545898931991243E-2</c:v>
                </c:pt>
                <c:pt idx="10">
                  <c:v>-7.5756351350425355E-2</c:v>
                </c:pt>
                <c:pt idx="11">
                  <c:v>1.0134678447246692E-2</c:v>
                </c:pt>
                <c:pt idx="12">
                  <c:v>0.32717316130190599</c:v>
                </c:pt>
                <c:pt idx="13">
                  <c:v>0.37767474332254203</c:v>
                </c:pt>
                <c:pt idx="14">
                  <c:v>0.10360769526151348</c:v>
                </c:pt>
                <c:pt idx="15">
                  <c:v>0.12997686183239954</c:v>
                </c:pt>
                <c:pt idx="16">
                  <c:v>7.7754278754775807E-2</c:v>
                </c:pt>
                <c:pt idx="17">
                  <c:v>0.15301494957275663</c:v>
                </c:pt>
                <c:pt idx="18">
                  <c:v>6.032161268760361E-2</c:v>
                </c:pt>
                <c:pt idx="19">
                  <c:v>0.24332611888744626</c:v>
                </c:pt>
                <c:pt idx="20">
                  <c:v>0.12972245839784957</c:v>
                </c:pt>
                <c:pt idx="21">
                  <c:v>5.0657798976907698E-2</c:v>
                </c:pt>
                <c:pt idx="22">
                  <c:v>-4.4443263224995588E-2</c:v>
                </c:pt>
                <c:pt idx="23">
                  <c:v>-8.8448024131217773E-2</c:v>
                </c:pt>
                <c:pt idx="24">
                  <c:v>-7.5488757617850899E-3</c:v>
                </c:pt>
                <c:pt idx="25">
                  <c:v>-4.6493559011255403E-2</c:v>
                </c:pt>
                <c:pt idx="26">
                  <c:v>-7.6434576440193025E-3</c:v>
                </c:pt>
                <c:pt idx="27">
                  <c:v>-3.2714290153450398E-2</c:v>
                </c:pt>
                <c:pt idx="28">
                  <c:v>3.4180520930674252E-2</c:v>
                </c:pt>
                <c:pt idx="29">
                  <c:v>-8.956169102194822E-2</c:v>
                </c:pt>
                <c:pt idx="30">
                  <c:v>-1.9352045890824621E-2</c:v>
                </c:pt>
                <c:pt idx="31">
                  <c:v>3.3106896991437873E-2</c:v>
                </c:pt>
              </c:numCache>
            </c:numRef>
          </c:val>
          <c:smooth val="0"/>
          <c:extLst>
            <c:ext xmlns:c16="http://schemas.microsoft.com/office/drawing/2014/chart" uri="{C3380CC4-5D6E-409C-BE32-E72D297353CC}">
              <c16:uniqueId val="{00000001-A622-4F3C-AE89-3893F1C65EFA}"/>
            </c:ext>
          </c:extLst>
        </c:ser>
        <c:dLbls>
          <c:showLegendKey val="0"/>
          <c:showVal val="0"/>
          <c:showCatName val="0"/>
          <c:showSerName val="0"/>
          <c:showPercent val="0"/>
          <c:showBubbleSize val="0"/>
        </c:dLbls>
        <c:smooth val="0"/>
        <c:axId val="816143808"/>
        <c:axId val="816141512"/>
      </c:lineChart>
      <c:catAx>
        <c:axId val="8161438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6141512"/>
        <c:crosses val="autoZero"/>
        <c:auto val="1"/>
        <c:lblAlgn val="ctr"/>
        <c:lblOffset val="100"/>
        <c:tickLblSkip val="5"/>
        <c:noMultiLvlLbl val="0"/>
      </c:catAx>
      <c:valAx>
        <c:axId val="81614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6143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OCP Growth Rates With Best-Case Growth Assumptions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'OCP Data'!$L$90</c:f>
              <c:strCache>
                <c:ptCount val="1"/>
                <c:pt idx="0">
                  <c:v>Best-Case 5Y RGR</c:v>
                </c:pt>
              </c:strCache>
            </c:strRef>
          </c:tx>
          <c:spPr>
            <a:solidFill>
              <a:schemeClr val="accent1"/>
            </a:solidFill>
            <a:ln w="19050">
              <a:solidFill>
                <a:srgbClr val="0049AA"/>
              </a:solidFill>
            </a:ln>
            <a:effectLst/>
          </c:spPr>
          <c:invertIfNegative val="0"/>
          <c:cat>
            <c:numRef>
              <c:f>'OCP Data'!$K$91:$K$122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Data'!$L$91:$L$122</c:f>
              <c:numCache>
                <c:formatCode>0.0%</c:formatCode>
                <c:ptCount val="32"/>
                <c:pt idx="0">
                  <c:v>0.51835969272918869</c:v>
                </c:pt>
                <c:pt idx="1">
                  <c:v>0.65777919926649187</c:v>
                </c:pt>
                <c:pt idx="2">
                  <c:v>0.33454506880846213</c:v>
                </c:pt>
                <c:pt idx="3">
                  <c:v>0.36445887939385724</c:v>
                </c:pt>
                <c:pt idx="4">
                  <c:v>3.1800564986858237E-2</c:v>
                </c:pt>
                <c:pt idx="5">
                  <c:v>9.6330814753040395E-2</c:v>
                </c:pt>
                <c:pt idx="6">
                  <c:v>-7.6086784781695616E-2</c:v>
                </c:pt>
                <c:pt idx="7">
                  <c:v>-4.4357846011110036E-2</c:v>
                </c:pt>
                <c:pt idx="8">
                  <c:v>-0.11284726235911735</c:v>
                </c:pt>
                <c:pt idx="9">
                  <c:v>-0.14986740732711412</c:v>
                </c:pt>
                <c:pt idx="10">
                  <c:v>-0.31147574778880638</c:v>
                </c:pt>
                <c:pt idx="11">
                  <c:v>0.1981895573680954</c:v>
                </c:pt>
                <c:pt idx="12">
                  <c:v>0.95201475351150777</c:v>
                </c:pt>
                <c:pt idx="13">
                  <c:v>0.78154843432387167</c:v>
                </c:pt>
                <c:pt idx="14">
                  <c:v>0.20753343841969341</c:v>
                </c:pt>
                <c:pt idx="15">
                  <c:v>0.25740326381038381</c:v>
                </c:pt>
                <c:pt idx="16">
                  <c:v>5.8718365695791919E-2</c:v>
                </c:pt>
                <c:pt idx="17">
                  <c:v>1.0088782536496588E-2</c:v>
                </c:pt>
                <c:pt idx="18">
                  <c:v>-0.18900032371782982</c:v>
                </c:pt>
                <c:pt idx="19">
                  <c:v>0.27050676638816529</c:v>
                </c:pt>
                <c:pt idx="20">
                  <c:v>3.7568632125227541E-2</c:v>
                </c:pt>
                <c:pt idx="21">
                  <c:v>4.3607442352514791E-2</c:v>
                </c:pt>
                <c:pt idx="22">
                  <c:v>-8.5593153581404846E-2</c:v>
                </c:pt>
                <c:pt idx="23">
                  <c:v>0.11725095830634591</c:v>
                </c:pt>
                <c:pt idx="24">
                  <c:v>-7.2654692632853846E-2</c:v>
                </c:pt>
                <c:pt idx="25">
                  <c:v>6.4165080282530429E-2</c:v>
                </c:pt>
                <c:pt idx="26">
                  <c:v>0.15837556569165345</c:v>
                </c:pt>
                <c:pt idx="27">
                  <c:v>0.18116322635130144</c:v>
                </c:pt>
                <c:pt idx="28">
                  <c:v>7.9959319952412011E-2</c:v>
                </c:pt>
                <c:pt idx="29">
                  <c:v>5.2717613404168473E-2</c:v>
                </c:pt>
                <c:pt idx="30">
                  <c:v>2.6785714285714191E-2</c:v>
                </c:pt>
                <c:pt idx="31">
                  <c:v>0</c:v>
                </c:pt>
              </c:numCache>
            </c:numRef>
          </c:val>
          <c:extLst>
            <c:ext xmlns:c16="http://schemas.microsoft.com/office/drawing/2014/chart" uri="{C3380CC4-5D6E-409C-BE32-E72D297353CC}">
              <c16:uniqueId val="{00000000-498C-4C14-BC9A-FBD45C802F98}"/>
            </c:ext>
          </c:extLst>
        </c:ser>
        <c:ser>
          <c:idx val="1"/>
          <c:order val="1"/>
          <c:tx>
            <c:strRef>
              <c:f>'OCP Data'!$M$90</c:f>
              <c:strCache>
                <c:ptCount val="1"/>
                <c:pt idx="0">
                  <c:v>Best-Case 10Y RGR</c:v>
                </c:pt>
              </c:strCache>
            </c:strRef>
          </c:tx>
          <c:spPr>
            <a:solidFill>
              <a:schemeClr val="accent2"/>
            </a:solidFill>
            <a:ln w="19050">
              <a:solidFill>
                <a:srgbClr val="575A5D"/>
              </a:solidFill>
            </a:ln>
            <a:effectLst/>
          </c:spPr>
          <c:invertIfNegative val="0"/>
          <c:cat>
            <c:numRef>
              <c:f>'OCP Data'!$K$91:$K$122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Data'!$M$91:$M$122</c:f>
              <c:numCache>
                <c:formatCode>0.0%</c:formatCode>
                <c:ptCount val="32"/>
                <c:pt idx="7">
                  <c:v>8.6158685837965931E-2</c:v>
                </c:pt>
                <c:pt idx="8">
                  <c:v>8.9163527539990017E-2</c:v>
                </c:pt>
                <c:pt idx="9">
                  <c:v>-5.3545898931991243E-2</c:v>
                </c:pt>
                <c:pt idx="10">
                  <c:v>-7.5756351350425355E-2</c:v>
                </c:pt>
                <c:pt idx="11">
                  <c:v>1.0134678447246692E-2</c:v>
                </c:pt>
                <c:pt idx="12">
                  <c:v>0.32717316130190599</c:v>
                </c:pt>
                <c:pt idx="13">
                  <c:v>0.37767474332254203</c:v>
                </c:pt>
                <c:pt idx="14">
                  <c:v>0.10360769526151348</c:v>
                </c:pt>
                <c:pt idx="15">
                  <c:v>0.12997686183239954</c:v>
                </c:pt>
                <c:pt idx="16">
                  <c:v>7.7754278754775807E-2</c:v>
                </c:pt>
                <c:pt idx="17">
                  <c:v>0.15301494957275663</c:v>
                </c:pt>
                <c:pt idx="18">
                  <c:v>6.032161268760361E-2</c:v>
                </c:pt>
                <c:pt idx="19">
                  <c:v>0.24332611888744626</c:v>
                </c:pt>
                <c:pt idx="20">
                  <c:v>0.12972245839784957</c:v>
                </c:pt>
                <c:pt idx="21">
                  <c:v>5.0657798976907698E-2</c:v>
                </c:pt>
                <c:pt idx="22">
                  <c:v>-4.0608001220660883E-2</c:v>
                </c:pt>
                <c:pt idx="23">
                  <c:v>-3.4342552980181185E-2</c:v>
                </c:pt>
                <c:pt idx="24">
                  <c:v>7.0004180587555309E-2</c:v>
                </c:pt>
                <c:pt idx="25">
                  <c:v>5.1036570444366935E-2</c:v>
                </c:pt>
                <c:pt idx="26">
                  <c:v>0.10244978206822064</c:v>
                </c:pt>
                <c:pt idx="27">
                  <c:v>5.8112561497222881E-2</c:v>
                </c:pt>
                <c:pt idx="28">
                  <c:v>9.4825117439811812E-2</c:v>
                </c:pt>
                <c:pt idx="29">
                  <c:v>1.715949389162974E-3</c:v>
                </c:pt>
                <c:pt idx="30">
                  <c:v>4.0862761026901007E-2</c:v>
                </c:pt>
                <c:pt idx="31">
                  <c:v>6.0979426221999145E-2</c:v>
                </c:pt>
              </c:numCache>
            </c:numRef>
          </c:val>
          <c:extLst>
            <c:ext xmlns:c16="http://schemas.microsoft.com/office/drawing/2014/chart" uri="{C3380CC4-5D6E-409C-BE32-E72D297353CC}">
              <c16:uniqueId val="{00000001-498C-4C14-BC9A-FBD45C802F98}"/>
            </c:ext>
          </c:extLst>
        </c:ser>
        <c:dLbls>
          <c:showLegendKey val="0"/>
          <c:showVal val="0"/>
          <c:showCatName val="0"/>
          <c:showSerName val="0"/>
          <c:showPercent val="0"/>
          <c:showBubbleSize val="0"/>
        </c:dLbls>
        <c:gapWidth val="150"/>
        <c:axId val="816143808"/>
        <c:axId val="816141512"/>
      </c:barChart>
      <c:catAx>
        <c:axId val="8161438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6141512"/>
        <c:crosses val="autoZero"/>
        <c:auto val="1"/>
        <c:lblAlgn val="ctr"/>
        <c:lblOffset val="100"/>
        <c:noMultiLvlLbl val="0"/>
      </c:catAx>
      <c:valAx>
        <c:axId val="81614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6143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Historical OCP Growth Rates With Worst-Case Growth Assumptions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'OCP Data'!$P$90</c:f>
              <c:strCache>
                <c:ptCount val="1"/>
                <c:pt idx="0">
                  <c:v>Worst-Case 5Y RGR</c:v>
                </c:pt>
              </c:strCache>
            </c:strRef>
          </c:tx>
          <c:spPr>
            <a:solidFill>
              <a:schemeClr val="accent1"/>
            </a:solidFill>
            <a:ln w="19050">
              <a:solidFill>
                <a:srgbClr val="0049AA"/>
              </a:solidFill>
            </a:ln>
            <a:effectLst/>
          </c:spPr>
          <c:invertIfNegative val="0"/>
          <c:cat>
            <c:numRef>
              <c:f>'OCP Data'!$O$91:$O$122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Data'!$P$91:$P$122</c:f>
              <c:numCache>
                <c:formatCode>0.0%</c:formatCode>
                <c:ptCount val="32"/>
                <c:pt idx="0">
                  <c:v>0.51835969272918869</c:v>
                </c:pt>
                <c:pt idx="1">
                  <c:v>0.65777919926649187</c:v>
                </c:pt>
                <c:pt idx="2">
                  <c:v>0.33454506880846213</c:v>
                </c:pt>
                <c:pt idx="3">
                  <c:v>0.36445887939385724</c:v>
                </c:pt>
                <c:pt idx="4">
                  <c:v>3.1800564986858237E-2</c:v>
                </c:pt>
                <c:pt idx="5">
                  <c:v>9.6330814753040395E-2</c:v>
                </c:pt>
                <c:pt idx="6">
                  <c:v>-7.6086784781695616E-2</c:v>
                </c:pt>
                <c:pt idx="7">
                  <c:v>-4.4357846011110036E-2</c:v>
                </c:pt>
                <c:pt idx="8">
                  <c:v>-0.11284726235911735</c:v>
                </c:pt>
                <c:pt idx="9">
                  <c:v>-0.14986740732711412</c:v>
                </c:pt>
                <c:pt idx="10">
                  <c:v>-0.31147574778880638</c:v>
                </c:pt>
                <c:pt idx="11">
                  <c:v>0.1981895573680954</c:v>
                </c:pt>
                <c:pt idx="12">
                  <c:v>0.95201475351150777</c:v>
                </c:pt>
                <c:pt idx="13">
                  <c:v>0.78154843432387167</c:v>
                </c:pt>
                <c:pt idx="14">
                  <c:v>0.20753343841969341</c:v>
                </c:pt>
                <c:pt idx="15">
                  <c:v>0.25740326381038381</c:v>
                </c:pt>
                <c:pt idx="16">
                  <c:v>5.8718365695791919E-2</c:v>
                </c:pt>
                <c:pt idx="17">
                  <c:v>1.0088782536496588E-2</c:v>
                </c:pt>
                <c:pt idx="18">
                  <c:v>-0.18900032371782982</c:v>
                </c:pt>
                <c:pt idx="19">
                  <c:v>0.27050676638816529</c:v>
                </c:pt>
                <c:pt idx="20">
                  <c:v>3.7568632125227541E-2</c:v>
                </c:pt>
                <c:pt idx="21">
                  <c:v>4.3607442352514791E-2</c:v>
                </c:pt>
                <c:pt idx="22">
                  <c:v>-9.2831587006530714E-2</c:v>
                </c:pt>
                <c:pt idx="23">
                  <c:v>1.0898441875216713E-2</c:v>
                </c:pt>
                <c:pt idx="24">
                  <c:v>-0.22794567410123256</c:v>
                </c:pt>
                <c:pt idx="25">
                  <c:v>-0.15614223627222368</c:v>
                </c:pt>
                <c:pt idx="26">
                  <c:v>-8.9839663379536083E-2</c:v>
                </c:pt>
                <c:pt idx="27">
                  <c:v>6.590011025632303E-2</c:v>
                </c:pt>
                <c:pt idx="28">
                  <c:v>5.3708654639246456E-2</c:v>
                </c:pt>
                <c:pt idx="29">
                  <c:v>7.0423103363200568E-2</c:v>
                </c:pt>
                <c:pt idx="30">
                  <c:v>8.6047695951390057E-2</c:v>
                </c:pt>
                <c:pt idx="31">
                  <c:v>0.10000000000000031</c:v>
                </c:pt>
              </c:numCache>
            </c:numRef>
          </c:val>
          <c:extLst>
            <c:ext xmlns:c16="http://schemas.microsoft.com/office/drawing/2014/chart" uri="{C3380CC4-5D6E-409C-BE32-E72D297353CC}">
              <c16:uniqueId val="{00000000-C7C3-4F34-B387-0026A820C92A}"/>
            </c:ext>
          </c:extLst>
        </c:ser>
        <c:ser>
          <c:idx val="1"/>
          <c:order val="1"/>
          <c:tx>
            <c:strRef>
              <c:f>'OCP Data'!$Q$90</c:f>
              <c:strCache>
                <c:ptCount val="1"/>
                <c:pt idx="0">
                  <c:v>Worst-Case 10Y RGR</c:v>
                </c:pt>
              </c:strCache>
            </c:strRef>
          </c:tx>
          <c:spPr>
            <a:solidFill>
              <a:schemeClr val="accent2"/>
            </a:solidFill>
            <a:ln w="19050">
              <a:solidFill>
                <a:srgbClr val="575A5D"/>
              </a:solidFill>
            </a:ln>
            <a:effectLst/>
          </c:spPr>
          <c:invertIfNegative val="0"/>
          <c:cat>
            <c:numRef>
              <c:f>'OCP Data'!$O$91:$O$122</c:f>
              <c:numCache>
                <c:formatCode>General</c:formatCode>
                <c:ptCount val="3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numCache>
            </c:numRef>
          </c:cat>
          <c:val>
            <c:numRef>
              <c:f>'OCP Data'!$Q$91:$Q$122</c:f>
              <c:numCache>
                <c:formatCode>0.0%</c:formatCode>
                <c:ptCount val="32"/>
                <c:pt idx="7">
                  <c:v>8.6158685837965931E-2</c:v>
                </c:pt>
                <c:pt idx="8">
                  <c:v>8.9163527539990017E-2</c:v>
                </c:pt>
                <c:pt idx="9">
                  <c:v>-5.3545898931991243E-2</c:v>
                </c:pt>
                <c:pt idx="10">
                  <c:v>-7.5756351350425355E-2</c:v>
                </c:pt>
                <c:pt idx="11">
                  <c:v>1.0134678447246692E-2</c:v>
                </c:pt>
                <c:pt idx="12">
                  <c:v>0.32717316130190599</c:v>
                </c:pt>
                <c:pt idx="13">
                  <c:v>0.37767474332254203</c:v>
                </c:pt>
                <c:pt idx="14">
                  <c:v>0.10360769526151348</c:v>
                </c:pt>
                <c:pt idx="15">
                  <c:v>0.12997686183239954</c:v>
                </c:pt>
                <c:pt idx="16">
                  <c:v>7.7754278754775807E-2</c:v>
                </c:pt>
                <c:pt idx="17">
                  <c:v>0.15301494957275663</c:v>
                </c:pt>
                <c:pt idx="18">
                  <c:v>6.032161268760361E-2</c:v>
                </c:pt>
                <c:pt idx="19">
                  <c:v>0.24332611888744626</c:v>
                </c:pt>
                <c:pt idx="20">
                  <c:v>0.12972245839784957</c:v>
                </c:pt>
                <c:pt idx="21">
                  <c:v>5.0657798976907698E-2</c:v>
                </c:pt>
                <c:pt idx="22">
                  <c:v>-4.4443263224995588E-2</c:v>
                </c:pt>
                <c:pt idx="23">
                  <c:v>-8.8448024131217773E-2</c:v>
                </c:pt>
                <c:pt idx="24">
                  <c:v>-7.5488757617850899E-3</c:v>
                </c:pt>
                <c:pt idx="25">
                  <c:v>-4.6493559011255403E-2</c:v>
                </c:pt>
                <c:pt idx="26">
                  <c:v>-7.6434576440193025E-3</c:v>
                </c:pt>
                <c:pt idx="27">
                  <c:v>-3.2714290153450398E-2</c:v>
                </c:pt>
                <c:pt idx="28">
                  <c:v>3.4180520930674252E-2</c:v>
                </c:pt>
                <c:pt idx="29">
                  <c:v>-8.956169102194822E-2</c:v>
                </c:pt>
                <c:pt idx="30">
                  <c:v>-1.9352045890824621E-2</c:v>
                </c:pt>
                <c:pt idx="31">
                  <c:v>3.3106896991437873E-2</c:v>
                </c:pt>
              </c:numCache>
            </c:numRef>
          </c:val>
          <c:extLst>
            <c:ext xmlns:c16="http://schemas.microsoft.com/office/drawing/2014/chart" uri="{C3380CC4-5D6E-409C-BE32-E72D297353CC}">
              <c16:uniqueId val="{00000001-C7C3-4F34-B387-0026A820C92A}"/>
            </c:ext>
          </c:extLst>
        </c:ser>
        <c:dLbls>
          <c:showLegendKey val="0"/>
          <c:showVal val="0"/>
          <c:showCatName val="0"/>
          <c:showSerName val="0"/>
          <c:showPercent val="0"/>
          <c:showBubbleSize val="0"/>
        </c:dLbls>
        <c:gapWidth val="150"/>
        <c:axId val="816143808"/>
        <c:axId val="816141512"/>
      </c:barChart>
      <c:catAx>
        <c:axId val="8161438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816141512"/>
        <c:crosses val="autoZero"/>
        <c:auto val="1"/>
        <c:lblAlgn val="ctr"/>
        <c:lblOffset val="100"/>
        <c:noMultiLvlLbl val="0"/>
      </c:catAx>
      <c:valAx>
        <c:axId val="81614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6143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Caterpillar ECF as a Percent of OCP</a:t>
            </a:r>
          </a:p>
          <a:p>
            <a:pPr>
              <a:defRPr sz="1200"/>
            </a:pPr>
            <a:r>
              <a:rPr lang="en-US" sz="1050"/>
              <a:t>(2002-2004 removed)</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v>OCP</c:v>
          </c:tx>
          <c:spPr>
            <a:solidFill>
              <a:schemeClr val="accent1"/>
            </a:solidFill>
            <a:ln>
              <a:noFill/>
            </a:ln>
            <a:effectLst/>
          </c:spPr>
          <c:invertIfNegative val="0"/>
          <c:cat>
            <c:multiLvlStrRef>
              <c:f>}</c:f>
            </c:multiLvlStrRef>
          </c:cat>
          <c:val>
            <c:numRef>
              <c:f>{}</c:f>
            </c:numRef>
          </c:val>
          <c:extLst>
            <c:ext xmlns:c16="http://schemas.microsoft.com/office/drawing/2014/chart" uri="{C3380CC4-5D6E-409C-BE32-E72D297353CC}">
              <c16:uniqueId val="{00000000-0131-4287-B980-DBA715C849D8}"/>
            </c:ext>
          </c:extLst>
        </c:ser>
        <c:ser>
          <c:idx val="1"/>
          <c:order val="1"/>
          <c:tx>
            <c:v>ECF</c:v>
          </c:tx>
          <c:spPr>
            <a:solidFill>
              <a:schemeClr val="accent2"/>
            </a:solidFill>
            <a:ln>
              <a:noFill/>
            </a:ln>
            <a:effectLst/>
          </c:spPr>
          <c:invertIfNegative val="0"/>
          <c:cat>
            <c:multiLvlStrRef>
              <c:f>}</c:f>
            </c:multiLvlStrRef>
          </c:cat>
          <c:val>
            <c:numRef>
              <c:f>{}</c:f>
            </c:numRef>
          </c:val>
          <c:extLst>
            <c:ext xmlns:c16="http://schemas.microsoft.com/office/drawing/2014/chart" uri="{C3380CC4-5D6E-409C-BE32-E72D297353CC}">
              <c16:uniqueId val="{00000001-0131-4287-B980-DBA715C849D8}"/>
            </c:ext>
          </c:extLst>
        </c:ser>
        <c:ser>
          <c:idx val="2"/>
          <c:order val="2"/>
          <c:tx>
            <c:strRef>
              <c:f>'ECF Data'!$D$2</c:f>
              <c:strCache>
                <c:ptCount val="1"/>
                <c:pt idx="0">
                  <c:v>ECF as a Percent of OCP</c:v>
                </c:pt>
              </c:strCache>
            </c:strRef>
          </c:tx>
          <c:spPr>
            <a:solidFill>
              <a:srgbClr val="0049AA"/>
            </a:solidFill>
            <a:ln>
              <a:noFill/>
            </a:ln>
            <a:effectLst/>
          </c:spPr>
          <c:invertIfNegative val="0"/>
          <c:cat>
            <c:numRef>
              <c:f>('ECF Data'!$A$3:$A$11,'ECF Data'!$A$15:$A$25)</c:f>
              <c:numCache>
                <c:formatCode>General</c:formatCode>
                <c:ptCount val="20"/>
                <c:pt idx="0">
                  <c:v>1993</c:v>
                </c:pt>
                <c:pt idx="1">
                  <c:v>1994</c:v>
                </c:pt>
                <c:pt idx="2">
                  <c:v>1995</c:v>
                </c:pt>
                <c:pt idx="3">
                  <c:v>1996</c:v>
                </c:pt>
                <c:pt idx="4">
                  <c:v>1997</c:v>
                </c:pt>
                <c:pt idx="5">
                  <c:v>1998</c:v>
                </c:pt>
                <c:pt idx="6">
                  <c:v>1999</c:v>
                </c:pt>
                <c:pt idx="7">
                  <c:v>2000</c:v>
                </c:pt>
                <c:pt idx="8">
                  <c:v>2001</c:v>
                </c:pt>
                <c:pt idx="9">
                  <c:v>2005</c:v>
                </c:pt>
                <c:pt idx="10">
                  <c:v>2006</c:v>
                </c:pt>
                <c:pt idx="11">
                  <c:v>2007</c:v>
                </c:pt>
                <c:pt idx="12">
                  <c:v>2008</c:v>
                </c:pt>
                <c:pt idx="13">
                  <c:v>2009</c:v>
                </c:pt>
                <c:pt idx="14">
                  <c:v>2010</c:v>
                </c:pt>
                <c:pt idx="15">
                  <c:v>2011</c:v>
                </c:pt>
                <c:pt idx="16">
                  <c:v>2012</c:v>
                </c:pt>
                <c:pt idx="17">
                  <c:v>2013</c:v>
                </c:pt>
                <c:pt idx="18">
                  <c:v>2014</c:v>
                </c:pt>
                <c:pt idx="19">
                  <c:v>2015</c:v>
                </c:pt>
              </c:numCache>
              <c:extLst/>
            </c:numRef>
          </c:cat>
          <c:val>
            <c:numRef>
              <c:f>('ECF Data'!$D$3:$D$11,'ECF Data'!$D$15:$D$25)</c:f>
              <c:numCache>
                <c:formatCode>General</c:formatCode>
                <c:ptCount val="20"/>
                <c:pt idx="0">
                  <c:v>0.78951738651625636</c:v>
                </c:pt>
                <c:pt idx="1">
                  <c:v>0.78706405937738722</c:v>
                </c:pt>
                <c:pt idx="2">
                  <c:v>0.49387526025912415</c:v>
                </c:pt>
                <c:pt idx="3">
                  <c:v>1.529005105705918</c:v>
                </c:pt>
                <c:pt idx="4">
                  <c:v>1.2176449694817593</c:v>
                </c:pt>
                <c:pt idx="5">
                  <c:v>4.4064791784830346</c:v>
                </c:pt>
                <c:pt idx="6">
                  <c:v>1.3943695239832654</c:v>
                </c:pt>
                <c:pt idx="7">
                  <c:v>1.6089860287369069</c:v>
                </c:pt>
                <c:pt idx="8">
                  <c:v>2.193898280561561</c:v>
                </c:pt>
                <c:pt idx="9">
                  <c:v>1.6732207768143057</c:v>
                </c:pt>
                <c:pt idx="10">
                  <c:v>0.67743661484582718</c:v>
                </c:pt>
                <c:pt idx="11">
                  <c:v>0.53324411492753965</c:v>
                </c:pt>
                <c:pt idx="12">
                  <c:v>1.7025452161712336</c:v>
                </c:pt>
                <c:pt idx="13">
                  <c:v>-0.8209356576209248</c:v>
                </c:pt>
                <c:pt idx="14">
                  <c:v>3.075240019742486E-2</c:v>
                </c:pt>
                <c:pt idx="15">
                  <c:v>2.1834266879447308</c:v>
                </c:pt>
                <c:pt idx="16">
                  <c:v>1.9476705498036242</c:v>
                </c:pt>
                <c:pt idx="17">
                  <c:v>0.33789630717384073</c:v>
                </c:pt>
                <c:pt idx="18">
                  <c:v>0.28313719793582126</c:v>
                </c:pt>
                <c:pt idx="19">
                  <c:v>0.14611364096958379</c:v>
                </c:pt>
              </c:numCache>
              <c:extLst/>
            </c:numRef>
          </c:val>
          <c:extLst>
            <c:ext xmlns:c16="http://schemas.microsoft.com/office/drawing/2014/chart" uri="{C3380CC4-5D6E-409C-BE32-E72D297353CC}">
              <c16:uniqueId val="{00000002-0131-4287-B980-DBA715C849D8}"/>
            </c:ext>
          </c:extLst>
        </c:ser>
        <c:dLbls>
          <c:showLegendKey val="0"/>
          <c:showVal val="0"/>
          <c:showCatName val="0"/>
          <c:showSerName val="0"/>
          <c:showPercent val="0"/>
          <c:showBubbleSize val="0"/>
        </c:dLbls>
        <c:gapWidth val="219"/>
        <c:overlap val="-27"/>
        <c:axId val="625785312"/>
        <c:axId val="625778752"/>
      </c:barChart>
      <c:catAx>
        <c:axId val="62578531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25778752"/>
        <c:crosses val="autoZero"/>
        <c:auto val="1"/>
        <c:lblAlgn val="ctr"/>
        <c:lblOffset val="100"/>
        <c:noMultiLvlLbl val="0"/>
      </c:catAx>
      <c:valAx>
        <c:axId val="625778752"/>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25785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Data'!$B$2:$P$2</c:f>
              <c:numCache>
                <c:formatCode>_(* #,##0_);_(* \(#,##0\);_(* "-"??_);_(@_)</c:formatCode>
                <c:ptCount val="15"/>
                <c:pt idx="0">
                  <c:v>41517</c:v>
                </c:pt>
                <c:pt idx="1">
                  <c:v>44958</c:v>
                </c:pt>
                <c:pt idx="2">
                  <c:v>51324</c:v>
                </c:pt>
                <c:pt idx="3">
                  <c:v>32396</c:v>
                </c:pt>
                <c:pt idx="4">
                  <c:v>42588</c:v>
                </c:pt>
                <c:pt idx="5">
                  <c:v>60138</c:v>
                </c:pt>
                <c:pt idx="6">
                  <c:v>65875</c:v>
                </c:pt>
                <c:pt idx="7">
                  <c:v>55656</c:v>
                </c:pt>
                <c:pt idx="8">
                  <c:v>55184</c:v>
                </c:pt>
                <c:pt idx="9">
                  <c:v>47011</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Data'!$B$3:$P$3</c:f>
              <c:numCache>
                <c:formatCode>General</c:formatCode>
                <c:ptCount val="15"/>
                <c:pt idx="10" formatCode="_(* #,##0_);_(* \(#,##0\);_(* &quot;-&quot;??_);_(@_)">
                  <c:v>40899.57</c:v>
                </c:pt>
                <c:pt idx="11" formatCode="_(* #,##0_);_(* \(#,##0\);_(* &quot;-&quot;??_);_(@_)">
                  <c:v>47034.505499999999</c:v>
                </c:pt>
                <c:pt idx="12" formatCode="_(* #,##0_);_(* \(#,##0\);_(* &quot;-&quot;??_);_(@_)">
                  <c:v>54089.681324999998</c:v>
                </c:pt>
                <c:pt idx="13" formatCode="_(* #,##0_);_(* \(#,##0\);_(* &quot;-&quot;??_);_(@_)">
                  <c:v>62203.133523749995</c:v>
                </c:pt>
                <c:pt idx="14" formatCode="_(* #,##0_);_(* \(#,##0\);_(* &quot;-&quot;??_);_(@_)">
                  <c:v>71533.603552312488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Data'!$B$4:$P$4</c:f>
              <c:numCache>
                <c:formatCode>General</c:formatCode>
                <c:ptCount val="15"/>
                <c:pt idx="10" formatCode="_(* #,##0_);_(* \(#,##0\);_(* &quot;-&quot;??_);_(@_)">
                  <c:v>38219.942999999999</c:v>
                </c:pt>
                <c:pt idx="11" formatCode="_(* #,##0_);_(* \(#,##0\);_(* &quot;-&quot;??_);_(@_)">
                  <c:v>38984.34186</c:v>
                </c:pt>
                <c:pt idx="12" formatCode="_(* #,##0_);_(* \(#,##0\);_(* &quot;-&quot;??_);_(@_)">
                  <c:v>39764.028697200003</c:v>
                </c:pt>
                <c:pt idx="13" formatCode="_(* #,##0_);_(* \(#,##0\);_(* &quot;-&quot;??_);_(@_)">
                  <c:v>40559.309271144004</c:v>
                </c:pt>
                <c:pt idx="14" formatCode="_(* #,##0_);_(* \(#,##0\);_(* &quot;-&quot;??_);_(@_)">
                  <c:v>41370.495456566881</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Data'!$B$5:$P$5</c:f>
              <c:numCache>
                <c:formatCode>0%</c:formatCode>
                <c:ptCount val="15"/>
                <c:pt idx="1">
                  <c:v>8.2881711106293832E-2</c:v>
                </c:pt>
                <c:pt idx="2">
                  <c:v>0.14159882557053249</c:v>
                </c:pt>
                <c:pt idx="3">
                  <c:v>-0.36879432624113473</c:v>
                </c:pt>
                <c:pt idx="4">
                  <c:v>0.31460674157303381</c:v>
                </c:pt>
                <c:pt idx="5">
                  <c:v>0.41208791208791218</c:v>
                </c:pt>
                <c:pt idx="6">
                  <c:v>9.5397252984801728E-2</c:v>
                </c:pt>
                <c:pt idx="7">
                  <c:v>-0.15512713472485773</c:v>
                </c:pt>
                <c:pt idx="8">
                  <c:v>-8.4806669541469537E-3</c:v>
                </c:pt>
                <c:pt idx="9">
                  <c:v>-0.14810452305015942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Data'!$B$6:$P$6</c:f>
              <c:numCache>
                <c:formatCode>General</c:formatCode>
                <c:ptCount val="15"/>
                <c:pt idx="9" formatCode="0%">
                  <c:v>-0.14810452305015942</c:v>
                </c:pt>
                <c:pt idx="10" formatCode="0%">
                  <c:v>-0.13</c:v>
                </c:pt>
                <c:pt idx="11" formatCode="0%">
                  <c:v>0.15</c:v>
                </c:pt>
                <c:pt idx="12" formatCode="0%">
                  <c:v>0.15</c:v>
                </c:pt>
                <c:pt idx="13" formatCode="0%">
                  <c:v>0.15</c:v>
                </c:pt>
                <c:pt idx="14" formatCode="0%">
                  <c:v>0.15</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Data'!$B$7:$P$7</c:f>
              <c:numCache>
                <c:formatCode>General</c:formatCode>
                <c:ptCount val="15"/>
                <c:pt idx="9" formatCode="0%">
                  <c:v>-0.14810452305015942</c:v>
                </c:pt>
                <c:pt idx="10" formatCode="0%">
                  <c:v>-0.187</c:v>
                </c:pt>
                <c:pt idx="11" formatCode="0%">
                  <c:v>0.02</c:v>
                </c:pt>
                <c:pt idx="12" formatCode="0%">
                  <c:v>0.02</c:v>
                </c:pt>
                <c:pt idx="13" formatCode="0%">
                  <c:v>0.02</c:v>
                </c:pt>
                <c:pt idx="14" formatCode="0%">
                  <c:v>0.02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EAME Revenues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2"/>
          <c:order val="2"/>
          <c:tx>
            <c:strRef>
              <c:f>Segments!$A$16</c:f>
              <c:strCache>
                <c:ptCount val="1"/>
                <c:pt idx="0">
                  <c:v>Construction</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Segments!$B$16:$G$16</c:f>
              <c:numCache>
                <c:formatCode>_(* #,##0_);_(* \(#,##0\);_(* "-"_);_(@_)</c:formatCode>
                <c:ptCount val="6"/>
                <c:pt idx="0">
                  <c:v>2941</c:v>
                </c:pt>
                <c:pt idx="1">
                  <c:v>4768</c:v>
                </c:pt>
                <c:pt idx="2">
                  <c:v>4633</c:v>
                </c:pt>
                <c:pt idx="3">
                  <c:v>4026</c:v>
                </c:pt>
                <c:pt idx="4">
                  <c:v>4267</c:v>
                </c:pt>
                <c:pt idx="5">
                  <c:v>3808</c:v>
                </c:pt>
              </c:numCache>
            </c:numRef>
          </c:val>
          <c:extLst>
            <c:ext xmlns:c16="http://schemas.microsoft.com/office/drawing/2014/chart" uri="{C3380CC4-5D6E-409C-BE32-E72D297353CC}">
              <c16:uniqueId val="{00000000-EBA3-4311-AD5D-FA3C87F6A4D6}"/>
            </c:ext>
          </c:extLst>
        </c:ser>
        <c:ser>
          <c:idx val="3"/>
          <c:order val="3"/>
          <c:tx>
            <c:strRef>
              <c:f>Segments!$A$17</c:f>
              <c:strCache>
                <c:ptCount val="1"/>
                <c:pt idx="0">
                  <c:v>Resources</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Segments!$B$17:$G$17</c:f>
              <c:numCache>
                <c:formatCode>_(* #,##0_);_(* \(#,##0\);_(* "-"_);_(@_)</c:formatCode>
                <c:ptCount val="6"/>
                <c:pt idx="0">
                  <c:v>1737</c:v>
                </c:pt>
                <c:pt idx="1">
                  <c:v>3228</c:v>
                </c:pt>
                <c:pt idx="2">
                  <c:v>4374</c:v>
                </c:pt>
                <c:pt idx="3">
                  <c:v>3241</c:v>
                </c:pt>
                <c:pt idx="4">
                  <c:v>2116</c:v>
                </c:pt>
                <c:pt idx="5">
                  <c:v>1741</c:v>
                </c:pt>
              </c:numCache>
            </c:numRef>
          </c:val>
          <c:extLst>
            <c:ext xmlns:c16="http://schemas.microsoft.com/office/drawing/2014/chart" uri="{C3380CC4-5D6E-409C-BE32-E72D297353CC}">
              <c16:uniqueId val="{00000001-EBA3-4311-AD5D-FA3C87F6A4D6}"/>
            </c:ext>
          </c:extLst>
        </c:ser>
        <c:ser>
          <c:idx val="4"/>
          <c:order val="4"/>
          <c:tx>
            <c:strRef>
              <c:f>Segments!$A$18</c:f>
              <c:strCache>
                <c:ptCount val="1"/>
                <c:pt idx="0">
                  <c:v>Energy &amp; Transportation</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Segments!$B$18:$G$18</c:f>
              <c:numCache>
                <c:formatCode>_(* #,##0_);_(* \(#,##0\);_(* "-"_);_(@_)</c:formatCode>
                <c:ptCount val="6"/>
                <c:pt idx="0">
                  <c:v>4393</c:v>
                </c:pt>
                <c:pt idx="1">
                  <c:v>5752</c:v>
                </c:pt>
                <c:pt idx="2">
                  <c:v>6043</c:v>
                </c:pt>
                <c:pt idx="3">
                  <c:v>5735</c:v>
                </c:pt>
                <c:pt idx="4">
                  <c:v>6297</c:v>
                </c:pt>
                <c:pt idx="5">
                  <c:v>5270</c:v>
                </c:pt>
              </c:numCache>
            </c:numRef>
          </c:val>
          <c:extLst>
            <c:ext xmlns:c16="http://schemas.microsoft.com/office/drawing/2014/chart" uri="{C3380CC4-5D6E-409C-BE32-E72D297353CC}">
              <c16:uniqueId val="{00000002-EBA3-4311-AD5D-FA3C87F6A4D6}"/>
            </c:ext>
          </c:extLst>
        </c:ser>
        <c:ser>
          <c:idx val="5"/>
          <c:order val="5"/>
          <c:tx>
            <c:strRef>
              <c:f>Segments!$A$19</c:f>
              <c:strCache>
                <c:ptCount val="1"/>
                <c:pt idx="0">
                  <c:v>Other</c:v>
                </c:pt>
              </c:strCache>
            </c:strRef>
          </c:tx>
          <c:spPr>
            <a:solidFill>
              <a:srgbClr val="00B0F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Segments!$B$19:$G$19</c:f>
              <c:numCache>
                <c:formatCode>_(* #,##0_);_(* \(#,##0\);_(* "-"_);_(@_)</c:formatCode>
                <c:ptCount val="6"/>
                <c:pt idx="0">
                  <c:v>538</c:v>
                </c:pt>
                <c:pt idx="1">
                  <c:v>585</c:v>
                </c:pt>
                <c:pt idx="2">
                  <c:v>395</c:v>
                </c:pt>
                <c:pt idx="3">
                  <c:v>142</c:v>
                </c:pt>
                <c:pt idx="4">
                  <c:v>345</c:v>
                </c:pt>
                <c:pt idx="5">
                  <c:v>296</c:v>
                </c:pt>
              </c:numCache>
            </c:numRef>
          </c:val>
          <c:extLst>
            <c:ext xmlns:c16="http://schemas.microsoft.com/office/drawing/2014/chart" uri="{C3380CC4-5D6E-409C-BE32-E72D297353CC}">
              <c16:uniqueId val="{00000003-EBA3-4311-AD5D-FA3C87F6A4D6}"/>
            </c:ext>
          </c:extLst>
        </c:ser>
        <c:dLbls>
          <c:showLegendKey val="0"/>
          <c:showVal val="0"/>
          <c:showCatName val="0"/>
          <c:showSerName val="0"/>
          <c:showPercent val="0"/>
          <c:showBubbleSize val="0"/>
        </c:dLbls>
        <c:axId val="329799128"/>
        <c:axId val="329798800"/>
        <c:extLst>
          <c:ext xmlns:c15="http://schemas.microsoft.com/office/drawing/2012/chart" uri="{02D57815-91ED-43cb-92C2-25804820EDAC}">
            <c15:filteredAreaSeries>
              <c15:ser>
                <c:idx val="0"/>
                <c:order val="0"/>
                <c:tx>
                  <c:strRef>
                    <c:extLst>
                      <c:ext uri="{02D57815-91ED-43cb-92C2-25804820EDAC}">
                        <c15:formulaRef>
                          <c15:sqref>Segments!$A$2</c15:sqref>
                        </c15:formulaRef>
                      </c:ext>
                    </c:extLst>
                    <c:strCache>
                      <c:ptCount val="1"/>
                      <c:pt idx="0">
                        <c:v>Revenues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Segments!$B$2:$G$2</c15:sqref>
                        </c15:formulaRef>
                      </c:ext>
                    </c:extLst>
                    <c:numCache>
                      <c:formatCode>General</c:formatCode>
                      <c:ptCount val="6"/>
                    </c:numCache>
                  </c:numRef>
                </c:val>
                <c:extLst>
                  <c:ext xmlns:c16="http://schemas.microsoft.com/office/drawing/2014/chart" uri="{C3380CC4-5D6E-409C-BE32-E72D297353CC}">
                    <c16:uniqueId val="{00000004-EBA3-4311-AD5D-FA3C87F6A4D6}"/>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Segments!$A$3</c15:sqref>
                        </c15:formulaRef>
                      </c:ext>
                    </c:extLst>
                    <c:strCache>
                      <c:ptCount val="1"/>
                      <c:pt idx="0">
                        <c:v>N. America</c:v>
                      </c:pt>
                    </c:strCache>
                  </c:strRef>
                </c:tx>
                <c:spPr>
                  <a:solidFill>
                    <a:schemeClr val="accent2"/>
                  </a:solidFill>
                  <a:ln>
                    <a:noFill/>
                  </a:ln>
                  <a:effectLst/>
                </c:spPr>
                <c:cat>
                  <c:numRef>
                    <c:extLst xmlns:c15="http://schemas.microsoft.com/office/drawing/2012/chart">
                      <c:ext xmlns:c15="http://schemas.microsoft.com/office/drawing/2012/char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xmlns:c15="http://schemas.microsoft.com/office/drawing/2012/chart">
                      <c:ext xmlns:c15="http://schemas.microsoft.com/office/drawing/2012/chart" uri="{02D57815-91ED-43cb-92C2-25804820EDAC}">
                        <c15:formulaRef>
                          <c15:sqref>Segments!$B$3:$G$3</c15:sqref>
                        </c15:formulaRef>
                      </c:ext>
                    </c:extLst>
                    <c:numCache>
                      <c:formatCode>_(* #,##0_);_(* \(#,##0\);_(* "-"_);_(@_)</c:formatCode>
                      <c:ptCount val="6"/>
                    </c:numCache>
                  </c:numRef>
                </c:val>
                <c:extLst xmlns:c15="http://schemas.microsoft.com/office/drawing/2012/chart">
                  <c:ext xmlns:c16="http://schemas.microsoft.com/office/drawing/2014/chart" uri="{C3380CC4-5D6E-409C-BE32-E72D297353CC}">
                    <c16:uniqueId val="{00000005-EBA3-4311-AD5D-FA3C87F6A4D6}"/>
                  </c:ext>
                </c:extLst>
              </c15:ser>
            </c15:filteredAreaSeries>
          </c:ext>
        </c:extLst>
      </c:areaChart>
      <c:catAx>
        <c:axId val="32979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8800"/>
        <c:crosses val="autoZero"/>
        <c:auto val="1"/>
        <c:lblAlgn val="ctr"/>
        <c:lblOffset val="100"/>
        <c:noMultiLvlLbl val="0"/>
      </c:catAx>
      <c:valAx>
        <c:axId val="329798800"/>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912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Data'!$B$10:$P$10</c:f>
              <c:numCache>
                <c:formatCode>_(* #,##0_);_(* \(#,##0\);_(* "-"??_);_(@_)</c:formatCode>
                <c:ptCount val="15"/>
                <c:pt idx="0">
                  <c:v>4156.2979999999998</c:v>
                </c:pt>
                <c:pt idx="1">
                  <c:v>6084.6589999999997</c:v>
                </c:pt>
                <c:pt idx="2">
                  <c:v>2690.1903000000002</c:v>
                </c:pt>
                <c:pt idx="3">
                  <c:v>4099.4304000000002</c:v>
                </c:pt>
                <c:pt idx="4">
                  <c:v>2678.6587</c:v>
                </c:pt>
                <c:pt idx="5">
                  <c:v>4355.1401999999998</c:v>
                </c:pt>
                <c:pt idx="6">
                  <c:v>2322.0257000000001</c:v>
                </c:pt>
                <c:pt idx="7">
                  <c:v>7057.6424999999999</c:v>
                </c:pt>
                <c:pt idx="8">
                  <c:v>4870.0718999999999</c:v>
                </c:pt>
                <c:pt idx="9">
                  <c:v>3606.7793999999999</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Data'!$B$11:$P$11</c:f>
              <c:numCache>
                <c:formatCode>General</c:formatCode>
                <c:ptCount val="15"/>
                <c:pt idx="10" formatCode="_(* #,##0_);_(* \(#,##0\);_(* &quot;-&quot;??_);_(@_)">
                  <c:v>2453.9742000000001</c:v>
                </c:pt>
                <c:pt idx="11" formatCode="_(* #,##0_);_(* \(#,##0\);_(* &quot;-&quot;??_);_(@_)">
                  <c:v>4703.4505500000005</c:v>
                </c:pt>
                <c:pt idx="12" formatCode="_(* #,##0_);_(* \(#,##0\);_(* &quot;-&quot;??_);_(@_)">
                  <c:v>5408.9681325000001</c:v>
                </c:pt>
                <c:pt idx="13" formatCode="_(* #,##0_);_(* \(#,##0\);_(* &quot;-&quot;??_);_(@_)">
                  <c:v>6220.3133523750002</c:v>
                </c:pt>
                <c:pt idx="14" formatCode="_(* #,##0_);_(* \(#,##0\);_(* &quot;-&quot;??_);_(@_)">
                  <c:v>7153.3603552312488</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Data'!$B$12:$P$12</c:f>
              <c:numCache>
                <c:formatCode>General</c:formatCode>
                <c:ptCount val="15"/>
                <c:pt idx="10" formatCode="_(* #,##0_);_(* \(#,##0\);_(* &quot;-&quot;??_);_(@_)">
                  <c:v>2293.1965799999998</c:v>
                </c:pt>
                <c:pt idx="11" formatCode="_(* #,##0_);_(* \(#,##0\);_(* &quot;-&quot;??_);_(@_)">
                  <c:v>2728.9039302000001</c:v>
                </c:pt>
                <c:pt idx="12" formatCode="_(* #,##0_);_(* \(#,##0\);_(* &quot;-&quot;??_);_(@_)">
                  <c:v>2783.4820088040005</c:v>
                </c:pt>
                <c:pt idx="13" formatCode="_(* #,##0_);_(* \(#,##0\);_(* &quot;-&quot;??_);_(@_)">
                  <c:v>2839.1516489800806</c:v>
                </c:pt>
                <c:pt idx="14" formatCode="_(* #,##0_);_(* \(#,##0\);_(* &quot;-&quot;??_);_(@_)">
                  <c:v>2895.9346819596822</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Data'!$B$13:$P$13</c:f>
              <c:numCache>
                <c:formatCode>0%</c:formatCode>
                <c:ptCount val="15"/>
                <c:pt idx="0">
                  <c:v>0.10011074981332947</c:v>
                </c:pt>
                <c:pt idx="1">
                  <c:v>0.13534096267627563</c:v>
                </c:pt>
                <c:pt idx="2">
                  <c:v>5.2415834697217681E-2</c:v>
                </c:pt>
                <c:pt idx="3">
                  <c:v>0.12654125200642055</c:v>
                </c:pt>
                <c:pt idx="4">
                  <c:v>6.289702967972198E-2</c:v>
                </c:pt>
                <c:pt idx="5">
                  <c:v>7.2419106056071034E-2</c:v>
                </c:pt>
                <c:pt idx="6">
                  <c:v>3.5248966982922202E-2</c:v>
                </c:pt>
                <c:pt idx="7">
                  <c:v>0.12680829560155238</c:v>
                </c:pt>
                <c:pt idx="8">
                  <c:v>8.8251520368222675E-2</c:v>
                </c:pt>
                <c:pt idx="9">
                  <c:v>7.6722031014017991E-2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Data'!$B$14:$P$14</c:f>
              <c:numCache>
                <c:formatCode>General</c:formatCode>
                <c:ptCount val="15"/>
                <c:pt idx="9" formatCode="0%">
                  <c:v>7.6722031014017991E-2</c:v>
                </c:pt>
                <c:pt idx="10" formatCode="0%">
                  <c:v>0.06</c:v>
                </c:pt>
                <c:pt idx="11" formatCode="0%">
                  <c:v>0.1</c:v>
                </c:pt>
                <c:pt idx="12" formatCode="0%">
                  <c:v>0.1</c:v>
                </c:pt>
                <c:pt idx="13" formatCode="0%">
                  <c:v>0.1</c:v>
                </c:pt>
                <c:pt idx="14" formatCode="0%">
                  <c:v>0.1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Data'!$B$15:$P$15</c:f>
              <c:numCache>
                <c:formatCode>General</c:formatCode>
                <c:ptCount val="15"/>
                <c:pt idx="9" formatCode="0%">
                  <c:v>7.6722031014017991E-2</c:v>
                </c:pt>
                <c:pt idx="10" formatCode="0%">
                  <c:v>0.06</c:v>
                </c:pt>
                <c:pt idx="11" formatCode="0%">
                  <c:v>7.0000000000000007E-2</c:v>
                </c:pt>
                <c:pt idx="12" formatCode="0%">
                  <c:v>7.0000000000000007E-2</c:v>
                </c:pt>
                <c:pt idx="13" formatCode="0%">
                  <c:v>7.0000000000000007E-2</c:v>
                </c:pt>
                <c:pt idx="14" formatCode="0%">
                  <c:v>7.0000000000000007E-2</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b="0"/>
              <a:t>Expansionary Cash Flow versus Owners' Cash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Data'!$B$18:$K$18</c:f>
              <c:numCache>
                <c:formatCode>_(* #,##0_);_(* \(#,##0\);_(* "-"??_);_(@_)</c:formatCode>
                <c:ptCount val="10"/>
                <c:pt idx="0">
                  <c:v>4156.2979999999998</c:v>
                </c:pt>
                <c:pt idx="1">
                  <c:v>6084.6589999999997</c:v>
                </c:pt>
                <c:pt idx="2">
                  <c:v>2690.1903000000002</c:v>
                </c:pt>
                <c:pt idx="3">
                  <c:v>4099.4304000000002</c:v>
                </c:pt>
                <c:pt idx="4">
                  <c:v>2678.6587</c:v>
                </c:pt>
                <c:pt idx="5">
                  <c:v>4355.1401999999998</c:v>
                </c:pt>
                <c:pt idx="6">
                  <c:v>2322.0257000000001</c:v>
                </c:pt>
                <c:pt idx="7">
                  <c:v>7057.6424999999999</c:v>
                </c:pt>
                <c:pt idx="8">
                  <c:v>4870.0718999999999</c:v>
                </c:pt>
                <c:pt idx="9">
                  <c:v>3606.7793999999999</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Data'!$B$19:$K$19</c:f>
              <c:numCache>
                <c:formatCode>_(* #,##0_);_(* \(#,##0\);_(* "-"??_);_(@_)</c:formatCode>
                <c:ptCount val="10"/>
                <c:pt idx="0">
                  <c:v>2815.6284474104818</c:v>
                </c:pt>
                <c:pt idx="1">
                  <c:v>3244.6086030908882</c:v>
                </c:pt>
                <c:pt idx="2">
                  <c:v>4580.1706258552558</c:v>
                </c:pt>
                <c:pt idx="3">
                  <c:v>-3365.368591295211</c:v>
                </c:pt>
                <c:pt idx="4">
                  <c:v>82.375184334713822</c:v>
                </c:pt>
                <c:pt idx="5">
                  <c:v>9509.1293424209525</c:v>
                </c:pt>
                <c:pt idx="6">
                  <c:v>4522.5410717771456</c:v>
                </c:pt>
                <c:pt idx="7">
                  <c:v>2384.7513381031531</c:v>
                </c:pt>
                <c:pt idx="8">
                  <c:v>1378.898511511981</c:v>
                </c:pt>
                <c:pt idx="9">
                  <c:v>526.9996703080908</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Data'!$B$22:$K$22</c:f>
              <c:numCache>
                <c:formatCode>_(* #,##0_);_(* \(#,##0\);_(* "-"??_);_(@_)</c:formatCode>
                <c:ptCount val="10"/>
                <c:pt idx="0">
                  <c:v>1032.2979999999998</c:v>
                </c:pt>
                <c:pt idx="1">
                  <c:v>1169.6589999999997</c:v>
                </c:pt>
                <c:pt idx="2">
                  <c:v>1904.1903000000002</c:v>
                </c:pt>
                <c:pt idx="3">
                  <c:v>72.430400000000191</c:v>
                </c:pt>
                <c:pt idx="4">
                  <c:v>255.65869999999995</c:v>
                </c:pt>
                <c:pt idx="5">
                  <c:v>1322.1401999999998</c:v>
                </c:pt>
                <c:pt idx="6">
                  <c:v>2214.0257000000001</c:v>
                </c:pt>
                <c:pt idx="7">
                  <c:v>1312.6424999999999</c:v>
                </c:pt>
                <c:pt idx="8">
                  <c:v>192.07189999999991</c:v>
                </c:pt>
                <c:pt idx="9">
                  <c:v>192.7793999999999</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Data'!$B$24:$K$24</c:f>
              <c:numCache>
                <c:formatCode>_(* #,##0_);_(* \(#,##0\);_(* "-"??_);_(@_)</c:formatCode>
                <c:ptCount val="10"/>
                <c:pt idx="0">
                  <c:v>513</c:v>
                </c:pt>
                <c:pt idx="1">
                  <c:v>229</c:v>
                </c:pt>
                <c:pt idx="2">
                  <c:v>117</c:v>
                </c:pt>
                <c:pt idx="3">
                  <c:v>19</c:v>
                </c:pt>
                <c:pt idx="4">
                  <c:v>1258</c:v>
                </c:pt>
                <c:pt idx="5">
                  <c:v>8192</c:v>
                </c:pt>
                <c:pt idx="6">
                  <c:v>1067</c:v>
                </c:pt>
                <c:pt idx="7">
                  <c:v>195</c:v>
                </c:pt>
                <c:pt idx="8">
                  <c:v>30</c:v>
                </c:pt>
                <c:pt idx="9">
                  <c:v>400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Data'!$B$27:$K$27</c:f>
              <c:numCache>
                <c:formatCode>_(* #,##0_);_(* \(#,##0\);_(* "-"??_);_(@_)</c:formatCode>
                <c:ptCount val="10"/>
                <c:pt idx="0">
                  <c:v>481.33044741048207</c:v>
                </c:pt>
                <c:pt idx="1">
                  <c:v>448.94960309088856</c:v>
                </c:pt>
                <c:pt idx="2">
                  <c:v>175.98032585525533</c:v>
                </c:pt>
                <c:pt idx="3">
                  <c:v>66.201008704789018</c:v>
                </c:pt>
                <c:pt idx="4">
                  <c:v>526.71648433471387</c:v>
                </c:pt>
                <c:pt idx="5">
                  <c:v>804.9891424209527</c:v>
                </c:pt>
                <c:pt idx="6">
                  <c:v>674.51537177714545</c:v>
                </c:pt>
                <c:pt idx="7">
                  <c:v>451.10883810315295</c:v>
                </c:pt>
                <c:pt idx="8">
                  <c:v>999.82661151198113</c:v>
                </c:pt>
                <c:pt idx="9">
                  <c:v>326.2202703080909</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Data'!$B$25:$K$25</c:f>
              <c:numCache>
                <c:formatCode>_(* #,##0_);_(* \(#,##0\);_(* "-"??_);_(@_)</c:formatCode>
                <c:ptCount val="10"/>
                <c:pt idx="0">
                  <c:v>1361</c:v>
                </c:pt>
                <c:pt idx="1">
                  <c:v>1805</c:v>
                </c:pt>
                <c:pt idx="2">
                  <c:v>3365</c:v>
                </c:pt>
                <c:pt idx="3">
                  <c:v>-2281</c:v>
                </c:pt>
                <c:pt idx="4">
                  <c:v>-489</c:v>
                </c:pt>
                <c:pt idx="5">
                  <c:v>920</c:v>
                </c:pt>
                <c:pt idx="6">
                  <c:v>2883</c:v>
                </c:pt>
                <c:pt idx="7">
                  <c:v>1635</c:v>
                </c:pt>
                <c:pt idx="8">
                  <c:v>1260</c:v>
                </c:pt>
                <c:pt idx="9">
                  <c:v>546</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Data'!$B$23:$K$23</c:f>
              <c:numCache>
                <c:formatCode>_(* #,##0_);_(* \(#,##0\);_(* "-"??_);_(@_)</c:formatCode>
                <c:ptCount val="10"/>
                <c:pt idx="0">
                  <c:v>-572</c:v>
                </c:pt>
                <c:pt idx="1">
                  <c:v>-408</c:v>
                </c:pt>
                <c:pt idx="2">
                  <c:v>-982</c:v>
                </c:pt>
                <c:pt idx="3">
                  <c:v>-1242</c:v>
                </c:pt>
                <c:pt idx="4">
                  <c:v>-1469</c:v>
                </c:pt>
                <c:pt idx="5">
                  <c:v>-1730</c:v>
                </c:pt>
                <c:pt idx="6">
                  <c:v>-2316</c:v>
                </c:pt>
                <c:pt idx="7">
                  <c:v>-1209</c:v>
                </c:pt>
                <c:pt idx="8">
                  <c:v>-1103</c:v>
                </c:pt>
                <c:pt idx="9">
                  <c:v>-938</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Free Cash Flow</a:t>
            </a:r>
            <a:r>
              <a:rPr lang="en-US" baseline="0">
                <a:solidFill>
                  <a:sysClr val="windowText" lastClr="000000"/>
                </a:solidFill>
                <a:latin typeface="Arial Narrow" panose="020B0606020202030204" pitchFamily="34" charset="0"/>
              </a:rPr>
              <a:t> </a:t>
            </a:r>
            <a:r>
              <a:rPr lang="en-US">
                <a:solidFill>
                  <a:sysClr val="windowText" lastClr="000000"/>
                </a:solidFill>
                <a:latin typeface="Arial Narrow" panose="020B0606020202030204" pitchFamily="34" charset="0"/>
              </a:rPr>
              <a:t>History &amp;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1340.6695525895179</c:v>
                </c:pt>
                <c:pt idx="1">
                  <c:v>2840.0503969091114</c:v>
                </c:pt>
                <c:pt idx="2">
                  <c:v>-1889.9803258552556</c:v>
                </c:pt>
                <c:pt idx="3">
                  <c:v>7464.7989912952107</c:v>
                </c:pt>
                <c:pt idx="4">
                  <c:v>2596.2835156652864</c:v>
                </c:pt>
                <c:pt idx="5">
                  <c:v>-5153.9891424209527</c:v>
                </c:pt>
                <c:pt idx="6">
                  <c:v>-2200.5153717771454</c:v>
                </c:pt>
                <c:pt idx="7">
                  <c:v>4672.8911618968468</c:v>
                </c:pt>
                <c:pt idx="8">
                  <c:v>3491.1733884880186</c:v>
                </c:pt>
                <c:pt idx="9">
                  <c:v>3079.7797296919089</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2751.8358959999996</c:v>
                </c:pt>
                <c:pt idx="11" formatCode="_(* #,##0_);_(* \(#,##0\);_(* &quot;-&quot;??_);_(@_)">
                  <c:v>2456.0135371800002</c:v>
                </c:pt>
                <c:pt idx="12" formatCode="_(* #,##0_);_(* \(#,##0\);_(* &quot;-&quot;??_);_(@_)">
                  <c:v>2226.7856070432003</c:v>
                </c:pt>
                <c:pt idx="13" formatCode="_(* #,##0_);_(* \(#,##0\);_(* &quot;-&quot;??_);_(@_)">
                  <c:v>1561.5334069390444</c:v>
                </c:pt>
                <c:pt idx="14" formatCode="_(* #,##0_);_(* \(#,##0\);_(* &quot;-&quot;??_);_(@_)">
                  <c:v>1592.7640750778253</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2944.7690400000001</c:v>
                </c:pt>
                <c:pt idx="11" formatCode="_(* #,##0_);_(* \(#,##0\);_(* &quot;-&quot;??_);_(@_)">
                  <c:v>4233.1054950000007</c:v>
                </c:pt>
                <c:pt idx="12" formatCode="_(* #,##0_);_(* \(#,##0\);_(* &quot;-&quot;??_);_(@_)">
                  <c:v>4327.1745060000003</c:v>
                </c:pt>
                <c:pt idx="13" formatCode="_(* #,##0_);_(* \(#,##0\);_(* &quot;-&quot;??_);_(@_)">
                  <c:v>3421.1723438062504</c:v>
                </c:pt>
                <c:pt idx="14" formatCode="_(* #,##0_);_(* \(#,##0\);_(* &quot;-&quot;??_);_(@_)">
                  <c:v>3934.348195377187</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Data'!$B$33:$P$33</c:f>
              <c:numCache>
                <c:formatCode>0%</c:formatCode>
                <c:ptCount val="15"/>
                <c:pt idx="0">
                  <c:v>3.2292062350110028E-2</c:v>
                </c:pt>
                <c:pt idx="1">
                  <c:v>6.3171190820523859E-2</c:v>
                </c:pt>
                <c:pt idx="2">
                  <c:v>-3.6824493918152436E-2</c:v>
                </c:pt>
                <c:pt idx="3">
                  <c:v>0.23042347793848655</c:v>
                </c:pt>
                <c:pt idx="4">
                  <c:v>6.0962795051781871E-2</c:v>
                </c:pt>
                <c:pt idx="5">
                  <c:v>-8.5702702823854351E-2</c:v>
                </c:pt>
                <c:pt idx="6">
                  <c:v>-3.3404407920715681E-2</c:v>
                </c:pt>
                <c:pt idx="7">
                  <c:v>8.3960240798779048E-2</c:v>
                </c:pt>
                <c:pt idx="8">
                  <c:v>6.3264232177588045E-2</c:v>
                </c:pt>
                <c:pt idx="9">
                  <c:v>6.5511895719978494E-2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Data'!$B$35:$P$35</c:f>
              <c:numCache>
                <c:formatCode>General</c:formatCode>
                <c:ptCount val="15"/>
                <c:pt idx="9" formatCode="0%">
                  <c:v>6.5511895719978494E-2</c:v>
                </c:pt>
                <c:pt idx="10" formatCode="0.0%">
                  <c:v>7.1999999999999995E-2</c:v>
                </c:pt>
                <c:pt idx="11" formatCode="0.0%">
                  <c:v>6.3000000000000014E-2</c:v>
                </c:pt>
                <c:pt idx="12" formatCode="0.0%">
                  <c:v>5.6000000000000008E-2</c:v>
                </c:pt>
                <c:pt idx="13" formatCode="0.0%">
                  <c:v>3.8500000000000006E-2</c:v>
                </c:pt>
                <c:pt idx="14" formatCode="0.0%">
                  <c:v>3.8500000000000006E-2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Data'!$B$34:$P$34</c:f>
              <c:numCache>
                <c:formatCode>General</c:formatCode>
                <c:ptCount val="15"/>
                <c:pt idx="9" formatCode="0%">
                  <c:v>6.5511895719978494E-2</c:v>
                </c:pt>
                <c:pt idx="10" formatCode="0.0%">
                  <c:v>7.1999999999999995E-2</c:v>
                </c:pt>
                <c:pt idx="11" formatCode="0.0%">
                  <c:v>9.0000000000000011E-2</c:v>
                </c:pt>
                <c:pt idx="12" formatCode="0.0%">
                  <c:v>8.0000000000000016E-2</c:v>
                </c:pt>
                <c:pt idx="13" formatCode="0.0%">
                  <c:v>5.5000000000000007E-2</c:v>
                </c:pt>
                <c:pt idx="14" formatCode="0.0%">
                  <c:v>5.5000000000000007E-2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CAT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4156.2979999999998</c:v>
                </c:pt>
                <c:pt idx="1">
                  <c:v>6084.6589999999997</c:v>
                </c:pt>
                <c:pt idx="2">
                  <c:v>2690.1903000000002</c:v>
                </c:pt>
                <c:pt idx="3">
                  <c:v>4099.4304000000002</c:v>
                </c:pt>
                <c:pt idx="4">
                  <c:v>2678.6587</c:v>
                </c:pt>
                <c:pt idx="5">
                  <c:v>4355.1401999999998</c:v>
                </c:pt>
                <c:pt idx="6">
                  <c:v>2322.0257000000001</c:v>
                </c:pt>
                <c:pt idx="7">
                  <c:v>7057.6424999999999</c:v>
                </c:pt>
                <c:pt idx="8">
                  <c:v>4870.0718999999999</c:v>
                </c:pt>
                <c:pt idx="9">
                  <c:v>3606.7793999999999</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CAT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4156.2979999999998</c:v>
                </c:pt>
                <c:pt idx="1">
                  <c:v>4339.9404068692957</c:v>
                </c:pt>
                <c:pt idx="2">
                  <c:v>4298.5499609195076</c:v>
                </c:pt>
                <c:pt idx="3">
                  <c:v>4303.4541822097754</c:v>
                </c:pt>
                <c:pt idx="4">
                  <c:v>4499.5344033152323</c:v>
                </c:pt>
                <c:pt idx="5">
                  <c:v>4663.5303815217085</c:v>
                </c:pt>
                <c:pt idx="6">
                  <c:v>4825.1924230900468</c:v>
                </c:pt>
                <c:pt idx="7">
                  <c:v>5045.5278591311035</c:v>
                </c:pt>
                <c:pt idx="8">
                  <c:v>5230.2929190668456</c:v>
                </c:pt>
                <c:pt idx="9">
                  <c:v>5218.8595838901374</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CAT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Data'!$B$40:$K$40</c:f>
              <c:numCache>
                <c:formatCode>0%</c:formatCode>
                <c:ptCount val="10"/>
                <c:pt idx="1">
                  <c:v>0.41977706919251312</c:v>
                </c:pt>
                <c:pt idx="2">
                  <c:v>-0.54833618420307451</c:v>
                </c:pt>
                <c:pt idx="3">
                  <c:v>0.52270311819840476</c:v>
                </c:pt>
                <c:pt idx="4">
                  <c:v>-0.39214128226883549</c:v>
                </c:pt>
                <c:pt idx="5">
                  <c:v>0.5894187133481632</c:v>
                </c:pt>
                <c:pt idx="6">
                  <c:v>-0.50149617355820675</c:v>
                </c:pt>
                <c:pt idx="7">
                  <c:v>1.9937698594154374</c:v>
                </c:pt>
                <c:pt idx="8">
                  <c:v>-0.34657726466032168</c:v>
                </c:pt>
                <c:pt idx="9">
                  <c:v>-0.2572131639590175</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CAT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Data'!$B$41:$K$41</c:f>
              <c:numCache>
                <c:formatCode>0%</c:formatCode>
                <c:ptCount val="10"/>
                <c:pt idx="3">
                  <c:v>-1.5898982272388396E-2</c:v>
                </c:pt>
                <c:pt idx="4">
                  <c:v>-0.27689004498007419</c:v>
                </c:pt>
                <c:pt idx="5">
                  <c:v>0.14798720361489637</c:v>
                </c:pt>
                <c:pt idx="6">
                  <c:v>-0.19839198415737824</c:v>
                </c:pt>
                <c:pt idx="7">
                  <c:v>0.42901666971444619</c:v>
                </c:pt>
                <c:pt idx="8">
                  <c:v>-1.503961108229257E-3</c:v>
                </c:pt>
                <c:pt idx="9">
                  <c:v>6.4090875083225196E-2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Caterpillar (CAT)</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3.1</c:v>
                </c:pt>
                <c:pt idx="2">
                  <c:v>6.2</c:v>
                </c:pt>
                <c:pt idx="3">
                  <c:v>9.2999999999999989</c:v>
                </c:pt>
                <c:pt idx="4">
                  <c:v>12.4</c:v>
                </c:pt>
                <c:pt idx="5">
                  <c:v>15.5</c:v>
                </c:pt>
                <c:pt idx="6">
                  <c:v>18.600000000000001</c:v>
                </c:pt>
                <c:pt idx="7">
                  <c:v>21.700000000000003</c:v>
                </c:pt>
                <c:pt idx="8">
                  <c:v>24.8</c:v>
                </c:pt>
                <c:pt idx="9">
                  <c:v>27.9</c:v>
                </c:pt>
                <c:pt idx="10">
                  <c:v>30.999999999999996</c:v>
                </c:pt>
                <c:pt idx="11">
                  <c:v>34.099999999999994</c:v>
                </c:pt>
                <c:pt idx="12">
                  <c:v>37.199999999999996</c:v>
                </c:pt>
                <c:pt idx="13">
                  <c:v>40.29999999999999</c:v>
                </c:pt>
                <c:pt idx="14">
                  <c:v>43.4</c:v>
                </c:pt>
                <c:pt idx="15">
                  <c:v>46.5</c:v>
                </c:pt>
                <c:pt idx="16">
                  <c:v>49.6</c:v>
                </c:pt>
                <c:pt idx="17">
                  <c:v>52.7</c:v>
                </c:pt>
                <c:pt idx="18">
                  <c:v>55.800000000000004</c:v>
                </c:pt>
                <c:pt idx="19">
                  <c:v>58.900000000000013</c:v>
                </c:pt>
                <c:pt idx="20">
                  <c:v>62.000000000000014</c:v>
                </c:pt>
                <c:pt idx="21">
                  <c:v>65.100000000000009</c:v>
                </c:pt>
                <c:pt idx="22">
                  <c:v>68.200000000000017</c:v>
                </c:pt>
                <c:pt idx="23">
                  <c:v>71.300000000000026</c:v>
                </c:pt>
                <c:pt idx="24">
                  <c:v>74.40000000000002</c:v>
                </c:pt>
                <c:pt idx="25">
                  <c:v>77.500000000000014</c:v>
                </c:pt>
                <c:pt idx="26">
                  <c:v>80.600000000000023</c:v>
                </c:pt>
                <c:pt idx="27">
                  <c:v>83.700000000000017</c:v>
                </c:pt>
                <c:pt idx="28">
                  <c:v>86.800000000000026</c:v>
                </c:pt>
                <c:pt idx="29">
                  <c:v>89.900000000000034</c:v>
                </c:pt>
                <c:pt idx="30">
                  <c:v>93.000000000000028</c:v>
                </c:pt>
                <c:pt idx="31">
                  <c:v>96.100000000000037</c:v>
                </c:pt>
                <c:pt idx="32">
                  <c:v>99.200000000000031</c:v>
                </c:pt>
                <c:pt idx="33">
                  <c:v>102.30000000000004</c:v>
                </c:pt>
                <c:pt idx="34">
                  <c:v>105.40000000000005</c:v>
                </c:pt>
                <c:pt idx="35">
                  <c:v>108.50000000000004</c:v>
                </c:pt>
                <c:pt idx="36">
                  <c:v>111.60000000000005</c:v>
                </c:pt>
                <c:pt idx="37">
                  <c:v>114.70000000000005</c:v>
                </c:pt>
                <c:pt idx="38">
                  <c:v>117.80000000000005</c:v>
                </c:pt>
                <c:pt idx="39">
                  <c:v>120.90000000000006</c:v>
                </c:pt>
                <c:pt idx="40">
                  <c:v>124.00000000000006</c:v>
                </c:pt>
                <c:pt idx="41">
                  <c:v>127.10000000000007</c:v>
                </c:pt>
                <c:pt idx="42">
                  <c:v>130.20000000000007</c:v>
                </c:pt>
                <c:pt idx="43">
                  <c:v>133.30000000000007</c:v>
                </c:pt>
                <c:pt idx="44">
                  <c:v>136.40000000000006</c:v>
                </c:pt>
                <c:pt idx="45">
                  <c:v>139.50000000000009</c:v>
                </c:pt>
                <c:pt idx="46">
                  <c:v>142.60000000000008</c:v>
                </c:pt>
                <c:pt idx="47">
                  <c:v>145.70000000000007</c:v>
                </c:pt>
                <c:pt idx="48">
                  <c:v>148.80000000000007</c:v>
                </c:pt>
                <c:pt idx="49">
                  <c:v>151.90000000000009</c:v>
                </c:pt>
                <c:pt idx="50">
                  <c:v>155.00000000000006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0.125</c:v>
                </c:pt>
                <c:pt idx="21">
                  <c:v>0</c:v>
                </c:pt>
                <c:pt idx="22">
                  <c:v>0</c:v>
                </c:pt>
                <c:pt idx="23">
                  <c:v>0</c:v>
                </c:pt>
                <c:pt idx="24">
                  <c:v>0.125</c:v>
                </c:pt>
                <c:pt idx="25">
                  <c:v>0.125</c:v>
                </c:pt>
                <c:pt idx="26">
                  <c:v>0</c:v>
                </c:pt>
                <c:pt idx="27">
                  <c:v>0</c:v>
                </c:pt>
                <c:pt idx="28">
                  <c:v>0.125</c:v>
                </c:pt>
                <c:pt idx="29">
                  <c:v>0</c:v>
                </c:pt>
                <c:pt idx="30">
                  <c:v>0</c:v>
                </c:pt>
                <c:pt idx="31">
                  <c:v>0</c:v>
                </c:pt>
                <c:pt idx="32">
                  <c:v>0</c:v>
                </c:pt>
                <c:pt idx="33">
                  <c:v>0.125</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3.1</c:v>
                </c:pt>
                <c:pt idx="2">
                  <c:v>6.2</c:v>
                </c:pt>
                <c:pt idx="3">
                  <c:v>9.2999999999999989</c:v>
                </c:pt>
                <c:pt idx="4">
                  <c:v>12.4</c:v>
                </c:pt>
                <c:pt idx="5">
                  <c:v>15.5</c:v>
                </c:pt>
                <c:pt idx="6">
                  <c:v>18.600000000000001</c:v>
                </c:pt>
                <c:pt idx="7">
                  <c:v>21.700000000000003</c:v>
                </c:pt>
                <c:pt idx="8">
                  <c:v>24.8</c:v>
                </c:pt>
                <c:pt idx="9">
                  <c:v>27.9</c:v>
                </c:pt>
                <c:pt idx="10">
                  <c:v>30.999999999999996</c:v>
                </c:pt>
                <c:pt idx="11">
                  <c:v>34.099999999999994</c:v>
                </c:pt>
                <c:pt idx="12">
                  <c:v>37.199999999999996</c:v>
                </c:pt>
                <c:pt idx="13">
                  <c:v>40.29999999999999</c:v>
                </c:pt>
                <c:pt idx="14">
                  <c:v>43.4</c:v>
                </c:pt>
                <c:pt idx="15">
                  <c:v>46.5</c:v>
                </c:pt>
                <c:pt idx="16">
                  <c:v>49.6</c:v>
                </c:pt>
                <c:pt idx="17">
                  <c:v>52.7</c:v>
                </c:pt>
                <c:pt idx="18">
                  <c:v>55.800000000000004</c:v>
                </c:pt>
                <c:pt idx="19">
                  <c:v>58.900000000000013</c:v>
                </c:pt>
                <c:pt idx="20">
                  <c:v>62.000000000000014</c:v>
                </c:pt>
                <c:pt idx="21">
                  <c:v>65.100000000000009</c:v>
                </c:pt>
                <c:pt idx="22">
                  <c:v>68.200000000000017</c:v>
                </c:pt>
                <c:pt idx="23">
                  <c:v>71.300000000000026</c:v>
                </c:pt>
                <c:pt idx="24">
                  <c:v>74.40000000000002</c:v>
                </c:pt>
                <c:pt idx="25">
                  <c:v>77.500000000000014</c:v>
                </c:pt>
                <c:pt idx="26">
                  <c:v>80.600000000000023</c:v>
                </c:pt>
                <c:pt idx="27">
                  <c:v>83.700000000000017</c:v>
                </c:pt>
                <c:pt idx="28">
                  <c:v>86.800000000000026</c:v>
                </c:pt>
                <c:pt idx="29">
                  <c:v>89.900000000000034</c:v>
                </c:pt>
                <c:pt idx="30">
                  <c:v>93.000000000000028</c:v>
                </c:pt>
                <c:pt idx="31">
                  <c:v>96.100000000000037</c:v>
                </c:pt>
                <c:pt idx="32">
                  <c:v>99.200000000000031</c:v>
                </c:pt>
                <c:pt idx="33">
                  <c:v>102.30000000000004</c:v>
                </c:pt>
                <c:pt idx="34">
                  <c:v>105.40000000000005</c:v>
                </c:pt>
                <c:pt idx="35">
                  <c:v>108.50000000000004</c:v>
                </c:pt>
                <c:pt idx="36">
                  <c:v>111.60000000000005</c:v>
                </c:pt>
                <c:pt idx="37">
                  <c:v>114.70000000000005</c:v>
                </c:pt>
                <c:pt idx="38">
                  <c:v>117.80000000000005</c:v>
                </c:pt>
                <c:pt idx="39">
                  <c:v>120.90000000000006</c:v>
                </c:pt>
                <c:pt idx="40">
                  <c:v>124.00000000000006</c:v>
                </c:pt>
                <c:pt idx="41">
                  <c:v>127.10000000000007</c:v>
                </c:pt>
                <c:pt idx="42">
                  <c:v>130.20000000000007</c:v>
                </c:pt>
                <c:pt idx="43">
                  <c:v>133.30000000000007</c:v>
                </c:pt>
                <c:pt idx="44">
                  <c:v>136.40000000000006</c:v>
                </c:pt>
                <c:pt idx="45">
                  <c:v>139.50000000000009</c:v>
                </c:pt>
                <c:pt idx="46">
                  <c:v>142.60000000000008</c:v>
                </c:pt>
                <c:pt idx="47">
                  <c:v>145.70000000000007</c:v>
                </c:pt>
                <c:pt idx="48">
                  <c:v>148.80000000000007</c:v>
                </c:pt>
                <c:pt idx="49">
                  <c:v>151.90000000000009</c:v>
                </c:pt>
                <c:pt idx="50">
                  <c:v>155.00000000000006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1.2500000000000001E-2</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1.2500000000000001E-2</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6.247538173465346E-46</c:v>
                </c:pt>
                <c:pt idx="2">
                  <c:v>1.2707776514130241E-29</c:v>
                </c:pt>
                <c:pt idx="3">
                  <c:v>8.7933386236262568E-22</c:v>
                </c:pt>
                <c:pt idx="4">
                  <c:v>5.532381691865541E-17</c:v>
                </c:pt>
                <c:pt idx="5">
                  <c:v>1.0660401211011537E-13</c:v>
                </c:pt>
                <c:pt idx="6">
                  <c:v>2.678085773306294E-11</c:v>
                </c:pt>
                <c:pt idx="7">
                  <c:v>1.8103345819495175E-9</c:v>
                </c:pt>
                <c:pt idx="8">
                  <c:v>4.9576301603409821E-8</c:v>
                </c:pt>
                <c:pt idx="9">
                  <c:v>7.0705539996509819E-7</c:v>
                </c:pt>
                <c:pt idx="10">
                  <c:v>6.1872617678698045E-6</c:v>
                </c:pt>
                <c:pt idx="11">
                  <c:v>3.7164379311245579E-5</c:v>
                </c:pt>
                <c:pt idx="12">
                  <c:v>1.6593624742486667E-4</c:v>
                </c:pt>
                <c:pt idx="13">
                  <c:v>5.8381743037116225E-4</c:v>
                </c:pt>
                <c:pt idx="14">
                  <c:v>1.6910558652456845E-3</c:v>
                </c:pt>
                <c:pt idx="15">
                  <c:v>4.1703764827028325E-3</c:v>
                </c:pt>
                <c:pt idx="16">
                  <c:v>8.9893001645858263E-3</c:v>
                </c:pt>
                <c:pt idx="17">
                  <c:v>1.7292297059350988E-2</c:v>
                </c:pt>
                <c:pt idx="18">
                  <c:v>3.0187695061723051E-2</c:v>
                </c:pt>
                <c:pt idx="19">
                  <c:v>4.848199576637207E-2</c:v>
                </c:pt>
                <c:pt idx="20">
                  <c:v>7.2440058620200129E-2</c:v>
                </c:pt>
                <c:pt idx="21">
                  <c:v>0.1016424913058885</c:v>
                </c:pt>
                <c:pt idx="22">
                  <c:v>0.13497858469143509</c:v>
                </c:pt>
                <c:pt idx="23">
                  <c:v>0.1707714105279893</c:v>
                </c:pt>
                <c:pt idx="24">
                  <c:v>0.20699781044260152</c:v>
                </c:pt>
                <c:pt idx="25">
                  <c:v>0.24154911536761406</c:v>
                </c:pt>
                <c:pt idx="26">
                  <c:v>0.27247921881386522</c:v>
                </c:pt>
                <c:pt idx="27">
                  <c:v>0.29819997282313926</c:v>
                </c:pt>
                <c:pt idx="28">
                  <c:v>0.3176026706816592</c:v>
                </c:pt>
                <c:pt idx="29">
                  <c:v>0.33010245460211574</c:v>
                </c:pt>
                <c:pt idx="30">
                  <c:v>0.33561602466618945</c:v>
                </c:pt>
                <c:pt idx="31">
                  <c:v>0.33449067429629153</c:v>
                </c:pt>
                <c:pt idx="32">
                  <c:v>0.32740490801273275</c:v>
                </c:pt>
                <c:pt idx="33">
                  <c:v>0.31525915413228794</c:v>
                </c:pt>
                <c:pt idx="34">
                  <c:v>0.29907106309009313</c:v>
                </c:pt>
                <c:pt idx="35">
                  <c:v>0.27988506001118346</c:v>
                </c:pt>
                <c:pt idx="36">
                  <c:v>0.25870124984415399</c:v>
                </c:pt>
                <c:pt idx="37">
                  <c:v>0.23642505420014787</c:v>
                </c:pt>
                <c:pt idx="38">
                  <c:v>0.21383631674465495</c:v>
                </c:pt>
                <c:pt idx="39">
                  <c:v>0.19157501753485565</c:v>
                </c:pt>
                <c:pt idx="40">
                  <c:v>0.17014001122980676</c:v>
                </c:pt>
                <c:pt idx="41">
                  <c:v>0.14989711941413669</c:v>
                </c:pt>
                <c:pt idx="42">
                  <c:v>0.13109323645360649</c:v>
                </c:pt>
                <c:pt idx="43">
                  <c:v>0.11387365982087967</c:v>
                </c:pt>
                <c:pt idx="44">
                  <c:v>9.8300485863266299E-2</c:v>
                </c:pt>
                <c:pt idx="45">
                  <c:v>8.437052402536499E-2</c:v>
                </c:pt>
                <c:pt idx="46">
                  <c:v>7.2031720288062207E-2</c:v>
                </c:pt>
                <c:pt idx="47">
                  <c:v>6.1197518297721555E-2</c:v>
                </c:pt>
                <c:pt idx="48">
                  <c:v>5.1758919579343879E-2</c:v>
                </c:pt>
                <c:pt idx="49">
                  <c:v>4.3594240443112053E-2</c:v>
                </c:pt>
                <c:pt idx="50">
                  <c:v>3.6576717409493358E-2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Asia / Pacific Revenues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2"/>
          <c:order val="2"/>
          <c:tx>
            <c:strRef>
              <c:f>Segments!$A$22</c:f>
              <c:strCache>
                <c:ptCount val="1"/>
                <c:pt idx="0">
                  <c:v>Construction</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Segments!$B$22:$G$22</c:f>
              <c:numCache>
                <c:formatCode>_(* #,##0_);_(* \(#,##0\);_(* "-"_);_(@_)</c:formatCode>
                <c:ptCount val="6"/>
                <c:pt idx="0">
                  <c:v>4475</c:v>
                </c:pt>
                <c:pt idx="1">
                  <c:v>5869</c:v>
                </c:pt>
                <c:pt idx="2">
                  <c:v>4950</c:v>
                </c:pt>
                <c:pt idx="3">
                  <c:v>4704</c:v>
                </c:pt>
                <c:pt idx="4">
                  <c:v>4247</c:v>
                </c:pt>
                <c:pt idx="5">
                  <c:v>3227</c:v>
                </c:pt>
              </c:numCache>
            </c:numRef>
          </c:val>
          <c:extLst>
            <c:ext xmlns:c16="http://schemas.microsoft.com/office/drawing/2014/chart" uri="{C3380CC4-5D6E-409C-BE32-E72D297353CC}">
              <c16:uniqueId val="{00000000-9AFE-4641-ADA9-E3322BF1C73C}"/>
            </c:ext>
          </c:extLst>
        </c:ser>
        <c:ser>
          <c:idx val="3"/>
          <c:order val="3"/>
          <c:tx>
            <c:strRef>
              <c:f>Segments!$A$23</c:f>
              <c:strCache>
                <c:ptCount val="1"/>
                <c:pt idx="0">
                  <c:v>Resources</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Segments!$B$23:$G$23</c:f>
              <c:numCache>
                <c:formatCode>_(* #,##0_);_(* \(#,##0\);_(* "-"_);_(@_)</c:formatCode>
                <c:ptCount val="6"/>
                <c:pt idx="0">
                  <c:v>2255</c:v>
                </c:pt>
                <c:pt idx="1">
                  <c:v>4607</c:v>
                </c:pt>
                <c:pt idx="2">
                  <c:v>7085</c:v>
                </c:pt>
                <c:pt idx="3">
                  <c:v>3105</c:v>
                </c:pt>
                <c:pt idx="4">
                  <c:v>2098</c:v>
                </c:pt>
                <c:pt idx="5">
                  <c:v>1774</c:v>
                </c:pt>
              </c:numCache>
            </c:numRef>
          </c:val>
          <c:extLst>
            <c:ext xmlns:c16="http://schemas.microsoft.com/office/drawing/2014/chart" uri="{C3380CC4-5D6E-409C-BE32-E72D297353CC}">
              <c16:uniqueId val="{00000001-9AFE-4641-ADA9-E3322BF1C73C}"/>
            </c:ext>
          </c:extLst>
        </c:ser>
        <c:ser>
          <c:idx val="4"/>
          <c:order val="4"/>
          <c:tx>
            <c:strRef>
              <c:f>Segments!$A$24</c:f>
              <c:strCache>
                <c:ptCount val="1"/>
                <c:pt idx="0">
                  <c:v>Energy &amp; Transportation</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Segments!$B$24:$G$24</c:f>
              <c:numCache>
                <c:formatCode>_(* #,##0_);_(* \(#,##0\);_(* "-"_);_(@_)</c:formatCode>
                <c:ptCount val="6"/>
                <c:pt idx="0">
                  <c:v>2868</c:v>
                </c:pt>
                <c:pt idx="1">
                  <c:v>3668</c:v>
                </c:pt>
                <c:pt idx="2">
                  <c:v>4168</c:v>
                </c:pt>
                <c:pt idx="3">
                  <c:v>4021</c:v>
                </c:pt>
                <c:pt idx="4">
                  <c:v>3855</c:v>
                </c:pt>
                <c:pt idx="5">
                  <c:v>3275</c:v>
                </c:pt>
              </c:numCache>
            </c:numRef>
          </c:val>
          <c:extLst>
            <c:ext xmlns:c16="http://schemas.microsoft.com/office/drawing/2014/chart" uri="{C3380CC4-5D6E-409C-BE32-E72D297353CC}">
              <c16:uniqueId val="{00000002-9AFE-4641-ADA9-E3322BF1C73C}"/>
            </c:ext>
          </c:extLst>
        </c:ser>
        <c:ser>
          <c:idx val="5"/>
          <c:order val="5"/>
          <c:tx>
            <c:strRef>
              <c:f>Segments!$A$25</c:f>
              <c:strCache>
                <c:ptCount val="1"/>
                <c:pt idx="0">
                  <c:v>Other</c:v>
                </c:pt>
              </c:strCache>
            </c:strRef>
          </c:tx>
          <c:spPr>
            <a:solidFill>
              <a:schemeClr val="accent5"/>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Segments!$B$25:$G$25</c:f>
              <c:numCache>
                <c:formatCode>_(* #,##0_);_(* \(#,##0\);_(* "-"_);_(@_)</c:formatCode>
                <c:ptCount val="6"/>
                <c:pt idx="0">
                  <c:v>302</c:v>
                </c:pt>
                <c:pt idx="1">
                  <c:v>363</c:v>
                </c:pt>
                <c:pt idx="2">
                  <c:v>264</c:v>
                </c:pt>
                <c:pt idx="3">
                  <c:v>105</c:v>
                </c:pt>
                <c:pt idx="4">
                  <c:v>219</c:v>
                </c:pt>
                <c:pt idx="5">
                  <c:v>182</c:v>
                </c:pt>
              </c:numCache>
            </c:numRef>
          </c:val>
          <c:extLst>
            <c:ext xmlns:c16="http://schemas.microsoft.com/office/drawing/2014/chart" uri="{C3380CC4-5D6E-409C-BE32-E72D297353CC}">
              <c16:uniqueId val="{00000003-9AFE-4641-ADA9-E3322BF1C73C}"/>
            </c:ext>
          </c:extLst>
        </c:ser>
        <c:dLbls>
          <c:showLegendKey val="0"/>
          <c:showVal val="0"/>
          <c:showCatName val="0"/>
          <c:showSerName val="0"/>
          <c:showPercent val="0"/>
          <c:showBubbleSize val="0"/>
        </c:dLbls>
        <c:axId val="329799128"/>
        <c:axId val="329798800"/>
        <c:extLst>
          <c:ext xmlns:c15="http://schemas.microsoft.com/office/drawing/2012/chart" uri="{02D57815-91ED-43cb-92C2-25804820EDAC}">
            <c15:filteredAreaSeries>
              <c15:ser>
                <c:idx val="0"/>
                <c:order val="0"/>
                <c:tx>
                  <c:strRef>
                    <c:extLst>
                      <c:ext uri="{02D57815-91ED-43cb-92C2-25804820EDAC}">
                        <c15:formulaRef>
                          <c15:sqref>Segments!$A$2</c15:sqref>
                        </c15:formulaRef>
                      </c:ext>
                    </c:extLst>
                    <c:strCache>
                      <c:ptCount val="1"/>
                      <c:pt idx="0">
                        <c:v>Revenues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Segments!$B$2:$G$2</c15:sqref>
                        </c15:formulaRef>
                      </c:ext>
                    </c:extLst>
                    <c:numCache>
                      <c:formatCode>General</c:formatCode>
                      <c:ptCount val="6"/>
                    </c:numCache>
                  </c:numRef>
                </c:val>
                <c:extLst>
                  <c:ext xmlns:c16="http://schemas.microsoft.com/office/drawing/2014/chart" uri="{C3380CC4-5D6E-409C-BE32-E72D297353CC}">
                    <c16:uniqueId val="{00000004-9AFE-4641-ADA9-E3322BF1C73C}"/>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Segments!$A$3</c15:sqref>
                        </c15:formulaRef>
                      </c:ext>
                    </c:extLst>
                    <c:strCache>
                      <c:ptCount val="1"/>
                      <c:pt idx="0">
                        <c:v>N. America</c:v>
                      </c:pt>
                    </c:strCache>
                  </c:strRef>
                </c:tx>
                <c:spPr>
                  <a:solidFill>
                    <a:schemeClr val="accent2"/>
                  </a:solidFill>
                  <a:ln>
                    <a:noFill/>
                  </a:ln>
                  <a:effectLst/>
                </c:spPr>
                <c:cat>
                  <c:numRef>
                    <c:extLst xmlns:c15="http://schemas.microsoft.com/office/drawing/2012/chart">
                      <c:ext xmlns:c15="http://schemas.microsoft.com/office/drawing/2012/char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xmlns:c15="http://schemas.microsoft.com/office/drawing/2012/chart">
                      <c:ext xmlns:c15="http://schemas.microsoft.com/office/drawing/2012/chart" uri="{02D57815-91ED-43cb-92C2-25804820EDAC}">
                        <c15:formulaRef>
                          <c15:sqref>Segments!$B$3:$G$3</c15:sqref>
                        </c15:formulaRef>
                      </c:ext>
                    </c:extLst>
                    <c:numCache>
                      <c:formatCode>_(* #,##0_);_(* \(#,##0\);_(* "-"_);_(@_)</c:formatCode>
                      <c:ptCount val="6"/>
                    </c:numCache>
                  </c:numRef>
                </c:val>
                <c:extLst xmlns:c15="http://schemas.microsoft.com/office/drawing/2012/chart">
                  <c:ext xmlns:c16="http://schemas.microsoft.com/office/drawing/2014/chart" uri="{C3380CC4-5D6E-409C-BE32-E72D297353CC}">
                    <c16:uniqueId val="{00000005-9AFE-4641-ADA9-E3322BF1C73C}"/>
                  </c:ext>
                </c:extLst>
              </c15:ser>
            </c15:filteredAreaSeries>
          </c:ext>
        </c:extLst>
      </c:areaChart>
      <c:catAx>
        <c:axId val="32979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8800"/>
        <c:crosses val="autoZero"/>
        <c:auto val="1"/>
        <c:lblAlgn val="ctr"/>
        <c:lblOffset val="100"/>
        <c:noMultiLvlLbl val="0"/>
      </c:catAx>
      <c:valAx>
        <c:axId val="329798800"/>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912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Worldwide Revenues by Product Line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2"/>
          <c:order val="2"/>
          <c:tx>
            <c:strRef>
              <c:f>Segments!$A$28</c:f>
              <c:strCache>
                <c:ptCount val="1"/>
                <c:pt idx="0">
                  <c:v>Construction</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Segments!$B$28:$G$28</c:f>
              <c:numCache>
                <c:formatCode>_(* #,##0_);_(* \(#,##0\);_(* "-"_);_(@_)</c:formatCode>
                <c:ptCount val="6"/>
                <c:pt idx="0">
                  <c:v>13572</c:v>
                </c:pt>
                <c:pt idx="1">
                  <c:v>19667</c:v>
                </c:pt>
                <c:pt idx="2">
                  <c:v>19334</c:v>
                </c:pt>
                <c:pt idx="3">
                  <c:v>18532</c:v>
                </c:pt>
                <c:pt idx="4">
                  <c:v>19362</c:v>
                </c:pt>
                <c:pt idx="5">
                  <c:v>16568</c:v>
                </c:pt>
              </c:numCache>
            </c:numRef>
          </c:val>
          <c:extLst>
            <c:ext xmlns:c16="http://schemas.microsoft.com/office/drawing/2014/chart" uri="{C3380CC4-5D6E-409C-BE32-E72D297353CC}">
              <c16:uniqueId val="{00000000-6EF7-45CC-9D81-90477017AA9A}"/>
            </c:ext>
          </c:extLst>
        </c:ser>
        <c:ser>
          <c:idx val="3"/>
          <c:order val="3"/>
          <c:tx>
            <c:strRef>
              <c:f>Segments!$A$29</c:f>
              <c:strCache>
                <c:ptCount val="1"/>
                <c:pt idx="0">
                  <c:v>Resources</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Segments!$B$29:$G$29</c:f>
              <c:numCache>
                <c:formatCode>_(* #,##0_);_(* \(#,##0\);_(* "-"_);_(@_)</c:formatCode>
                <c:ptCount val="6"/>
                <c:pt idx="0">
                  <c:v>8667</c:v>
                </c:pt>
                <c:pt idx="1">
                  <c:v>15629</c:v>
                </c:pt>
                <c:pt idx="2">
                  <c:v>21158</c:v>
                </c:pt>
                <c:pt idx="3">
                  <c:v>13270</c:v>
                </c:pt>
                <c:pt idx="4">
                  <c:v>8921</c:v>
                </c:pt>
                <c:pt idx="5">
                  <c:v>7551</c:v>
                </c:pt>
              </c:numCache>
            </c:numRef>
          </c:val>
          <c:extLst>
            <c:ext xmlns:c16="http://schemas.microsoft.com/office/drawing/2014/chart" uri="{C3380CC4-5D6E-409C-BE32-E72D297353CC}">
              <c16:uniqueId val="{00000001-6EF7-45CC-9D81-90477017AA9A}"/>
            </c:ext>
          </c:extLst>
        </c:ser>
        <c:ser>
          <c:idx val="4"/>
          <c:order val="4"/>
          <c:tx>
            <c:strRef>
              <c:f>Segments!$A$30</c:f>
              <c:strCache>
                <c:ptCount val="1"/>
                <c:pt idx="0">
                  <c:v>Energy &amp; Transportation</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Segments!$B$30:$G$30</c:f>
              <c:numCache>
                <c:formatCode>_(* #,##0_);_(* \(#,##0\);_(* "-"_);_(@_)</c:formatCode>
                <c:ptCount val="6"/>
                <c:pt idx="0">
                  <c:v>15537</c:v>
                </c:pt>
                <c:pt idx="1">
                  <c:v>20114</c:v>
                </c:pt>
                <c:pt idx="2">
                  <c:v>21122</c:v>
                </c:pt>
                <c:pt idx="3">
                  <c:v>20155</c:v>
                </c:pt>
                <c:pt idx="4">
                  <c:v>21727</c:v>
                </c:pt>
                <c:pt idx="5">
                  <c:v>17938</c:v>
                </c:pt>
              </c:numCache>
            </c:numRef>
          </c:val>
          <c:extLst>
            <c:ext xmlns:c16="http://schemas.microsoft.com/office/drawing/2014/chart" uri="{C3380CC4-5D6E-409C-BE32-E72D297353CC}">
              <c16:uniqueId val="{00000002-6EF7-45CC-9D81-90477017AA9A}"/>
            </c:ext>
          </c:extLst>
        </c:ser>
        <c:ser>
          <c:idx val="5"/>
          <c:order val="5"/>
          <c:tx>
            <c:strRef>
              <c:f>Segments!$A$31</c:f>
              <c:strCache>
                <c:ptCount val="1"/>
                <c:pt idx="0">
                  <c:v>Other</c:v>
                </c:pt>
              </c:strCache>
            </c:strRef>
          </c:tx>
          <c:spPr>
            <a:solidFill>
              <a:schemeClr val="accent5"/>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Segments!$B$31:$G$31</c:f>
              <c:numCache>
                <c:formatCode>_(* #,##0_);_(* \(#,##0\);_(* "-"_);_(@_)</c:formatCode>
                <c:ptCount val="6"/>
                <c:pt idx="0">
                  <c:v>2156</c:v>
                </c:pt>
                <c:pt idx="1">
                  <c:v>2021</c:v>
                </c:pt>
                <c:pt idx="2">
                  <c:v>1501</c:v>
                </c:pt>
                <c:pt idx="3">
                  <c:v>886</c:v>
                </c:pt>
                <c:pt idx="4">
                  <c:v>2251</c:v>
                </c:pt>
                <c:pt idx="5">
                  <c:v>2197</c:v>
                </c:pt>
              </c:numCache>
            </c:numRef>
          </c:val>
          <c:extLst>
            <c:ext xmlns:c16="http://schemas.microsoft.com/office/drawing/2014/chart" uri="{C3380CC4-5D6E-409C-BE32-E72D297353CC}">
              <c16:uniqueId val="{00000003-6EF7-45CC-9D81-90477017AA9A}"/>
            </c:ext>
          </c:extLst>
        </c:ser>
        <c:dLbls>
          <c:showLegendKey val="0"/>
          <c:showVal val="0"/>
          <c:showCatName val="0"/>
          <c:showSerName val="0"/>
          <c:showPercent val="0"/>
          <c:showBubbleSize val="0"/>
        </c:dLbls>
        <c:axId val="329799128"/>
        <c:axId val="329798800"/>
        <c:extLst>
          <c:ext xmlns:c15="http://schemas.microsoft.com/office/drawing/2012/chart" uri="{02D57815-91ED-43cb-92C2-25804820EDAC}">
            <c15:filteredAreaSeries>
              <c15:ser>
                <c:idx val="0"/>
                <c:order val="0"/>
                <c:tx>
                  <c:strRef>
                    <c:extLst>
                      <c:ext uri="{02D57815-91ED-43cb-92C2-25804820EDAC}">
                        <c15:formulaRef>
                          <c15:sqref>Segments!$A$2</c15:sqref>
                        </c15:formulaRef>
                      </c:ext>
                    </c:extLst>
                    <c:strCache>
                      <c:ptCount val="1"/>
                      <c:pt idx="0">
                        <c:v>Revenues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Segments!$B$2:$G$2</c15:sqref>
                        </c15:formulaRef>
                      </c:ext>
                    </c:extLst>
                    <c:numCache>
                      <c:formatCode>General</c:formatCode>
                      <c:ptCount val="6"/>
                    </c:numCache>
                  </c:numRef>
                </c:val>
                <c:extLst>
                  <c:ext xmlns:c16="http://schemas.microsoft.com/office/drawing/2014/chart" uri="{C3380CC4-5D6E-409C-BE32-E72D297353CC}">
                    <c16:uniqueId val="{00000004-6EF7-45CC-9D81-90477017AA9A}"/>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Segments!$A$3</c15:sqref>
                        </c15:formulaRef>
                      </c:ext>
                    </c:extLst>
                    <c:strCache>
                      <c:ptCount val="1"/>
                      <c:pt idx="0">
                        <c:v>N. America</c:v>
                      </c:pt>
                    </c:strCache>
                  </c:strRef>
                </c:tx>
                <c:spPr>
                  <a:solidFill>
                    <a:schemeClr val="accent2"/>
                  </a:solidFill>
                  <a:ln>
                    <a:noFill/>
                  </a:ln>
                  <a:effectLst/>
                </c:spPr>
                <c:cat>
                  <c:numRef>
                    <c:extLst xmlns:c15="http://schemas.microsoft.com/office/drawing/2012/chart">
                      <c:ext xmlns:c15="http://schemas.microsoft.com/office/drawing/2012/char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xmlns:c15="http://schemas.microsoft.com/office/drawing/2012/chart">
                      <c:ext xmlns:c15="http://schemas.microsoft.com/office/drawing/2012/chart" uri="{02D57815-91ED-43cb-92C2-25804820EDAC}">
                        <c15:formulaRef>
                          <c15:sqref>Segments!$B$3:$G$3</c15:sqref>
                        </c15:formulaRef>
                      </c:ext>
                    </c:extLst>
                    <c:numCache>
                      <c:formatCode>_(* #,##0_);_(* \(#,##0\);_(* "-"_);_(@_)</c:formatCode>
                      <c:ptCount val="6"/>
                    </c:numCache>
                  </c:numRef>
                </c:val>
                <c:extLst xmlns:c15="http://schemas.microsoft.com/office/drawing/2012/chart">
                  <c:ext xmlns:c16="http://schemas.microsoft.com/office/drawing/2014/chart" uri="{C3380CC4-5D6E-409C-BE32-E72D297353CC}">
                    <c16:uniqueId val="{00000005-6EF7-45CC-9D81-90477017AA9A}"/>
                  </c:ext>
                </c:extLst>
              </c15:ser>
            </c15:filteredAreaSeries>
          </c:ext>
        </c:extLst>
      </c:areaChart>
      <c:catAx>
        <c:axId val="3297991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8800"/>
        <c:crosses val="autoZero"/>
        <c:auto val="1"/>
        <c:lblAlgn val="ctr"/>
        <c:lblOffset val="100"/>
        <c:noMultiLvlLbl val="0"/>
      </c:catAx>
      <c:valAx>
        <c:axId val="3297988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32979912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Worldwide</a:t>
            </a:r>
            <a:r>
              <a:rPr lang="en-US" sz="1200" baseline="0"/>
              <a:t> Revenues by Geography</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areaChart>
        <c:grouping val="stacked"/>
        <c:varyColors val="0"/>
        <c:ser>
          <c:idx val="1"/>
          <c:order val="1"/>
          <c:tx>
            <c:strRef>
              <c:f>Segments!$A$36</c:f>
              <c:strCache>
                <c:ptCount val="1"/>
                <c:pt idx="0">
                  <c:v>N. America</c:v>
                </c:pt>
              </c:strCache>
            </c:strRef>
          </c:tx>
          <c:spPr>
            <a:solidFill>
              <a:srgbClr val="0046A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Segments!$B$36:$G$36</c:f>
              <c:numCache>
                <c:formatCode>_(* #,##0_);_(* \(#,##0\);_(* "-"_);_(@_)</c:formatCode>
                <c:ptCount val="6"/>
                <c:pt idx="0">
                  <c:v>14558</c:v>
                </c:pt>
                <c:pt idx="1">
                  <c:v>20249</c:v>
                </c:pt>
                <c:pt idx="2">
                  <c:v>22635</c:v>
                </c:pt>
                <c:pt idx="3">
                  <c:v>20347</c:v>
                </c:pt>
                <c:pt idx="4">
                  <c:v>22644</c:v>
                </c:pt>
                <c:pt idx="5">
                  <c:v>20239</c:v>
                </c:pt>
              </c:numCache>
            </c:numRef>
          </c:val>
          <c:extLst>
            <c:ext xmlns:c16="http://schemas.microsoft.com/office/drawing/2014/chart" uri="{C3380CC4-5D6E-409C-BE32-E72D297353CC}">
              <c16:uniqueId val="{00000000-CB48-46E1-95A3-AD3A280925E9}"/>
            </c:ext>
          </c:extLst>
        </c:ser>
        <c:ser>
          <c:idx val="2"/>
          <c:order val="2"/>
          <c:tx>
            <c:strRef>
              <c:f>Segments!$A$37</c:f>
              <c:strCache>
                <c:ptCount val="1"/>
                <c:pt idx="0">
                  <c:v>Latin America</c:v>
                </c:pt>
              </c:strCache>
            </c:strRef>
          </c:tx>
          <c:spPr>
            <a:solidFill>
              <a:schemeClr val="accent5"/>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Segments!$B$37:$G$37</c:f>
              <c:numCache>
                <c:formatCode>_(* #,##0_);_(* \(#,##0\);_(* "-"_);_(@_)</c:formatCode>
                <c:ptCount val="6"/>
                <c:pt idx="0">
                  <c:v>5865</c:v>
                </c:pt>
                <c:pt idx="1">
                  <c:v>8342</c:v>
                </c:pt>
                <c:pt idx="2">
                  <c:v>8568</c:v>
                </c:pt>
                <c:pt idx="3">
                  <c:v>7417</c:v>
                </c:pt>
                <c:pt idx="4">
                  <c:v>6173</c:v>
                </c:pt>
                <c:pt idx="5">
                  <c:v>4442</c:v>
                </c:pt>
              </c:numCache>
            </c:numRef>
          </c:val>
          <c:extLst>
            <c:ext xmlns:c16="http://schemas.microsoft.com/office/drawing/2014/chart" uri="{C3380CC4-5D6E-409C-BE32-E72D297353CC}">
              <c16:uniqueId val="{00000001-CB48-46E1-95A3-AD3A280925E9}"/>
            </c:ext>
          </c:extLst>
        </c:ser>
        <c:ser>
          <c:idx val="3"/>
          <c:order val="3"/>
          <c:tx>
            <c:strRef>
              <c:f>Segments!$A$38</c:f>
              <c:strCache>
                <c:ptCount val="1"/>
                <c:pt idx="0">
                  <c:v>EAME</c:v>
                </c:pt>
              </c:strCache>
            </c:strRef>
          </c:tx>
          <c:spPr>
            <a:solidFill>
              <a:srgbClr val="575A5D"/>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Segments!$B$38:$G$38</c:f>
              <c:numCache>
                <c:formatCode>_(* #,##0_);_(* \(#,##0\);_(* "-"_);_(@_)</c:formatCode>
                <c:ptCount val="6"/>
                <c:pt idx="0">
                  <c:v>9609</c:v>
                </c:pt>
                <c:pt idx="1">
                  <c:v>14333</c:v>
                </c:pt>
                <c:pt idx="2">
                  <c:v>15445</c:v>
                </c:pt>
                <c:pt idx="3">
                  <c:v>13144</c:v>
                </c:pt>
                <c:pt idx="4">
                  <c:v>13025</c:v>
                </c:pt>
                <c:pt idx="5">
                  <c:v>11115</c:v>
                </c:pt>
              </c:numCache>
            </c:numRef>
          </c:val>
          <c:extLst>
            <c:ext xmlns:c16="http://schemas.microsoft.com/office/drawing/2014/chart" uri="{C3380CC4-5D6E-409C-BE32-E72D297353CC}">
              <c16:uniqueId val="{00000002-CB48-46E1-95A3-AD3A280925E9}"/>
            </c:ext>
          </c:extLst>
        </c:ser>
        <c:ser>
          <c:idx val="4"/>
          <c:order val="4"/>
          <c:tx>
            <c:strRef>
              <c:f>Segments!$A$39</c:f>
              <c:strCache>
                <c:ptCount val="1"/>
                <c:pt idx="0">
                  <c:v>APAC</c:v>
                </c:pt>
              </c:strCache>
            </c:strRef>
          </c:tx>
          <c:spPr>
            <a:solidFill>
              <a:srgbClr val="00B050"/>
            </a:solidFill>
            <a:ln>
              <a:noFill/>
            </a:ln>
            <a:effectLst/>
          </c:spPr>
          <c:cat>
            <c:numRef>
              <c:f>Segments!$B$1:$G$1</c:f>
              <c:numCache>
                <c:formatCode>General</c:formatCode>
                <c:ptCount val="6"/>
                <c:pt idx="0">
                  <c:v>2010</c:v>
                </c:pt>
                <c:pt idx="1">
                  <c:v>2011</c:v>
                </c:pt>
                <c:pt idx="2">
                  <c:v>2012</c:v>
                </c:pt>
                <c:pt idx="3">
                  <c:v>2013</c:v>
                </c:pt>
                <c:pt idx="4">
                  <c:v>2014</c:v>
                </c:pt>
                <c:pt idx="5">
                  <c:v>2015</c:v>
                </c:pt>
              </c:numCache>
            </c:numRef>
          </c:cat>
          <c:val>
            <c:numRef>
              <c:f>Segments!$B$39:$G$39</c:f>
              <c:numCache>
                <c:formatCode>_(* #,##0_);_(* \(#,##0\);_(* "-"_);_(@_)</c:formatCode>
                <c:ptCount val="6"/>
                <c:pt idx="0">
                  <c:v>9900</c:v>
                </c:pt>
                <c:pt idx="1">
                  <c:v>14507</c:v>
                </c:pt>
                <c:pt idx="2">
                  <c:v>16467</c:v>
                </c:pt>
                <c:pt idx="3">
                  <c:v>11935</c:v>
                </c:pt>
                <c:pt idx="4">
                  <c:v>10419</c:v>
                </c:pt>
                <c:pt idx="5">
                  <c:v>8458</c:v>
                </c:pt>
              </c:numCache>
            </c:numRef>
          </c:val>
          <c:extLst>
            <c:ext xmlns:c16="http://schemas.microsoft.com/office/drawing/2014/chart" uri="{C3380CC4-5D6E-409C-BE32-E72D297353CC}">
              <c16:uniqueId val="{00000003-CB48-46E1-95A3-AD3A280925E9}"/>
            </c:ext>
          </c:extLst>
        </c:ser>
        <c:dLbls>
          <c:showLegendKey val="0"/>
          <c:showVal val="0"/>
          <c:showCatName val="0"/>
          <c:showSerName val="0"/>
          <c:showPercent val="0"/>
          <c:showBubbleSize val="0"/>
        </c:dLbls>
        <c:axId val="635155592"/>
        <c:axId val="635156904"/>
        <c:extLst>
          <c:ext xmlns:c15="http://schemas.microsoft.com/office/drawing/2012/chart" uri="{02D57815-91ED-43cb-92C2-25804820EDAC}">
            <c15:filteredAreaSeries>
              <c15:ser>
                <c:idx val="0"/>
                <c:order val="0"/>
                <c:tx>
                  <c:strRef>
                    <c:extLst>
                      <c:ext uri="{02D57815-91ED-43cb-92C2-25804820EDAC}">
                        <c15:formulaRef>
                          <c15:sqref>Segments!$A$35</c15:sqref>
                        </c15:formulaRef>
                      </c:ext>
                    </c:extLst>
                    <c:strCache>
                      <c:ptCount val="1"/>
                      <c:pt idx="0">
                        <c:v>Geographical Totals</c:v>
                      </c:pt>
                    </c:strCache>
                  </c:strRef>
                </c:tx>
                <c:spPr>
                  <a:solidFill>
                    <a:schemeClr val="accent1"/>
                  </a:solidFill>
                  <a:ln>
                    <a:noFill/>
                  </a:ln>
                  <a:effectLst/>
                </c:spPr>
                <c:cat>
                  <c:numRef>
                    <c:extLst>
                      <c:ext uri="{02D57815-91ED-43cb-92C2-25804820EDAC}">
                        <c15:formulaRef>
                          <c15:sqref>Segments!$B$1:$G$1</c15:sqref>
                        </c15:formulaRef>
                      </c:ext>
                    </c:extLst>
                    <c:numCache>
                      <c:formatCode>General</c:formatCode>
                      <c:ptCount val="6"/>
                      <c:pt idx="0">
                        <c:v>2010</c:v>
                      </c:pt>
                      <c:pt idx="1">
                        <c:v>2011</c:v>
                      </c:pt>
                      <c:pt idx="2">
                        <c:v>2012</c:v>
                      </c:pt>
                      <c:pt idx="3">
                        <c:v>2013</c:v>
                      </c:pt>
                      <c:pt idx="4">
                        <c:v>2014</c:v>
                      </c:pt>
                      <c:pt idx="5">
                        <c:v>2015</c:v>
                      </c:pt>
                    </c:numCache>
                  </c:numRef>
                </c:cat>
                <c:val>
                  <c:numRef>
                    <c:extLst>
                      <c:ext uri="{02D57815-91ED-43cb-92C2-25804820EDAC}">
                        <c15:formulaRef>
                          <c15:sqref>Segments!$B$35:$G$35</c15:sqref>
                        </c15:formulaRef>
                      </c:ext>
                    </c:extLst>
                    <c:numCache>
                      <c:formatCode>General</c:formatCode>
                      <c:ptCount val="6"/>
                    </c:numCache>
                  </c:numRef>
                </c:val>
                <c:extLst>
                  <c:ext xmlns:c16="http://schemas.microsoft.com/office/drawing/2014/chart" uri="{C3380CC4-5D6E-409C-BE32-E72D297353CC}">
                    <c16:uniqueId val="{00000004-CB48-46E1-95A3-AD3A280925E9}"/>
                  </c:ext>
                </c:extLst>
              </c15:ser>
            </c15:filteredAreaSeries>
          </c:ext>
        </c:extLst>
      </c:areaChart>
      <c:catAx>
        <c:axId val="6351555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35156904"/>
        <c:crosses val="autoZero"/>
        <c:auto val="1"/>
        <c:lblAlgn val="ctr"/>
        <c:lblOffset val="100"/>
        <c:noMultiLvlLbl val="0"/>
      </c:catAx>
      <c:valAx>
        <c:axId val="6351569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3515559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Product-Line Revenue</a:t>
            </a:r>
            <a:r>
              <a:rPr lang="en-US" sz="1200" baseline="0"/>
              <a:t> Breakdown</a:t>
            </a:r>
          </a:p>
          <a:p>
            <a:pPr>
              <a:defRPr sz="1200"/>
            </a:pPr>
            <a:r>
              <a:rPr lang="en-US" sz="1000" baseline="0"/>
              <a:t>First Three Quarters of 2016</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pieChart>
        <c:varyColors val="1"/>
        <c:ser>
          <c:idx val="0"/>
          <c:order val="0"/>
          <c:dPt>
            <c:idx val="0"/>
            <c:bubble3D val="0"/>
            <c:spPr>
              <a:solidFill>
                <a:srgbClr val="0046AD"/>
              </a:solidFill>
              <a:ln w="19050">
                <a:solidFill>
                  <a:schemeClr val="lt1"/>
                </a:solidFill>
              </a:ln>
              <a:effectLst/>
            </c:spPr>
            <c:extLst>
              <c:ext xmlns:c16="http://schemas.microsoft.com/office/drawing/2014/chart" uri="{C3380CC4-5D6E-409C-BE32-E72D297353CC}">
                <c16:uniqueId val="{00000001-42DF-48DE-A3BD-83CF327E3CC7}"/>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42DF-48DE-A3BD-83CF327E3CC7}"/>
              </c:ext>
            </c:extLst>
          </c:dPt>
          <c:dPt>
            <c:idx val="2"/>
            <c:bubble3D val="0"/>
            <c:spPr>
              <a:solidFill>
                <a:srgbClr val="575A5D"/>
              </a:solidFill>
              <a:ln w="19050">
                <a:solidFill>
                  <a:schemeClr val="lt1"/>
                </a:solidFill>
              </a:ln>
              <a:effectLst/>
            </c:spPr>
            <c:extLst>
              <c:ext xmlns:c16="http://schemas.microsoft.com/office/drawing/2014/chart" uri="{C3380CC4-5D6E-409C-BE32-E72D297353CC}">
                <c16:uniqueId val="{00000005-42DF-48DE-A3BD-83CF327E3C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DF-48DE-A3BD-83CF327E3C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42DF-48DE-A3BD-83CF327E3CC7}"/>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42DF-48DE-A3BD-83CF327E3CC7}"/>
                </c:ext>
              </c:extLst>
            </c:dLbl>
            <c:dLbl>
              <c:idx val="2"/>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42DF-48DE-A3BD-83CF327E3CC7}"/>
                </c:ext>
              </c:extLst>
            </c:dLbl>
            <c:dLbl>
              <c:idx val="3"/>
              <c:delete val="1"/>
              <c:extLst>
                <c:ext xmlns:c15="http://schemas.microsoft.com/office/drawing/2012/chart" uri="{CE6537A1-D6FC-4f65-9D91-7224C49458BB}"/>
                <c:ext xmlns:c16="http://schemas.microsoft.com/office/drawing/2014/chart" uri="{C3380CC4-5D6E-409C-BE32-E72D297353CC}">
                  <c16:uniqueId val="{00000007-42DF-48DE-A3BD-83CF327E3CC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Segments!$A$28:$A$31</c:f>
              <c:strCache>
                <c:ptCount val="4"/>
                <c:pt idx="0">
                  <c:v>Construction</c:v>
                </c:pt>
                <c:pt idx="1">
                  <c:v>Resources</c:v>
                </c:pt>
                <c:pt idx="2">
                  <c:v>Energy &amp; Transportation</c:v>
                </c:pt>
                <c:pt idx="3">
                  <c:v>Other</c:v>
                </c:pt>
              </c:strCache>
            </c:strRef>
          </c:cat>
          <c:val>
            <c:numRef>
              <c:f>Segments!$L$28:$L$31</c:f>
              <c:numCache>
                <c:formatCode>_(* #,##0_);_(* \(#,##0\);_(* "-"_);_(@_)</c:formatCode>
                <c:ptCount val="4"/>
                <c:pt idx="0">
                  <c:v>12023</c:v>
                </c:pt>
                <c:pt idx="1">
                  <c:v>4283</c:v>
                </c:pt>
                <c:pt idx="2">
                  <c:v>10562</c:v>
                </c:pt>
                <c:pt idx="3">
                  <c:v>107</c:v>
                </c:pt>
              </c:numCache>
            </c:numRef>
          </c:val>
          <c:extLst>
            <c:ext xmlns:c16="http://schemas.microsoft.com/office/drawing/2014/chart" uri="{C3380CC4-5D6E-409C-BE32-E72D297353CC}">
              <c16:uniqueId val="{00000008-42DF-48DE-A3BD-83CF327E3CC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solidFill>
                  <a:sysClr val="windowText" lastClr="000000"/>
                </a:solidFill>
              </a:rPr>
              <a:t>Geographical-Line</a:t>
            </a:r>
            <a:r>
              <a:rPr lang="en-US" sz="1200" baseline="0">
                <a:solidFill>
                  <a:sysClr val="windowText" lastClr="000000"/>
                </a:solidFill>
              </a:rPr>
              <a:t> Revenue Breakdown</a:t>
            </a:r>
          </a:p>
          <a:p>
            <a:pPr>
              <a:defRPr sz="1200">
                <a:solidFill>
                  <a:sysClr val="windowText" lastClr="000000"/>
                </a:solidFill>
              </a:defRPr>
            </a:pPr>
            <a:r>
              <a:rPr lang="en-US" sz="1000" baseline="0">
                <a:solidFill>
                  <a:sysClr val="windowText" lastClr="000000"/>
                </a:solidFill>
              </a:rPr>
              <a:t>First Three Quarters of 2016</a:t>
            </a:r>
            <a:endParaRPr lang="en-US"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pieChart>
        <c:varyColors val="1"/>
        <c:ser>
          <c:idx val="0"/>
          <c:order val="0"/>
          <c:dPt>
            <c:idx val="0"/>
            <c:bubble3D val="0"/>
            <c:spPr>
              <a:solidFill>
                <a:srgbClr val="0046AD"/>
              </a:solidFill>
              <a:ln w="19050">
                <a:solidFill>
                  <a:schemeClr val="lt1"/>
                </a:solidFill>
              </a:ln>
              <a:effectLst/>
            </c:spPr>
            <c:extLst>
              <c:ext xmlns:c16="http://schemas.microsoft.com/office/drawing/2014/chart" uri="{C3380CC4-5D6E-409C-BE32-E72D297353CC}">
                <c16:uniqueId val="{00000001-475F-425F-A4E3-8ADF0C5B6366}"/>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475F-425F-A4E3-8ADF0C5B6366}"/>
              </c:ext>
            </c:extLst>
          </c:dPt>
          <c:dPt>
            <c:idx val="2"/>
            <c:bubble3D val="0"/>
            <c:spPr>
              <a:solidFill>
                <a:srgbClr val="575A5D"/>
              </a:solidFill>
              <a:ln w="19050">
                <a:solidFill>
                  <a:schemeClr val="lt1"/>
                </a:solidFill>
              </a:ln>
              <a:effectLst/>
            </c:spPr>
            <c:extLst>
              <c:ext xmlns:c16="http://schemas.microsoft.com/office/drawing/2014/chart" uri="{C3380CC4-5D6E-409C-BE32-E72D297353CC}">
                <c16:uniqueId val="{00000005-475F-425F-A4E3-8ADF0C5B6366}"/>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475F-425F-A4E3-8ADF0C5B6366}"/>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475F-425F-A4E3-8ADF0C5B63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Segments!$A$36:$A$39</c:f>
              <c:strCache>
                <c:ptCount val="4"/>
                <c:pt idx="0">
                  <c:v>N. America</c:v>
                </c:pt>
                <c:pt idx="1">
                  <c:v>Latin America</c:v>
                </c:pt>
                <c:pt idx="2">
                  <c:v>EAME</c:v>
                </c:pt>
                <c:pt idx="3">
                  <c:v>APAC</c:v>
                </c:pt>
              </c:strCache>
            </c:strRef>
          </c:cat>
          <c:val>
            <c:numRef>
              <c:f>Segments!$L$36:$L$39</c:f>
              <c:numCache>
                <c:formatCode>_(* #,##0_);_(* \(#,##0\);_(* "-"_);_(@_)</c:formatCode>
                <c:ptCount val="4"/>
                <c:pt idx="0">
                  <c:v>12550</c:v>
                </c:pt>
                <c:pt idx="1">
                  <c:v>2335</c:v>
                </c:pt>
                <c:pt idx="2">
                  <c:v>6689</c:v>
                </c:pt>
                <c:pt idx="3">
                  <c:v>5401</c:v>
                </c:pt>
              </c:numCache>
            </c:numRef>
          </c:val>
          <c:extLst>
            <c:ext xmlns:c16="http://schemas.microsoft.com/office/drawing/2014/chart" uri="{C3380CC4-5D6E-409C-BE32-E72D297353CC}">
              <c16:uniqueId val="{00000008-475F-425F-A4E3-8ADF0C5B636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Revenue Breakdown</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Segments!$A$130</c:f>
              <c:strCache>
                <c:ptCount val="1"/>
                <c:pt idx="0">
                  <c:v>Machinery (LHS)</c:v>
                </c:pt>
              </c:strCache>
            </c:strRef>
          </c:tx>
          <c:spPr>
            <a:ln w="22225" cap="rnd">
              <a:solidFill>
                <a:srgbClr val="0046AD"/>
              </a:solidFill>
              <a:round/>
            </a:ln>
            <a:effectLst/>
          </c:spPr>
          <c:marker>
            <c:symbol val="none"/>
          </c:marker>
          <c:cat>
            <c:numRef>
              <c:f>Segments!$B$129:$L$129</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Segments!$B$130:$L$130</c:f>
              <c:numCache>
                <c:formatCode>_(* #,##0_);_(* \(#,##0\);_(* "-"??_);_(@_)</c:formatCode>
                <c:ptCount val="11"/>
                <c:pt idx="0">
                  <c:v>33809</c:v>
                </c:pt>
                <c:pt idx="1">
                  <c:v>38611</c:v>
                </c:pt>
                <c:pt idx="2">
                  <c:v>41683</c:v>
                </c:pt>
                <c:pt idx="3">
                  <c:v>47857</c:v>
                </c:pt>
                <c:pt idx="4">
                  <c:v>27753</c:v>
                </c:pt>
                <c:pt idx="5">
                  <c:v>37776</c:v>
                </c:pt>
                <c:pt idx="6">
                  <c:v>55410</c:v>
                </c:pt>
                <c:pt idx="7">
                  <c:v>60288</c:v>
                </c:pt>
                <c:pt idx="8">
                  <c:v>50492</c:v>
                </c:pt>
                <c:pt idx="9">
                  <c:v>50010</c:v>
                </c:pt>
                <c:pt idx="10">
                  <c:v>44147</c:v>
                </c:pt>
              </c:numCache>
            </c:numRef>
          </c:val>
          <c:smooth val="0"/>
          <c:extLst>
            <c:ext xmlns:c16="http://schemas.microsoft.com/office/drawing/2014/chart" uri="{C3380CC4-5D6E-409C-BE32-E72D297353CC}">
              <c16:uniqueId val="{00000000-AD1D-49F0-B4F7-54440CA14B9E}"/>
            </c:ext>
          </c:extLst>
        </c:ser>
        <c:dLbls>
          <c:showLegendKey val="0"/>
          <c:showVal val="0"/>
          <c:showCatName val="0"/>
          <c:showSerName val="0"/>
          <c:showPercent val="0"/>
          <c:showBubbleSize val="0"/>
        </c:dLbls>
        <c:marker val="1"/>
        <c:smooth val="0"/>
        <c:axId val="440371912"/>
        <c:axId val="440368632"/>
      </c:lineChart>
      <c:lineChart>
        <c:grouping val="standard"/>
        <c:varyColors val="0"/>
        <c:ser>
          <c:idx val="1"/>
          <c:order val="1"/>
          <c:tx>
            <c:strRef>
              <c:f>Segments!$A$131</c:f>
              <c:strCache>
                <c:ptCount val="1"/>
                <c:pt idx="0">
                  <c:v>Financial (RHS)</c:v>
                </c:pt>
              </c:strCache>
            </c:strRef>
          </c:tx>
          <c:spPr>
            <a:ln w="22225" cap="rnd">
              <a:solidFill>
                <a:srgbClr val="575A5D"/>
              </a:solidFill>
              <a:round/>
            </a:ln>
            <a:effectLst/>
          </c:spPr>
          <c:marker>
            <c:symbol val="none"/>
          </c:marker>
          <c:dLbls>
            <c:dLbl>
              <c:idx val="3"/>
              <c:layout>
                <c:manualLayout>
                  <c:x val="-1.8518518518518517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1D-49F0-B4F7-54440CA14B9E}"/>
                </c:ext>
              </c:extLst>
            </c:dLbl>
            <c:dLbl>
              <c:idx val="10"/>
              <c:layout>
                <c:manualLayout>
                  <c:x val="-3.3333333333333472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1D-49F0-B4F7-54440CA14B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Segments!$B$129:$L$129</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Segments!$B$131:$L$131</c:f>
              <c:numCache>
                <c:formatCode>_(* #,##0_);_(* \(#,##0\);_(* "-"??_);_(@_)</c:formatCode>
                <c:ptCount val="11"/>
                <c:pt idx="0">
                  <c:v>2868</c:v>
                </c:pt>
                <c:pt idx="1">
                  <c:v>3360</c:v>
                </c:pt>
                <c:pt idx="2">
                  <c:v>3674</c:v>
                </c:pt>
                <c:pt idx="3">
                  <c:v>3819</c:v>
                </c:pt>
                <c:pt idx="4">
                  <c:v>3139</c:v>
                </c:pt>
                <c:pt idx="5">
                  <c:v>2946</c:v>
                </c:pt>
                <c:pt idx="6">
                  <c:v>3003</c:v>
                </c:pt>
                <c:pt idx="7">
                  <c:v>3090</c:v>
                </c:pt>
                <c:pt idx="8">
                  <c:v>3224</c:v>
                </c:pt>
                <c:pt idx="9">
                  <c:v>3313</c:v>
                </c:pt>
                <c:pt idx="10">
                  <c:v>3078</c:v>
                </c:pt>
              </c:numCache>
            </c:numRef>
          </c:val>
          <c:smooth val="0"/>
          <c:extLst>
            <c:ext xmlns:c16="http://schemas.microsoft.com/office/drawing/2014/chart" uri="{C3380CC4-5D6E-409C-BE32-E72D297353CC}">
              <c16:uniqueId val="{00000003-AD1D-49F0-B4F7-54440CA14B9E}"/>
            </c:ext>
          </c:extLst>
        </c:ser>
        <c:dLbls>
          <c:showLegendKey val="0"/>
          <c:showVal val="0"/>
          <c:showCatName val="0"/>
          <c:showSerName val="0"/>
          <c:showPercent val="0"/>
          <c:showBubbleSize val="0"/>
        </c:dLbls>
        <c:marker val="1"/>
        <c:smooth val="0"/>
        <c:axId val="814644816"/>
        <c:axId val="814645472"/>
      </c:lineChart>
      <c:catAx>
        <c:axId val="440371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40368632"/>
        <c:crosses val="autoZero"/>
        <c:auto val="1"/>
        <c:lblAlgn val="ctr"/>
        <c:lblOffset val="100"/>
        <c:noMultiLvlLbl val="0"/>
      </c:catAx>
      <c:valAx>
        <c:axId val="4403686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40371912"/>
        <c:crosses val="autoZero"/>
        <c:crossBetween val="between"/>
      </c:valAx>
      <c:valAx>
        <c:axId val="814645472"/>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814644816"/>
        <c:crosses val="max"/>
        <c:crossBetween val="between"/>
        <c:majorUnit val="1500"/>
      </c:valAx>
      <c:catAx>
        <c:axId val="814644816"/>
        <c:scaling>
          <c:orientation val="minMax"/>
        </c:scaling>
        <c:delete val="1"/>
        <c:axPos val="b"/>
        <c:numFmt formatCode="General" sourceLinked="1"/>
        <c:majorTickMark val="out"/>
        <c:minorTickMark val="none"/>
        <c:tickLblPos val="nextTo"/>
        <c:crossAx val="81464547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plotArea>
      <cx:plotAreaRegion>
        <cx:series layoutId="clusteredColumn" uniqueId="{E8747BEF-456A-45FB-B849-B365DBF3CEE6}" formatIdx="0">
          <cx:dataLabels>
            <cx:visibility seriesName="0" categoryName="0" value="0"/>
            <cx:separator>, </cx:separator>
          </cx:dataLabels>
          <cx:dataId val="0"/>
          <cx:layoutPr>
            <cx:binning intervalClosed="r"/>
          </cx:layoutPr>
        </cx:series>
      </cx:plotAreaRegion>
      <cx:axis id="0">
        <cx:catScaling gapWidth="0"/>
        <cx:tickLabels/>
        <cx:numFmt formatCode="0.0%" sourceLinked="0"/>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5">
  <a:schemeClr val="accent2"/>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microsoft.com/office/2014/relationships/chartEx" Target="../charts/chartEx1.xml"/><Relationship Id="rId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12</xdr:col>
      <xdr:colOff>241524</xdr:colOff>
      <xdr:row>0</xdr:row>
      <xdr:rowOff>173489</xdr:rowOff>
    </xdr:from>
    <xdr:to>
      <xdr:col>23</xdr:col>
      <xdr:colOff>328611</xdr:colOff>
      <xdr:row>15</xdr:row>
      <xdr:rowOff>64632</xdr:rowOff>
    </xdr:to>
    <xdr:graphicFrame macro="">
      <xdr:nvGraphicFramePr>
        <xdr:cNvPr id="2" name="Chart 1">
          <a:extLst>
            <a:ext uri="{FF2B5EF4-FFF2-40B4-BE49-F238E27FC236}">
              <a16:creationId xmlns:a16="http://schemas.microsoft.com/office/drawing/2014/main" id="{7901AA51-D839-4C06-A0E6-8ACAB6FA7C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210909</xdr:colOff>
      <xdr:row>15</xdr:row>
      <xdr:rowOff>157842</xdr:rowOff>
    </xdr:from>
    <xdr:to>
      <xdr:col>23</xdr:col>
      <xdr:colOff>297996</xdr:colOff>
      <xdr:row>30</xdr:row>
      <xdr:rowOff>48985</xdr:rowOff>
    </xdr:to>
    <xdr:graphicFrame macro="">
      <xdr:nvGraphicFramePr>
        <xdr:cNvPr id="3" name="Chart 2">
          <a:extLst>
            <a:ext uri="{FF2B5EF4-FFF2-40B4-BE49-F238E27FC236}">
              <a16:creationId xmlns:a16="http://schemas.microsoft.com/office/drawing/2014/main" id="{5E6B270C-1FE2-484B-85E1-453970DFC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200025</xdr:colOff>
      <xdr:row>30</xdr:row>
      <xdr:rowOff>180975</xdr:rowOff>
    </xdr:from>
    <xdr:to>
      <xdr:col>23</xdr:col>
      <xdr:colOff>352425</xdr:colOff>
      <xdr:row>45</xdr:row>
      <xdr:rowOff>66675</xdr:rowOff>
    </xdr:to>
    <xdr:graphicFrame macro="">
      <xdr:nvGraphicFramePr>
        <xdr:cNvPr id="4" name="Chart 3">
          <a:extLst>
            <a:ext uri="{FF2B5EF4-FFF2-40B4-BE49-F238E27FC236}">
              <a16:creationId xmlns:a16="http://schemas.microsoft.com/office/drawing/2014/main" id="{ACDC9569-667D-4C1E-B307-252587726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190500</xdr:colOff>
      <xdr:row>45</xdr:row>
      <xdr:rowOff>152400</xdr:rowOff>
    </xdr:from>
    <xdr:to>
      <xdr:col>23</xdr:col>
      <xdr:colOff>342900</xdr:colOff>
      <xdr:row>60</xdr:row>
      <xdr:rowOff>38100</xdr:rowOff>
    </xdr:to>
    <xdr:graphicFrame macro="">
      <xdr:nvGraphicFramePr>
        <xdr:cNvPr id="5" name="Chart 4">
          <a:extLst>
            <a:ext uri="{FF2B5EF4-FFF2-40B4-BE49-F238E27FC236}">
              <a16:creationId xmlns:a16="http://schemas.microsoft.com/office/drawing/2014/main" id="{57475183-A556-4370-A89A-605FCB222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190500</xdr:colOff>
      <xdr:row>60</xdr:row>
      <xdr:rowOff>161925</xdr:rowOff>
    </xdr:from>
    <xdr:to>
      <xdr:col>23</xdr:col>
      <xdr:colOff>342900</xdr:colOff>
      <xdr:row>75</xdr:row>
      <xdr:rowOff>47625</xdr:rowOff>
    </xdr:to>
    <xdr:graphicFrame macro="">
      <xdr:nvGraphicFramePr>
        <xdr:cNvPr id="6" name="Chart 5">
          <a:extLst>
            <a:ext uri="{FF2B5EF4-FFF2-40B4-BE49-F238E27FC236}">
              <a16:creationId xmlns:a16="http://schemas.microsoft.com/office/drawing/2014/main" id="{54AC5631-E9E8-4996-8C82-A81CC2CB4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204787</xdr:colOff>
      <xdr:row>75</xdr:row>
      <xdr:rowOff>185737</xdr:rowOff>
    </xdr:from>
    <xdr:to>
      <xdr:col>23</xdr:col>
      <xdr:colOff>357187</xdr:colOff>
      <xdr:row>90</xdr:row>
      <xdr:rowOff>71437</xdr:rowOff>
    </xdr:to>
    <xdr:graphicFrame macro="">
      <xdr:nvGraphicFramePr>
        <xdr:cNvPr id="7" name="Chart 6">
          <a:extLst>
            <a:ext uri="{FF2B5EF4-FFF2-40B4-BE49-F238E27FC236}">
              <a16:creationId xmlns:a16="http://schemas.microsoft.com/office/drawing/2014/main" id="{98109218-0BDD-4903-8243-85D968DEB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278497</xdr:colOff>
      <xdr:row>5</xdr:row>
      <xdr:rowOff>177346</xdr:rowOff>
    </xdr:from>
    <xdr:to>
      <xdr:col>31</xdr:col>
      <xdr:colOff>566538</xdr:colOff>
      <xdr:row>29</xdr:row>
      <xdr:rowOff>177347</xdr:rowOff>
    </xdr:to>
    <xdr:graphicFrame macro="">
      <xdr:nvGraphicFramePr>
        <xdr:cNvPr id="8" name="Chart 7">
          <a:extLst>
            <a:ext uri="{FF2B5EF4-FFF2-40B4-BE49-F238E27FC236}">
              <a16:creationId xmlns:a16="http://schemas.microsoft.com/office/drawing/2014/main" id="{53195F13-E763-4061-9FE0-6F8AFF8A1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328612</xdr:colOff>
      <xdr:row>31</xdr:row>
      <xdr:rowOff>1191</xdr:rowOff>
    </xdr:from>
    <xdr:to>
      <xdr:col>32</xdr:col>
      <xdr:colOff>42862</xdr:colOff>
      <xdr:row>55</xdr:row>
      <xdr:rowOff>1191</xdr:rowOff>
    </xdr:to>
    <xdr:graphicFrame macro="">
      <xdr:nvGraphicFramePr>
        <xdr:cNvPr id="9" name="Chart 8">
          <a:extLst>
            <a:ext uri="{FF2B5EF4-FFF2-40B4-BE49-F238E27FC236}">
              <a16:creationId xmlns:a16="http://schemas.microsoft.com/office/drawing/2014/main" id="{14E40D5D-37E4-4333-B726-C19A71571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581023</xdr:colOff>
      <xdr:row>120</xdr:row>
      <xdr:rowOff>63954</xdr:rowOff>
    </xdr:from>
    <xdr:to>
      <xdr:col>24</xdr:col>
      <xdr:colOff>57148</xdr:colOff>
      <xdr:row>134</xdr:row>
      <xdr:rowOff>133350</xdr:rowOff>
    </xdr:to>
    <xdr:graphicFrame macro="">
      <xdr:nvGraphicFramePr>
        <xdr:cNvPr id="10" name="Chart 1">
          <a:extLst>
            <a:ext uri="{FF2B5EF4-FFF2-40B4-BE49-F238E27FC236}">
              <a16:creationId xmlns:a16="http://schemas.microsoft.com/office/drawing/2014/main" id="{000F9170-232A-488F-8549-A41CA2D3E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559261</xdr:colOff>
      <xdr:row>137</xdr:row>
      <xdr:rowOff>61232</xdr:rowOff>
    </xdr:from>
    <xdr:to>
      <xdr:col>23</xdr:col>
      <xdr:colOff>644984</xdr:colOff>
      <xdr:row>151</xdr:row>
      <xdr:rowOff>137432</xdr:rowOff>
    </xdr:to>
    <xdr:graphicFrame macro="">
      <xdr:nvGraphicFramePr>
        <xdr:cNvPr id="11" name="Chart 10">
          <a:extLst>
            <a:ext uri="{FF2B5EF4-FFF2-40B4-BE49-F238E27FC236}">
              <a16:creationId xmlns:a16="http://schemas.microsoft.com/office/drawing/2014/main" id="{70956304-BA94-44AF-B3AB-57645ED5B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541571</xdr:colOff>
      <xdr:row>102</xdr:row>
      <xdr:rowOff>91167</xdr:rowOff>
    </xdr:from>
    <xdr:to>
      <xdr:col>23</xdr:col>
      <xdr:colOff>149685</xdr:colOff>
      <xdr:row>117</xdr:row>
      <xdr:rowOff>58509</xdr:rowOff>
    </xdr:to>
    <xdr:graphicFrame macro="">
      <xdr:nvGraphicFramePr>
        <xdr:cNvPr id="12" name="Chart 11">
          <a:extLst>
            <a:ext uri="{FF2B5EF4-FFF2-40B4-BE49-F238E27FC236}">
              <a16:creationId xmlns:a16="http://schemas.microsoft.com/office/drawing/2014/main" id="{E562BDFA-8829-426A-979F-995DA833F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187779</xdr:colOff>
      <xdr:row>6</xdr:row>
      <xdr:rowOff>32658</xdr:rowOff>
    </xdr:from>
    <xdr:to>
      <xdr:col>25</xdr:col>
      <xdr:colOff>514350</xdr:colOff>
      <xdr:row>21</xdr:row>
      <xdr:rowOff>1</xdr:rowOff>
    </xdr:to>
    <xdr:graphicFrame macro="">
      <xdr:nvGraphicFramePr>
        <xdr:cNvPr id="2" name="Chart 1">
          <a:extLst>
            <a:ext uri="{FF2B5EF4-FFF2-40B4-BE49-F238E27FC236}">
              <a16:creationId xmlns:a16="http://schemas.microsoft.com/office/drawing/2014/main" id="{6A3EFCA2-E9E5-4F63-950F-7E17A10EA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latin typeface="Arial Narrow" panose="020B0606020202030204" pitchFamily="34" charset="0"/>
            </a:rPr>
            <a:t>Owners' Cash</a:t>
          </a:r>
          <a:r>
            <a:rPr lang="en-US" sz="1200" baseline="0">
              <a:latin typeface="Arial Narrow" panose="020B0606020202030204" pitchFamily="34" charset="0"/>
            </a:rPr>
            <a:t> Profits</a:t>
          </a:r>
        </a:p>
        <a:p xmlns:a="http://schemas.openxmlformats.org/drawingml/2006/main">
          <a:r>
            <a:rPr lang="en-US" sz="1200" baseline="0">
              <a:latin typeface="Arial Narrow" panose="020B0606020202030204" pitchFamily="34" charset="0"/>
            </a:rPr>
            <a:t>Expansionary Cash Flow</a:t>
          </a:r>
        </a:p>
      </cdr:txBody>
    </cdr:sp>
  </cdr:relSizeAnchor>
  <cdr:relSizeAnchor xmlns:cdr="http://schemas.openxmlformats.org/drawingml/2006/chartDrawing">
    <cdr:from>
      <cdr:x>0.28522</cdr:x>
      <cdr:y>0.07886</cdr:y>
    </cdr:from>
    <cdr:to>
      <cdr:x>0.37113</cdr:x>
      <cdr:y>0.10252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2470547" y="496094"/>
          <a:ext cx="744141" cy="148828"/>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0.11691</cdr:y>
    </cdr:from>
    <cdr:to>
      <cdr:x>0.37127</cdr:x>
      <cdr:y>0.13249</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2471738" y="735409"/>
          <a:ext cx="744141" cy="98029"/>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69225" cy="629535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195949</xdr:colOff>
      <xdr:row>56</xdr:row>
      <xdr:rowOff>125185</xdr:rowOff>
    </xdr:from>
    <xdr:to>
      <xdr:col>19</xdr:col>
      <xdr:colOff>195949</xdr:colOff>
      <xdr:row>71</xdr:row>
      <xdr:rowOff>92528</xdr:rowOff>
    </xdr:to>
    <xdr:graphicFrame macro="">
      <xdr:nvGraphicFramePr>
        <xdr:cNvPr id="3" name="Chart 2">
          <a:extLst>
            <a:ext uri="{FF2B5EF4-FFF2-40B4-BE49-F238E27FC236}">
              <a16:creationId xmlns:a16="http://schemas.microsoft.com/office/drawing/2014/main" id="{31937179-ACAD-476D-8A49-2EDA8BD6B0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195943</xdr:colOff>
      <xdr:row>72</xdr:row>
      <xdr:rowOff>38099</xdr:rowOff>
    </xdr:from>
    <xdr:to>
      <xdr:col>22</xdr:col>
      <xdr:colOff>522514</xdr:colOff>
      <xdr:row>87</xdr:row>
      <xdr:rowOff>5442</xdr:rowOff>
    </xdr:to>
    <xdr:graphicFrame macro="">
      <xdr:nvGraphicFramePr>
        <xdr:cNvPr id="4" name="Chart 3">
          <a:extLst>
            <a:ext uri="{FF2B5EF4-FFF2-40B4-BE49-F238E27FC236}">
              <a16:creationId xmlns:a16="http://schemas.microsoft.com/office/drawing/2014/main" id="{0E53397C-B460-453D-8CF2-5329E2CBF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202128</xdr:colOff>
      <xdr:row>2</xdr:row>
      <xdr:rowOff>63830</xdr:rowOff>
    </xdr:from>
    <xdr:to>
      <xdr:col>20</xdr:col>
      <xdr:colOff>356260</xdr:colOff>
      <xdr:row>30</xdr:row>
      <xdr:rowOff>163285</xdr:rowOff>
    </xdr:to>
    <xdr:graphicFrame macro="">
      <xdr:nvGraphicFramePr>
        <xdr:cNvPr id="2" name="Chart 1">
          <a:extLst>
            <a:ext uri="{FF2B5EF4-FFF2-40B4-BE49-F238E27FC236}">
              <a16:creationId xmlns:a16="http://schemas.microsoft.com/office/drawing/2014/main" id="{EF1791F2-E697-4412-AEEC-59FF3F4AC5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311728</xdr:colOff>
      <xdr:row>42</xdr:row>
      <xdr:rowOff>108858</xdr:rowOff>
    </xdr:from>
    <xdr:to>
      <xdr:col>15</xdr:col>
      <xdr:colOff>638298</xdr:colOff>
      <xdr:row>57</xdr:row>
      <xdr:rowOff>76201</xdr:rowOff>
    </xdr:to>
    <xdr:graphicFrame macro="">
      <xdr:nvGraphicFramePr>
        <xdr:cNvPr id="3" name="Chart 2">
          <a:extLst>
            <a:ext uri="{FF2B5EF4-FFF2-40B4-BE49-F238E27FC236}">
              <a16:creationId xmlns:a16="http://schemas.microsoft.com/office/drawing/2014/main" id="{A00BE391-E0A8-4439-A858-B3436E1C8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438150</xdr:colOff>
      <xdr:row>7</xdr:row>
      <xdr:rowOff>16328</xdr:rowOff>
    </xdr:from>
    <xdr:to>
      <xdr:col>20</xdr:col>
      <xdr:colOff>111579</xdr:colOff>
      <xdr:row>21</xdr:row>
      <xdr:rowOff>168728</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7D5EAEA6-B53C-42E8-BFD9-5F33C23DD89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316436" y="1311728"/>
              <a:ext cx="6858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9</xdr:col>
      <xdr:colOff>421820</xdr:colOff>
      <xdr:row>22</xdr:row>
      <xdr:rowOff>125186</xdr:rowOff>
    </xdr:from>
    <xdr:to>
      <xdr:col>20</xdr:col>
      <xdr:colOff>95249</xdr:colOff>
      <xdr:row>37</xdr:row>
      <xdr:rowOff>92529</xdr:rowOff>
    </xdr:to>
    <xdr:graphicFrame macro="">
      <xdr:nvGraphicFramePr>
        <xdr:cNvPr id="3" name="Chart 2">
          <a:extLst>
            <a:ext uri="{FF2B5EF4-FFF2-40B4-BE49-F238E27FC236}">
              <a16:creationId xmlns:a16="http://schemas.microsoft.com/office/drawing/2014/main" id="{284DAC3A-BABC-4903-A889-5CA756886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378278</xdr:colOff>
      <xdr:row>46</xdr:row>
      <xdr:rowOff>103413</xdr:rowOff>
    </xdr:from>
    <xdr:to>
      <xdr:col>19</xdr:col>
      <xdr:colOff>51707</xdr:colOff>
      <xdr:row>61</xdr:row>
      <xdr:rowOff>70756</xdr:rowOff>
    </xdr:to>
    <xdr:graphicFrame macro="">
      <xdr:nvGraphicFramePr>
        <xdr:cNvPr id="4" name="Chart 3">
          <a:extLst>
            <a:ext uri="{FF2B5EF4-FFF2-40B4-BE49-F238E27FC236}">
              <a16:creationId xmlns:a16="http://schemas.microsoft.com/office/drawing/2014/main" id="{1B5A51E5-5A01-4062-AC73-3BE47CDD5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168730</xdr:colOff>
      <xdr:row>38</xdr:row>
      <xdr:rowOff>163285</xdr:rowOff>
    </xdr:from>
    <xdr:to>
      <xdr:col>29</xdr:col>
      <xdr:colOff>495301</xdr:colOff>
      <xdr:row>53</xdr:row>
      <xdr:rowOff>130627</xdr:rowOff>
    </xdr:to>
    <xdr:graphicFrame macro="">
      <xdr:nvGraphicFramePr>
        <xdr:cNvPr id="5" name="Chart 4">
          <a:extLst>
            <a:ext uri="{FF2B5EF4-FFF2-40B4-BE49-F238E27FC236}">
              <a16:creationId xmlns:a16="http://schemas.microsoft.com/office/drawing/2014/main" id="{96C5137C-6576-4DCC-9394-ED0DF4E5F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530678</xdr:colOff>
      <xdr:row>30</xdr:row>
      <xdr:rowOff>163287</xdr:rowOff>
    </xdr:from>
    <xdr:to>
      <xdr:col>10</xdr:col>
      <xdr:colOff>617764</xdr:colOff>
      <xdr:row>45</xdr:row>
      <xdr:rowOff>130630</xdr:rowOff>
    </xdr:to>
    <xdr:graphicFrame macro="">
      <xdr:nvGraphicFramePr>
        <xdr:cNvPr id="2" name="Chart 1">
          <a:extLst>
            <a:ext uri="{FF2B5EF4-FFF2-40B4-BE49-F238E27FC236}">
              <a16:creationId xmlns:a16="http://schemas.microsoft.com/office/drawing/2014/main" id="{1A633850-0522-434A-8861-C39710756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269421</xdr:colOff>
      <xdr:row>30</xdr:row>
      <xdr:rowOff>179613</xdr:rowOff>
    </xdr:from>
    <xdr:to>
      <xdr:col>21</xdr:col>
      <xdr:colOff>432707</xdr:colOff>
      <xdr:row>45</xdr:row>
      <xdr:rowOff>146956</xdr:rowOff>
    </xdr:to>
    <xdr:graphicFrame macro="">
      <xdr:nvGraphicFramePr>
        <xdr:cNvPr id="3" name="Chart 2">
          <a:extLst>
            <a:ext uri="{FF2B5EF4-FFF2-40B4-BE49-F238E27FC236}">
              <a16:creationId xmlns:a16="http://schemas.microsoft.com/office/drawing/2014/main" id="{2225D237-6261-4AEE-B5E4-0B41C602D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470806</xdr:colOff>
      <xdr:row>30</xdr:row>
      <xdr:rowOff>157843</xdr:rowOff>
    </xdr:from>
    <xdr:to>
      <xdr:col>36</xdr:col>
      <xdr:colOff>138791</xdr:colOff>
      <xdr:row>45</xdr:row>
      <xdr:rowOff>125186</xdr:rowOff>
    </xdr:to>
    <xdr:graphicFrame macro="">
      <xdr:nvGraphicFramePr>
        <xdr:cNvPr id="4" name="Chart 3">
          <a:extLst>
            <a:ext uri="{FF2B5EF4-FFF2-40B4-BE49-F238E27FC236}">
              <a16:creationId xmlns:a16="http://schemas.microsoft.com/office/drawing/2014/main" id="{A3E0BD09-200C-4C9A-9498-0A2304215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465364</xdr:colOff>
      <xdr:row>46</xdr:row>
      <xdr:rowOff>76199</xdr:rowOff>
    </xdr:from>
    <xdr:to>
      <xdr:col>36</xdr:col>
      <xdr:colOff>133349</xdr:colOff>
      <xdr:row>61</xdr:row>
      <xdr:rowOff>43542</xdr:rowOff>
    </xdr:to>
    <xdr:graphicFrame macro="">
      <xdr:nvGraphicFramePr>
        <xdr:cNvPr id="5" name="Chart 4">
          <a:extLst>
            <a:ext uri="{FF2B5EF4-FFF2-40B4-BE49-F238E27FC236}">
              <a16:creationId xmlns:a16="http://schemas.microsoft.com/office/drawing/2014/main" id="{BC866FBE-7390-494F-8CA9-E0450D31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1359</xdr:colOff>
      <xdr:row>62</xdr:row>
      <xdr:rowOff>76199</xdr:rowOff>
    </xdr:from>
    <xdr:to>
      <xdr:col>28</xdr:col>
      <xdr:colOff>582384</xdr:colOff>
      <xdr:row>76</xdr:row>
      <xdr:rowOff>152399</xdr:rowOff>
    </xdr:to>
    <xdr:graphicFrame macro="">
      <xdr:nvGraphicFramePr>
        <xdr:cNvPr id="6" name="Chart 5">
          <a:extLst>
            <a:ext uri="{FF2B5EF4-FFF2-40B4-BE49-F238E27FC236}">
              <a16:creationId xmlns:a16="http://schemas.microsoft.com/office/drawing/2014/main" id="{8F814D42-CCD3-46DA-B8E5-B346AB7C7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503463</xdr:colOff>
      <xdr:row>91</xdr:row>
      <xdr:rowOff>38099</xdr:rowOff>
    </xdr:from>
    <xdr:to>
      <xdr:col>33</xdr:col>
      <xdr:colOff>89806</xdr:colOff>
      <xdr:row>106</xdr:row>
      <xdr:rowOff>5442</xdr:rowOff>
    </xdr:to>
    <xdr:graphicFrame macro="">
      <xdr:nvGraphicFramePr>
        <xdr:cNvPr id="7" name="Chart 6">
          <a:extLst>
            <a:ext uri="{FF2B5EF4-FFF2-40B4-BE49-F238E27FC236}">
              <a16:creationId xmlns:a16="http://schemas.microsoft.com/office/drawing/2014/main" id="{C951F7F8-FA40-4288-AF06-FAC222A10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484414</xdr:colOff>
      <xdr:row>107</xdr:row>
      <xdr:rowOff>103414</xdr:rowOff>
    </xdr:from>
    <xdr:to>
      <xdr:col>33</xdr:col>
      <xdr:colOff>70757</xdr:colOff>
      <xdr:row>122</xdr:row>
      <xdr:rowOff>70757</xdr:rowOff>
    </xdr:to>
    <xdr:graphicFrame macro="">
      <xdr:nvGraphicFramePr>
        <xdr:cNvPr id="8" name="Chart 7">
          <a:extLst>
            <a:ext uri="{FF2B5EF4-FFF2-40B4-BE49-F238E27FC236}">
              <a16:creationId xmlns:a16="http://schemas.microsoft.com/office/drawing/2014/main" id="{11D18A35-D085-47C4-8FD8-DAE7E27C7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34</xdr:col>
      <xdr:colOff>0</xdr:colOff>
      <xdr:row>91</xdr:row>
      <xdr:rowOff>0</xdr:rowOff>
    </xdr:from>
    <xdr:to>
      <xdr:col>44</xdr:col>
      <xdr:colOff>326572</xdr:colOff>
      <xdr:row>105</xdr:row>
      <xdr:rowOff>152400</xdr:rowOff>
    </xdr:to>
    <xdr:graphicFrame macro="">
      <xdr:nvGraphicFramePr>
        <xdr:cNvPr id="9" name="Chart 8">
          <a:extLst>
            <a:ext uri="{FF2B5EF4-FFF2-40B4-BE49-F238E27FC236}">
              <a16:creationId xmlns:a16="http://schemas.microsoft.com/office/drawing/2014/main" id="{03035170-3ED0-44D7-9D28-57C3C6DF2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0</xdr:colOff>
      <xdr:row>108</xdr:row>
      <xdr:rowOff>0</xdr:rowOff>
    </xdr:from>
    <xdr:to>
      <xdr:col>44</xdr:col>
      <xdr:colOff>326572</xdr:colOff>
      <xdr:row>122</xdr:row>
      <xdr:rowOff>152400</xdr:rowOff>
    </xdr:to>
    <xdr:graphicFrame macro="">
      <xdr:nvGraphicFramePr>
        <xdr:cNvPr id="10" name="Chart 9">
          <a:extLst>
            <a:ext uri="{FF2B5EF4-FFF2-40B4-BE49-F238E27FC236}">
              <a16:creationId xmlns:a16="http://schemas.microsoft.com/office/drawing/2014/main" id="{CA6DDFE8-9B67-439C-B65B-A46CD5FD1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0.70503</cdr:x>
      <cdr:y>0.26852</cdr:y>
    </cdr:from>
    <cdr:to>
      <cdr:x>0.97884</cdr:x>
      <cdr:y>0.8836</cdr:y>
    </cdr:to>
    <cdr:sp macro="" textlink="">
      <cdr:nvSpPr>
        <cdr:cNvPr id="2" name="Rectangle 1">
          <a:extLst xmlns:a="http://schemas.openxmlformats.org/drawingml/2006/main">
            <a:ext uri="{FF2B5EF4-FFF2-40B4-BE49-F238E27FC236}">
              <a16:creationId xmlns:a16="http://schemas.microsoft.com/office/drawing/2014/main" id="{F0333794-69D0-4C22-B51E-10BD450DD600}"/>
            </a:ext>
          </a:extLst>
        </cdr:cNvPr>
        <cdr:cNvSpPr/>
      </cdr:nvSpPr>
      <cdr:spPr>
        <a:xfrm xmlns:a="http://schemas.openxmlformats.org/drawingml/2006/main">
          <a:off x="4835071" y="736600"/>
          <a:ext cx="1877785" cy="1687286"/>
        </a:xfrm>
        <a:prstGeom xmlns:a="http://schemas.openxmlformats.org/drawingml/2006/main" prst="rect">
          <a:avLst/>
        </a:prstGeom>
        <a:solidFill xmlns:a="http://schemas.openxmlformats.org/drawingml/2006/main">
          <a:srgbClr val="0049AA">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solidFill>
                <a:sysClr val="windowText" lastClr="000000"/>
              </a:solidFill>
              <a:latin typeface="Arial Narrow" panose="020B0606020202030204" pitchFamily="34" charset="0"/>
            </a:rPr>
            <a:t>Projections</a:t>
          </a:r>
        </a:p>
      </cdr:txBody>
    </cdr:sp>
  </cdr:relSizeAnchor>
</c:userShapes>
</file>

<file path=xl/drawings/drawing7.xml><?xml version="1.0" encoding="utf-8"?>
<c:userShapes xmlns:c="http://schemas.openxmlformats.org/drawingml/2006/chart">
  <cdr:relSizeAnchor xmlns:cdr="http://schemas.openxmlformats.org/drawingml/2006/chartDrawing">
    <cdr:from>
      <cdr:x>0.70238</cdr:x>
      <cdr:y>0.27183</cdr:y>
    </cdr:from>
    <cdr:to>
      <cdr:x>0.97619</cdr:x>
      <cdr:y>0.88691</cdr:y>
    </cdr:to>
    <cdr:sp macro="" textlink="">
      <cdr:nvSpPr>
        <cdr:cNvPr id="2" name="Rectangle 1">
          <a:extLst xmlns:a="http://schemas.openxmlformats.org/drawingml/2006/main">
            <a:ext uri="{FF2B5EF4-FFF2-40B4-BE49-F238E27FC236}">
              <a16:creationId xmlns:a16="http://schemas.microsoft.com/office/drawing/2014/main" id="{7A17F0B4-1ACF-4A14-B008-770DE3B8F57E}"/>
            </a:ext>
          </a:extLst>
        </cdr:cNvPr>
        <cdr:cNvSpPr/>
      </cdr:nvSpPr>
      <cdr:spPr>
        <a:xfrm xmlns:a="http://schemas.openxmlformats.org/drawingml/2006/main">
          <a:off x="4816929" y="745672"/>
          <a:ext cx="1877785" cy="1687286"/>
        </a:xfrm>
        <a:prstGeom xmlns:a="http://schemas.openxmlformats.org/drawingml/2006/main" prst="rect">
          <a:avLst/>
        </a:prstGeom>
        <a:solidFill xmlns:a="http://schemas.openxmlformats.org/drawingml/2006/main">
          <a:srgbClr val="0049AA">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a:solidFill>
                <a:sysClr val="windowText" lastClr="000000"/>
              </a:solidFill>
              <a:latin typeface="Arial Narrow" panose="020B0606020202030204" pitchFamily="34" charset="0"/>
            </a:rPr>
            <a:t>Projections</a:t>
          </a:r>
        </a:p>
      </cdr:txBody>
    </cdr:sp>
  </cdr:relSizeAnchor>
</c:userShapes>
</file>

<file path=xl/drawings/drawing8.xml><?xml version="1.0" encoding="utf-8"?>
<c:userShapes xmlns:c="http://schemas.openxmlformats.org/drawingml/2006/chart">
  <cdr:relSizeAnchor xmlns:cdr="http://schemas.openxmlformats.org/drawingml/2006/chartDrawing">
    <cdr:from>
      <cdr:x>0.70503</cdr:x>
      <cdr:y>0.26852</cdr:y>
    </cdr:from>
    <cdr:to>
      <cdr:x>0.97884</cdr:x>
      <cdr:y>0.8836</cdr:y>
    </cdr:to>
    <cdr:sp macro="" textlink="">
      <cdr:nvSpPr>
        <cdr:cNvPr id="2" name="Rectangle 1">
          <a:extLst xmlns:a="http://schemas.openxmlformats.org/drawingml/2006/main">
            <a:ext uri="{FF2B5EF4-FFF2-40B4-BE49-F238E27FC236}">
              <a16:creationId xmlns:a16="http://schemas.microsoft.com/office/drawing/2014/main" id="{F0333794-69D0-4C22-B51E-10BD450DD600}"/>
            </a:ext>
          </a:extLst>
        </cdr:cNvPr>
        <cdr:cNvSpPr/>
      </cdr:nvSpPr>
      <cdr:spPr>
        <a:xfrm xmlns:a="http://schemas.openxmlformats.org/drawingml/2006/main">
          <a:off x="4835071" y="736600"/>
          <a:ext cx="1877785" cy="1687286"/>
        </a:xfrm>
        <a:prstGeom xmlns:a="http://schemas.openxmlformats.org/drawingml/2006/main" prst="rect">
          <a:avLst/>
        </a:prstGeom>
        <a:solidFill xmlns:a="http://schemas.openxmlformats.org/drawingml/2006/main">
          <a:srgbClr val="0049AA">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solidFill>
                <a:sysClr val="windowText" lastClr="000000"/>
              </a:solidFill>
              <a:latin typeface="Arial Narrow" panose="020B0606020202030204" pitchFamily="34" charset="0"/>
            </a:rPr>
            <a:t>Projections</a:t>
          </a:r>
        </a:p>
      </cdr:txBody>
    </cdr:sp>
  </cdr:relSizeAnchor>
</c:userShapes>
</file>

<file path=xl/drawings/drawing9.xml><?xml version="1.0" encoding="utf-8"?>
<c:userShapes xmlns:c="http://schemas.openxmlformats.org/drawingml/2006/chart">
  <cdr:relSizeAnchor xmlns:cdr="http://schemas.openxmlformats.org/drawingml/2006/chartDrawing">
    <cdr:from>
      <cdr:x>0.70238</cdr:x>
      <cdr:y>0.27183</cdr:y>
    </cdr:from>
    <cdr:to>
      <cdr:x>0.97619</cdr:x>
      <cdr:y>0.88691</cdr:y>
    </cdr:to>
    <cdr:sp macro="" textlink="">
      <cdr:nvSpPr>
        <cdr:cNvPr id="2" name="Rectangle 1">
          <a:extLst xmlns:a="http://schemas.openxmlformats.org/drawingml/2006/main">
            <a:ext uri="{FF2B5EF4-FFF2-40B4-BE49-F238E27FC236}">
              <a16:creationId xmlns:a16="http://schemas.microsoft.com/office/drawing/2014/main" id="{7A17F0B4-1ACF-4A14-B008-770DE3B8F57E}"/>
            </a:ext>
          </a:extLst>
        </cdr:cNvPr>
        <cdr:cNvSpPr/>
      </cdr:nvSpPr>
      <cdr:spPr>
        <a:xfrm xmlns:a="http://schemas.openxmlformats.org/drawingml/2006/main">
          <a:off x="4816929" y="745672"/>
          <a:ext cx="1877785" cy="1687286"/>
        </a:xfrm>
        <a:prstGeom xmlns:a="http://schemas.openxmlformats.org/drawingml/2006/main" prst="rect">
          <a:avLst/>
        </a:prstGeom>
        <a:solidFill xmlns:a="http://schemas.openxmlformats.org/drawingml/2006/main">
          <a:srgbClr val="0049AA">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a:solidFill>
                <a:sysClr val="windowText" lastClr="000000"/>
              </a:solidFill>
              <a:latin typeface="Arial Narrow" panose="020B0606020202030204" pitchFamily="34" charset="0"/>
            </a:rPr>
            <a:t>Projections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OI%20Valuation%20Model%20-%20Caterpillar%20(CA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Revenue Stats"/>
      <sheetName val="Leverage Calculations"/>
      <sheetName val="Revenue Chart"/>
      <sheetName val="Profit Chart"/>
      <sheetName val="ECF to OCP Chart"/>
      <sheetName val="ECF Chart"/>
      <sheetName val="ECF Breakdown Chart"/>
      <sheetName val="Data"/>
      <sheetName val="Cone Calculations"/>
      <sheetName val="FCFO Chart"/>
      <sheetName val="Investment Efficacy Chart"/>
      <sheetName val="BSM Cone Chart"/>
      <sheetName val="Histogram Data"/>
      <sheetName val="Histogram"/>
      <sheetName val="Tear Sheet"/>
      <sheetName val="Sheet1"/>
      <sheetName val="Chartbook"/>
    </sheetNames>
    <sheetDataSet>
      <sheetData sheetId="0">
        <row r="2">
          <cell r="B2" t="str">
            <v>CAT</v>
          </cell>
        </row>
        <row r="5">
          <cell r="F5">
            <v>0.23672500000000002</v>
          </cell>
          <cell r="G5">
            <v>0.24024499999999999</v>
          </cell>
        </row>
        <row r="6">
          <cell r="G6">
            <v>94.5</v>
          </cell>
        </row>
        <row r="8">
          <cell r="B8">
            <v>-7.6999999999999985E-3</v>
          </cell>
        </row>
        <row r="17">
          <cell r="C17">
            <v>0</v>
          </cell>
        </row>
        <row r="20">
          <cell r="K20">
            <v>102</v>
          </cell>
        </row>
        <row r="21">
          <cell r="K21">
            <v>63</v>
          </cell>
          <cell r="P21">
            <v>113.02420953030091</v>
          </cell>
        </row>
        <row r="22">
          <cell r="K22">
            <v>82.5</v>
          </cell>
          <cell r="P22">
            <v>61.749354065651893</v>
          </cell>
        </row>
        <row r="100">
          <cell r="Q100">
            <v>46.173668801401327</v>
          </cell>
        </row>
        <row r="111">
          <cell r="Q111">
            <v>63.681028435383382</v>
          </cell>
        </row>
        <row r="122">
          <cell r="Q122">
            <v>63.920531084878256</v>
          </cell>
        </row>
        <row r="133">
          <cell r="Q133">
            <v>88.931044847709799</v>
          </cell>
        </row>
        <row r="144">
          <cell r="Q144">
            <v>73.132375651185782</v>
          </cell>
        </row>
        <row r="155">
          <cell r="Q155">
            <v>103.40430035220456</v>
          </cell>
        </row>
        <row r="168">
          <cell r="Q168">
            <v>102.28981370213623</v>
          </cell>
        </row>
        <row r="179">
          <cell r="Q179">
            <v>145.53542041787733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K2">
            <v>59.9</v>
          </cell>
          <cell r="Q2">
            <v>0.98629999999999995</v>
          </cell>
        </row>
        <row r="3">
          <cell r="K3">
            <v>59.37</v>
          </cell>
          <cell r="Q3">
            <v>0.97760000000000002</v>
          </cell>
        </row>
        <row r="4">
          <cell r="K4">
            <v>58.17</v>
          </cell>
          <cell r="Q4">
            <v>0.95779999999999998</v>
          </cell>
        </row>
        <row r="5">
          <cell r="K5">
            <v>59.56</v>
          </cell>
          <cell r="Q5">
            <v>0.98070000000000002</v>
          </cell>
        </row>
        <row r="6">
          <cell r="K6">
            <v>59.73</v>
          </cell>
          <cell r="Q6">
            <v>0.98350000000000004</v>
          </cell>
        </row>
        <row r="7">
          <cell r="K7">
            <v>59.63</v>
          </cell>
          <cell r="Q7">
            <v>0.9819</v>
          </cell>
        </row>
        <row r="8">
          <cell r="K8">
            <v>61.09</v>
          </cell>
          <cell r="Q8">
            <v>1.0059</v>
          </cell>
        </row>
        <row r="9">
          <cell r="K9">
            <v>61.7</v>
          </cell>
          <cell r="Q9">
            <v>1.016</v>
          </cell>
        </row>
        <row r="10">
          <cell r="K10">
            <v>62.88</v>
          </cell>
          <cell r="Q10">
            <v>1.0354000000000001</v>
          </cell>
        </row>
        <row r="11">
          <cell r="K11">
            <v>64.069999999999993</v>
          </cell>
          <cell r="Q11">
            <v>1.0549999999999999</v>
          </cell>
        </row>
        <row r="12">
          <cell r="K12">
            <v>64.989999999999995</v>
          </cell>
          <cell r="Q12">
            <v>1.0701000000000001</v>
          </cell>
        </row>
        <row r="13">
          <cell r="K13">
            <v>65.25</v>
          </cell>
          <cell r="Q13">
            <v>1.0744</v>
          </cell>
        </row>
        <row r="14">
          <cell r="K14">
            <v>64.489999999999995</v>
          </cell>
          <cell r="Q14">
            <v>1.0619000000000001</v>
          </cell>
        </row>
        <row r="15">
          <cell r="K15">
            <v>64.42</v>
          </cell>
          <cell r="Q15">
            <v>1.0607</v>
          </cell>
        </row>
        <row r="16">
          <cell r="K16">
            <v>65.64</v>
          </cell>
          <cell r="Q16">
            <v>1.0808</v>
          </cell>
        </row>
        <row r="17">
          <cell r="K17">
            <v>65.63</v>
          </cell>
          <cell r="Q17">
            <v>1.0807</v>
          </cell>
        </row>
        <row r="18">
          <cell r="K18">
            <v>64.8</v>
          </cell>
          <cell r="Q18">
            <v>1.0669999999999999</v>
          </cell>
        </row>
        <row r="19">
          <cell r="K19">
            <v>64.599999999999994</v>
          </cell>
          <cell r="Q19">
            <v>1.0637000000000001</v>
          </cell>
        </row>
        <row r="20">
          <cell r="K20">
            <v>64.73</v>
          </cell>
          <cell r="Q20">
            <v>1.0659000000000001</v>
          </cell>
        </row>
        <row r="21">
          <cell r="K21">
            <v>66.16</v>
          </cell>
          <cell r="Q21">
            <v>1.0893999999999999</v>
          </cell>
        </row>
        <row r="22">
          <cell r="K22">
            <v>67.62</v>
          </cell>
          <cell r="Q22">
            <v>1.1133999999999999</v>
          </cell>
        </row>
        <row r="23">
          <cell r="K23">
            <v>67.67</v>
          </cell>
          <cell r="Q23">
            <v>1.1143000000000001</v>
          </cell>
        </row>
        <row r="24">
          <cell r="K24">
            <v>67.930000000000007</v>
          </cell>
          <cell r="Q24">
            <v>1.1185</v>
          </cell>
        </row>
        <row r="25">
          <cell r="K25">
            <v>68.209999999999994</v>
          </cell>
          <cell r="Q25">
            <v>1.1232</v>
          </cell>
        </row>
        <row r="26">
          <cell r="K26">
            <v>67.78</v>
          </cell>
          <cell r="Q26">
            <v>1.1161000000000001</v>
          </cell>
        </row>
        <row r="27">
          <cell r="K27">
            <v>67.260000000000005</v>
          </cell>
          <cell r="Q27">
            <v>1.1074999999999999</v>
          </cell>
        </row>
        <row r="28">
          <cell r="K28">
            <v>67.260000000000005</v>
          </cell>
          <cell r="Q28">
            <v>1.1074999999999999</v>
          </cell>
        </row>
        <row r="29">
          <cell r="K29">
            <v>64.83</v>
          </cell>
          <cell r="Q29">
            <v>1.0674999999999999</v>
          </cell>
        </row>
        <row r="30">
          <cell r="K30">
            <v>64.430000000000007</v>
          </cell>
          <cell r="Q30">
            <v>1.0609</v>
          </cell>
        </row>
        <row r="31">
          <cell r="K31">
            <v>63.9</v>
          </cell>
          <cell r="Q31">
            <v>1.0522</v>
          </cell>
        </row>
        <row r="32">
          <cell r="K32">
            <v>63.04</v>
          </cell>
          <cell r="Q32">
            <v>1.038</v>
          </cell>
        </row>
        <row r="33">
          <cell r="K33">
            <v>63.17</v>
          </cell>
          <cell r="Q33">
            <v>1.0402</v>
          </cell>
        </row>
        <row r="34">
          <cell r="K34">
            <v>63.62</v>
          </cell>
          <cell r="Q34">
            <v>1.0476000000000001</v>
          </cell>
        </row>
        <row r="35">
          <cell r="K35">
            <v>64.23</v>
          </cell>
          <cell r="Q35">
            <v>1.0576000000000001</v>
          </cell>
        </row>
        <row r="36">
          <cell r="K36">
            <v>64.3</v>
          </cell>
          <cell r="Q36">
            <v>1.0588</v>
          </cell>
        </row>
        <row r="37">
          <cell r="K37">
            <v>64.400000000000006</v>
          </cell>
          <cell r="Q37">
            <v>1.0604</v>
          </cell>
        </row>
        <row r="38">
          <cell r="K38">
            <v>64.569999999999993</v>
          </cell>
          <cell r="Q38">
            <v>1.0631999999999999</v>
          </cell>
        </row>
        <row r="39">
          <cell r="K39">
            <v>63.34</v>
          </cell>
          <cell r="Q39">
            <v>1.0429999999999999</v>
          </cell>
        </row>
        <row r="40">
          <cell r="K40">
            <v>63.64</v>
          </cell>
          <cell r="Q40">
            <v>1.0479000000000001</v>
          </cell>
        </row>
        <row r="41">
          <cell r="K41">
            <v>63.46</v>
          </cell>
          <cell r="Q41">
            <v>1.0448999999999999</v>
          </cell>
        </row>
        <row r="42">
          <cell r="K42">
            <v>63.16</v>
          </cell>
          <cell r="Q42">
            <v>1.04</v>
          </cell>
        </row>
        <row r="43">
          <cell r="K43">
            <v>64.17</v>
          </cell>
          <cell r="Q43">
            <v>1.0566</v>
          </cell>
        </row>
        <row r="44">
          <cell r="K44">
            <v>64.86</v>
          </cell>
          <cell r="Q44">
            <v>1.0680000000000001</v>
          </cell>
        </row>
        <row r="45">
          <cell r="K45">
            <v>66.209999999999994</v>
          </cell>
          <cell r="Q45">
            <v>1.0902000000000001</v>
          </cell>
        </row>
        <row r="46">
          <cell r="K46">
            <v>66.540000000000006</v>
          </cell>
          <cell r="Q46">
            <v>1.0956999999999999</v>
          </cell>
        </row>
        <row r="47">
          <cell r="K47">
            <v>66.88</v>
          </cell>
          <cell r="Q47">
            <v>1.1012999999999999</v>
          </cell>
        </row>
        <row r="48">
          <cell r="K48">
            <v>66.84</v>
          </cell>
          <cell r="Q48">
            <v>1.1006</v>
          </cell>
        </row>
        <row r="49">
          <cell r="K49">
            <v>66.88</v>
          </cell>
          <cell r="Q49">
            <v>1.1012999999999999</v>
          </cell>
        </row>
        <row r="50">
          <cell r="K50">
            <v>66.239999999999995</v>
          </cell>
          <cell r="Q50">
            <v>1.0907</v>
          </cell>
        </row>
        <row r="51">
          <cell r="K51">
            <v>66.19</v>
          </cell>
          <cell r="Q51">
            <v>1.0899000000000001</v>
          </cell>
        </row>
        <row r="52">
          <cell r="K52">
            <v>67.03</v>
          </cell>
          <cell r="Q52">
            <v>1.1036999999999999</v>
          </cell>
        </row>
        <row r="53">
          <cell r="K53">
            <v>67.03</v>
          </cell>
          <cell r="Q53">
            <v>1.0739000000000001</v>
          </cell>
        </row>
        <row r="54">
          <cell r="K54">
            <v>67.239999999999995</v>
          </cell>
          <cell r="Q54">
            <v>1.0772999999999999</v>
          </cell>
        </row>
        <row r="55">
          <cell r="K55">
            <v>67.48</v>
          </cell>
          <cell r="Q55">
            <v>1.0810999999999999</v>
          </cell>
        </row>
        <row r="56">
          <cell r="K56">
            <v>67.63</v>
          </cell>
          <cell r="Q56">
            <v>1.0834999999999999</v>
          </cell>
        </row>
        <row r="57">
          <cell r="K57">
            <v>67.34</v>
          </cell>
          <cell r="Q57">
            <v>1.0789</v>
          </cell>
        </row>
        <row r="58">
          <cell r="K58">
            <v>66.95</v>
          </cell>
          <cell r="Q58">
            <v>1.0726</v>
          </cell>
        </row>
        <row r="59">
          <cell r="K59">
            <v>66.349999999999994</v>
          </cell>
          <cell r="Q59">
            <v>1.0629999999999999</v>
          </cell>
        </row>
        <row r="60">
          <cell r="K60">
            <v>66.64</v>
          </cell>
          <cell r="Q60">
            <v>1.0677000000000001</v>
          </cell>
        </row>
        <row r="61">
          <cell r="K61">
            <v>66.790000000000006</v>
          </cell>
          <cell r="Q61">
            <v>1.0701000000000001</v>
          </cell>
        </row>
        <row r="62">
          <cell r="K62">
            <v>66.900000000000006</v>
          </cell>
          <cell r="Q62">
            <v>1.0718000000000001</v>
          </cell>
        </row>
        <row r="63">
          <cell r="K63">
            <v>67.66</v>
          </cell>
          <cell r="Q63">
            <v>1.0840000000000001</v>
          </cell>
        </row>
        <row r="64">
          <cell r="K64">
            <v>69.37</v>
          </cell>
          <cell r="Q64">
            <v>1.1113999999999999</v>
          </cell>
        </row>
        <row r="65">
          <cell r="K65">
            <v>68.62</v>
          </cell>
          <cell r="Q65">
            <v>1.0993999999999999</v>
          </cell>
        </row>
        <row r="66">
          <cell r="K66">
            <v>71.819999999999993</v>
          </cell>
          <cell r="Q66">
            <v>1.1506000000000001</v>
          </cell>
        </row>
        <row r="67">
          <cell r="K67">
            <v>71.849999999999994</v>
          </cell>
          <cell r="Q67">
            <v>1.1511</v>
          </cell>
        </row>
        <row r="68">
          <cell r="K68">
            <v>72.81</v>
          </cell>
          <cell r="Q68">
            <v>1.1665000000000001</v>
          </cell>
        </row>
        <row r="69">
          <cell r="K69">
            <v>73.23</v>
          </cell>
          <cell r="Q69">
            <v>1.1732</v>
          </cell>
        </row>
        <row r="70">
          <cell r="K70">
            <v>73</v>
          </cell>
          <cell r="Q70">
            <v>1.1695</v>
          </cell>
        </row>
        <row r="71">
          <cell r="K71">
            <v>73.760000000000005</v>
          </cell>
          <cell r="Q71">
            <v>1.1817</v>
          </cell>
        </row>
        <row r="72">
          <cell r="K72">
            <v>72.62</v>
          </cell>
          <cell r="Q72">
            <v>1.1635</v>
          </cell>
        </row>
        <row r="73">
          <cell r="K73">
            <v>73.239999999999995</v>
          </cell>
          <cell r="Q73">
            <v>1.1734</v>
          </cell>
        </row>
        <row r="74">
          <cell r="K74">
            <v>73.400000000000006</v>
          </cell>
          <cell r="Q74">
            <v>1.1759999999999999</v>
          </cell>
        </row>
        <row r="75">
          <cell r="K75">
            <v>73.36</v>
          </cell>
          <cell r="Q75">
            <v>1.1753</v>
          </cell>
        </row>
        <row r="76">
          <cell r="K76">
            <v>73.099999999999994</v>
          </cell>
          <cell r="Q76">
            <v>1.1712</v>
          </cell>
        </row>
        <row r="77">
          <cell r="K77">
            <v>72.67</v>
          </cell>
          <cell r="Q77">
            <v>1.1642999999999999</v>
          </cell>
        </row>
        <row r="78">
          <cell r="K78">
            <v>73.430000000000007</v>
          </cell>
          <cell r="Q78">
            <v>1.1763999999999999</v>
          </cell>
        </row>
        <row r="79">
          <cell r="K79">
            <v>74.75</v>
          </cell>
          <cell r="Q79">
            <v>1.1976</v>
          </cell>
        </row>
        <row r="80">
          <cell r="K80">
            <v>73.81</v>
          </cell>
          <cell r="Q80">
            <v>1.1825000000000001</v>
          </cell>
        </row>
        <row r="81">
          <cell r="K81">
            <v>74.88</v>
          </cell>
          <cell r="Q81">
            <v>1.1997</v>
          </cell>
        </row>
        <row r="82">
          <cell r="K82">
            <v>76.3</v>
          </cell>
          <cell r="Q82">
            <v>1.2223999999999999</v>
          </cell>
        </row>
        <row r="83">
          <cell r="K83">
            <v>76.010000000000005</v>
          </cell>
          <cell r="Q83">
            <v>1.2178</v>
          </cell>
        </row>
        <row r="84">
          <cell r="K84">
            <v>75.95</v>
          </cell>
          <cell r="Q84">
            <v>1.2168000000000001</v>
          </cell>
        </row>
        <row r="85">
          <cell r="K85">
            <v>74.84</v>
          </cell>
          <cell r="Q85">
            <v>1.1990000000000001</v>
          </cell>
        </row>
        <row r="86">
          <cell r="K86">
            <v>74.77</v>
          </cell>
          <cell r="Q86">
            <v>1.1979</v>
          </cell>
        </row>
        <row r="87">
          <cell r="K87">
            <v>74.849999999999994</v>
          </cell>
          <cell r="Q87">
            <v>1.1992</v>
          </cell>
        </row>
        <row r="88">
          <cell r="K88">
            <v>75.510000000000005</v>
          </cell>
          <cell r="Q88">
            <v>1.2098</v>
          </cell>
        </row>
        <row r="89">
          <cell r="K89">
            <v>76.03</v>
          </cell>
          <cell r="Q89">
            <v>1.2181</v>
          </cell>
        </row>
        <row r="90">
          <cell r="K90">
            <v>75.430000000000007</v>
          </cell>
          <cell r="Q90">
            <v>1.2084999999999999</v>
          </cell>
        </row>
        <row r="91">
          <cell r="K91">
            <v>75.709999999999994</v>
          </cell>
          <cell r="Q91">
            <v>1.2130000000000001</v>
          </cell>
        </row>
        <row r="92">
          <cell r="K92">
            <v>75.75</v>
          </cell>
          <cell r="Q92">
            <v>1.2136</v>
          </cell>
        </row>
        <row r="93">
          <cell r="K93">
            <v>78.48</v>
          </cell>
          <cell r="Q93">
            <v>1.2573000000000001</v>
          </cell>
        </row>
        <row r="94">
          <cell r="K94">
            <v>78.58</v>
          </cell>
          <cell r="Q94">
            <v>1.2588999999999999</v>
          </cell>
        </row>
        <row r="95">
          <cell r="K95">
            <v>78.14</v>
          </cell>
          <cell r="Q95">
            <v>1.2519</v>
          </cell>
        </row>
        <row r="96">
          <cell r="K96">
            <v>78.290000000000006</v>
          </cell>
          <cell r="Q96">
            <v>1.2543</v>
          </cell>
        </row>
        <row r="97">
          <cell r="K97">
            <v>78.650000000000006</v>
          </cell>
          <cell r="Q97">
            <v>1.2601</v>
          </cell>
        </row>
        <row r="98">
          <cell r="K98">
            <v>78.680000000000007</v>
          </cell>
          <cell r="Q98">
            <v>1.2605</v>
          </cell>
        </row>
        <row r="99">
          <cell r="K99">
            <v>77.31</v>
          </cell>
          <cell r="Q99">
            <v>1.2385999999999999</v>
          </cell>
        </row>
        <row r="100">
          <cell r="K100">
            <v>78.52</v>
          </cell>
          <cell r="Q100">
            <v>1.258</v>
          </cell>
        </row>
        <row r="101">
          <cell r="K101">
            <v>78.75</v>
          </cell>
          <cell r="Q101">
            <v>1.2617</v>
          </cell>
        </row>
        <row r="102">
          <cell r="K102">
            <v>78.08</v>
          </cell>
          <cell r="Q102">
            <v>1.2508999999999999</v>
          </cell>
        </row>
        <row r="103">
          <cell r="K103">
            <v>79.930000000000007</v>
          </cell>
          <cell r="Q103">
            <v>1.2806</v>
          </cell>
        </row>
        <row r="104">
          <cell r="K104">
            <v>80.73</v>
          </cell>
          <cell r="Q104">
            <v>1.2934000000000001</v>
          </cell>
        </row>
        <row r="105">
          <cell r="K105">
            <v>81.11</v>
          </cell>
          <cell r="Q105">
            <v>1.2995000000000001</v>
          </cell>
        </row>
        <row r="106">
          <cell r="K106">
            <v>81.849999999999994</v>
          </cell>
          <cell r="Q106">
            <v>1.3112999999999999</v>
          </cell>
        </row>
        <row r="107">
          <cell r="K107">
            <v>82.49</v>
          </cell>
          <cell r="Q107">
            <v>1.3216000000000001</v>
          </cell>
        </row>
        <row r="108">
          <cell r="K108">
            <v>81.38</v>
          </cell>
          <cell r="Q108">
            <v>1.3038000000000001</v>
          </cell>
        </row>
        <row r="109">
          <cell r="K109">
            <v>81.47</v>
          </cell>
          <cell r="Q109">
            <v>1.3051999999999999</v>
          </cell>
        </row>
        <row r="110">
          <cell r="K110">
            <v>80.900000000000006</v>
          </cell>
          <cell r="Q110">
            <v>1.2961</v>
          </cell>
        </row>
        <row r="111">
          <cell r="K111">
            <v>80.7</v>
          </cell>
          <cell r="Q111">
            <v>1.2928999999999999</v>
          </cell>
        </row>
        <row r="112">
          <cell r="K112">
            <v>80.290000000000006</v>
          </cell>
          <cell r="Q112">
            <v>1.2863</v>
          </cell>
        </row>
        <row r="113">
          <cell r="K113">
            <v>79.510000000000005</v>
          </cell>
          <cell r="Q113">
            <v>1.2738</v>
          </cell>
        </row>
        <row r="114">
          <cell r="K114">
            <v>79.09</v>
          </cell>
          <cell r="Q114">
            <v>1.2670999999999999</v>
          </cell>
        </row>
        <row r="115">
          <cell r="K115">
            <v>78.3</v>
          </cell>
          <cell r="Q115">
            <v>1.2544999999999999</v>
          </cell>
        </row>
        <row r="116">
          <cell r="K116">
            <v>80.45</v>
          </cell>
          <cell r="Q116">
            <v>1.2543</v>
          </cell>
        </row>
        <row r="117">
          <cell r="K117">
            <v>77.989999999999995</v>
          </cell>
          <cell r="Q117">
            <v>1.2159</v>
          </cell>
        </row>
        <row r="118">
          <cell r="K118">
            <v>77.489999999999995</v>
          </cell>
          <cell r="Q118">
            <v>1.2081</v>
          </cell>
        </row>
        <row r="119">
          <cell r="K119">
            <v>78.81</v>
          </cell>
          <cell r="Q119">
            <v>1.2286999999999999</v>
          </cell>
        </row>
        <row r="120">
          <cell r="K120">
            <v>79.83</v>
          </cell>
          <cell r="Q120">
            <v>1.2445999999999999</v>
          </cell>
        </row>
        <row r="121">
          <cell r="K121">
            <v>81.22</v>
          </cell>
          <cell r="Q121">
            <v>1.2663</v>
          </cell>
        </row>
        <row r="122">
          <cell r="K122">
            <v>82.17</v>
          </cell>
          <cell r="Q122">
            <v>1.2810999999999999</v>
          </cell>
        </row>
        <row r="123">
          <cell r="K123">
            <v>84.09</v>
          </cell>
          <cell r="Q123">
            <v>1.3109999999999999</v>
          </cell>
        </row>
        <row r="124">
          <cell r="K124">
            <v>85.13</v>
          </cell>
          <cell r="Q124">
            <v>1.3272999999999999</v>
          </cell>
        </row>
        <row r="125">
          <cell r="K125">
            <v>85.9</v>
          </cell>
          <cell r="Q125">
            <v>1.3392999999999999</v>
          </cell>
        </row>
        <row r="126">
          <cell r="K126">
            <v>86.47</v>
          </cell>
          <cell r="Q126">
            <v>1.3481000000000001</v>
          </cell>
        </row>
        <row r="127">
          <cell r="K127">
            <v>86.23</v>
          </cell>
          <cell r="Q127">
            <v>1.3444</v>
          </cell>
        </row>
        <row r="128">
          <cell r="K128">
            <v>86.98</v>
          </cell>
          <cell r="Q128">
            <v>1.3561000000000001</v>
          </cell>
        </row>
        <row r="129">
          <cell r="K129">
            <v>83.2</v>
          </cell>
          <cell r="Q129">
            <v>1.2971999999999999</v>
          </cell>
        </row>
        <row r="130">
          <cell r="K130">
            <v>82</v>
          </cell>
          <cell r="Q130">
            <v>1.2785</v>
          </cell>
        </row>
        <row r="131">
          <cell r="K131">
            <v>81.66</v>
          </cell>
          <cell r="Q131">
            <v>1.2732000000000001</v>
          </cell>
        </row>
        <row r="132">
          <cell r="K132">
            <v>80.5</v>
          </cell>
          <cell r="Q132">
            <v>1.2551000000000001</v>
          </cell>
        </row>
        <row r="133">
          <cell r="K133">
            <v>78.290000000000006</v>
          </cell>
          <cell r="Q133">
            <v>1.2205999999999999</v>
          </cell>
        </row>
        <row r="134">
          <cell r="K134">
            <v>76.02</v>
          </cell>
          <cell r="Q134">
            <v>1.1852</v>
          </cell>
        </row>
        <row r="135">
          <cell r="K135">
            <v>77.040000000000006</v>
          </cell>
          <cell r="Q135">
            <v>1.2011000000000001</v>
          </cell>
        </row>
        <row r="136">
          <cell r="K136">
            <v>78.8</v>
          </cell>
          <cell r="Q136">
            <v>1.2285999999999999</v>
          </cell>
        </row>
        <row r="137">
          <cell r="K137">
            <v>80.13</v>
          </cell>
          <cell r="Q137">
            <v>1.2493000000000001</v>
          </cell>
        </row>
        <row r="138">
          <cell r="K138">
            <v>80.67</v>
          </cell>
          <cell r="Q138">
            <v>1.2577</v>
          </cell>
        </row>
        <row r="139">
          <cell r="K139">
            <v>78.959999999999994</v>
          </cell>
          <cell r="Q139">
            <v>1.2311000000000001</v>
          </cell>
        </row>
        <row r="140">
          <cell r="K140">
            <v>81</v>
          </cell>
          <cell r="Q140">
            <v>1.2628999999999999</v>
          </cell>
        </row>
        <row r="141">
          <cell r="K141">
            <v>80.44</v>
          </cell>
          <cell r="Q141">
            <v>1.2541</v>
          </cell>
        </row>
        <row r="142">
          <cell r="K142">
            <v>80.900000000000006</v>
          </cell>
          <cell r="Q142">
            <v>1.2613000000000001</v>
          </cell>
        </row>
        <row r="143">
          <cell r="K143">
            <v>78.48</v>
          </cell>
          <cell r="Q143">
            <v>1.2236</v>
          </cell>
        </row>
        <row r="144">
          <cell r="K144">
            <v>77.55</v>
          </cell>
          <cell r="Q144">
            <v>1.2091000000000001</v>
          </cell>
        </row>
        <row r="145">
          <cell r="K145">
            <v>77.900000000000006</v>
          </cell>
          <cell r="Q145">
            <v>1.2144999999999999</v>
          </cell>
        </row>
        <row r="146">
          <cell r="K146">
            <v>76.77</v>
          </cell>
          <cell r="Q146">
            <v>1.1969000000000001</v>
          </cell>
        </row>
        <row r="147">
          <cell r="K147">
            <v>74.95</v>
          </cell>
          <cell r="Q147">
            <v>1.1685000000000001</v>
          </cell>
        </row>
        <row r="148">
          <cell r="K148">
            <v>73</v>
          </cell>
          <cell r="Q148">
            <v>1.1380999999999999</v>
          </cell>
        </row>
        <row r="149">
          <cell r="K149">
            <v>72.64</v>
          </cell>
          <cell r="Q149">
            <v>1.1325000000000001</v>
          </cell>
        </row>
        <row r="150">
          <cell r="K150">
            <v>74.05</v>
          </cell>
          <cell r="Q150">
            <v>1.1545000000000001</v>
          </cell>
        </row>
        <row r="151">
          <cell r="K151">
            <v>74.28</v>
          </cell>
          <cell r="Q151">
            <v>1.1580999999999999</v>
          </cell>
        </row>
        <row r="152">
          <cell r="K152">
            <v>75.3</v>
          </cell>
          <cell r="Q152">
            <v>1.1739999999999999</v>
          </cell>
        </row>
        <row r="153">
          <cell r="K153">
            <v>75.17</v>
          </cell>
          <cell r="Q153">
            <v>1.1719999999999999</v>
          </cell>
        </row>
        <row r="154">
          <cell r="K154">
            <v>76.319999999999993</v>
          </cell>
          <cell r="Q154">
            <v>1.1899</v>
          </cell>
        </row>
        <row r="155">
          <cell r="K155">
            <v>76</v>
          </cell>
          <cell r="Q155">
            <v>1.1849000000000001</v>
          </cell>
        </row>
        <row r="156">
          <cell r="K156">
            <v>74.16</v>
          </cell>
          <cell r="Q156">
            <v>1.1561999999999999</v>
          </cell>
        </row>
        <row r="157">
          <cell r="K157">
            <v>75.040000000000006</v>
          </cell>
          <cell r="Q157">
            <v>1.1698999999999999</v>
          </cell>
        </row>
        <row r="158">
          <cell r="K158">
            <v>74.66</v>
          </cell>
          <cell r="Q158">
            <v>1.1639999999999999</v>
          </cell>
        </row>
        <row r="159">
          <cell r="K159">
            <v>75.77</v>
          </cell>
          <cell r="Q159">
            <v>1.1813</v>
          </cell>
        </row>
        <row r="160">
          <cell r="K160">
            <v>76.849999999999994</v>
          </cell>
          <cell r="Q160">
            <v>1.1981999999999999</v>
          </cell>
        </row>
        <row r="161">
          <cell r="K161">
            <v>75.540000000000006</v>
          </cell>
          <cell r="Q161">
            <v>1.1777</v>
          </cell>
        </row>
        <row r="162">
          <cell r="K162">
            <v>75.75</v>
          </cell>
          <cell r="Q162">
            <v>1.181</v>
          </cell>
        </row>
        <row r="163">
          <cell r="K163">
            <v>73.44</v>
          </cell>
          <cell r="Q163">
            <v>1.145</v>
          </cell>
        </row>
        <row r="164">
          <cell r="K164">
            <v>73.739999999999995</v>
          </cell>
          <cell r="Q164">
            <v>1.1496999999999999</v>
          </cell>
        </row>
        <row r="165">
          <cell r="K165">
            <v>73.89</v>
          </cell>
          <cell r="Q165">
            <v>1.1519999999999999</v>
          </cell>
        </row>
        <row r="166">
          <cell r="K166">
            <v>72.77</v>
          </cell>
          <cell r="Q166">
            <v>1.1346000000000001</v>
          </cell>
        </row>
        <row r="167">
          <cell r="K167">
            <v>72.989999999999995</v>
          </cell>
          <cell r="Q167">
            <v>1.1379999999999999</v>
          </cell>
        </row>
        <row r="168">
          <cell r="K168">
            <v>73.16</v>
          </cell>
          <cell r="Q168">
            <v>1.1406000000000001</v>
          </cell>
        </row>
        <row r="169">
          <cell r="K169">
            <v>73.69</v>
          </cell>
          <cell r="Q169">
            <v>1.1489</v>
          </cell>
        </row>
        <row r="170">
          <cell r="K170">
            <v>77.459999999999994</v>
          </cell>
          <cell r="Q170">
            <v>1.2077</v>
          </cell>
        </row>
        <row r="171">
          <cell r="K171">
            <v>77.91</v>
          </cell>
          <cell r="Q171">
            <v>1.2146999999999999</v>
          </cell>
        </row>
        <row r="172">
          <cell r="K172">
            <v>77.37</v>
          </cell>
          <cell r="Q172">
            <v>1.2062999999999999</v>
          </cell>
        </row>
        <row r="173">
          <cell r="K173">
            <v>78.16</v>
          </cell>
          <cell r="Q173">
            <v>1.2185999999999999</v>
          </cell>
        </row>
        <row r="174">
          <cell r="K174">
            <v>77.72</v>
          </cell>
          <cell r="Q174">
            <v>1.2117</v>
          </cell>
        </row>
        <row r="175">
          <cell r="K175">
            <v>76.37</v>
          </cell>
          <cell r="Q175">
            <v>1.1907000000000001</v>
          </cell>
        </row>
        <row r="176">
          <cell r="K176">
            <v>76.66</v>
          </cell>
          <cell r="Q176">
            <v>1.1952</v>
          </cell>
        </row>
        <row r="177">
          <cell r="K177">
            <v>77.47</v>
          </cell>
          <cell r="Q177">
            <v>1.2078</v>
          </cell>
        </row>
        <row r="178">
          <cell r="K178">
            <v>78.430000000000007</v>
          </cell>
          <cell r="Q178">
            <v>1.2228000000000001</v>
          </cell>
        </row>
        <row r="179">
          <cell r="K179">
            <v>79.56</v>
          </cell>
          <cell r="Q179">
            <v>1.2063999999999999</v>
          </cell>
        </row>
        <row r="180">
          <cell r="K180">
            <v>79.64</v>
          </cell>
          <cell r="Q180">
            <v>1.2076</v>
          </cell>
        </row>
        <row r="181">
          <cell r="K181">
            <v>78.56</v>
          </cell>
          <cell r="Q181">
            <v>1.1913</v>
          </cell>
        </row>
        <row r="182">
          <cell r="K182">
            <v>78.64</v>
          </cell>
          <cell r="Q182">
            <v>1.1924999999999999</v>
          </cell>
        </row>
        <row r="183">
          <cell r="K183">
            <v>80.33</v>
          </cell>
          <cell r="Q183">
            <v>1.2181</v>
          </cell>
        </row>
        <row r="184">
          <cell r="K184">
            <v>81.34</v>
          </cell>
          <cell r="Q184">
            <v>1.2334000000000001</v>
          </cell>
        </row>
        <row r="185">
          <cell r="K185">
            <v>82.51</v>
          </cell>
          <cell r="Q185">
            <v>1.2512000000000001</v>
          </cell>
        </row>
        <row r="186">
          <cell r="K186">
            <v>81.16</v>
          </cell>
          <cell r="Q186">
            <v>1.2306999999999999</v>
          </cell>
        </row>
        <row r="187">
          <cell r="K187">
            <v>79.44</v>
          </cell>
          <cell r="Q187">
            <v>1.2045999999999999</v>
          </cell>
        </row>
        <row r="188">
          <cell r="K188">
            <v>80.3</v>
          </cell>
          <cell r="Q188">
            <v>1.2176</v>
          </cell>
        </row>
        <row r="189">
          <cell r="K189">
            <v>78.84</v>
          </cell>
          <cell r="Q189">
            <v>1.1955</v>
          </cell>
        </row>
        <row r="190">
          <cell r="K190">
            <v>77.75</v>
          </cell>
          <cell r="Q190">
            <v>1.179</v>
          </cell>
        </row>
        <row r="191">
          <cell r="K191">
            <v>77.13</v>
          </cell>
          <cell r="Q191">
            <v>1.1696</v>
          </cell>
        </row>
        <row r="192">
          <cell r="K192">
            <v>77.66</v>
          </cell>
          <cell r="Q192">
            <v>1.1776</v>
          </cell>
        </row>
        <row r="193">
          <cell r="K193">
            <v>73.569999999999993</v>
          </cell>
          <cell r="Q193">
            <v>1.1155999999999999</v>
          </cell>
        </row>
        <row r="194">
          <cell r="K194">
            <v>73.5</v>
          </cell>
          <cell r="Q194">
            <v>1.1145</v>
          </cell>
        </row>
        <row r="195">
          <cell r="K195">
            <v>74.42</v>
          </cell>
          <cell r="Q195">
            <v>1.1285000000000001</v>
          </cell>
        </row>
        <row r="196">
          <cell r="K196">
            <v>75.790000000000006</v>
          </cell>
          <cell r="Q196">
            <v>1.1493</v>
          </cell>
        </row>
        <row r="197">
          <cell r="K197">
            <v>74.67</v>
          </cell>
          <cell r="Q197">
            <v>1.1323000000000001</v>
          </cell>
        </row>
        <row r="198">
          <cell r="K198">
            <v>75.040000000000006</v>
          </cell>
          <cell r="Q198">
            <v>1.1378999999999999</v>
          </cell>
        </row>
        <row r="199">
          <cell r="K199">
            <v>73.900000000000006</v>
          </cell>
          <cell r="Q199">
            <v>1.1206</v>
          </cell>
        </row>
        <row r="200">
          <cell r="K200">
            <v>73.459999999999994</v>
          </cell>
          <cell r="Q200">
            <v>1.1138999999999999</v>
          </cell>
        </row>
        <row r="201">
          <cell r="K201">
            <v>74.61</v>
          </cell>
          <cell r="Q201">
            <v>1.1314</v>
          </cell>
        </row>
        <row r="202">
          <cell r="K202">
            <v>73.31</v>
          </cell>
          <cell r="Q202">
            <v>1.1115999999999999</v>
          </cell>
        </row>
        <row r="203">
          <cell r="K203">
            <v>74.760000000000005</v>
          </cell>
          <cell r="Q203">
            <v>1.1335999999999999</v>
          </cell>
        </row>
        <row r="204">
          <cell r="K204">
            <v>73.5</v>
          </cell>
          <cell r="Q204">
            <v>1.1145</v>
          </cell>
        </row>
        <row r="205">
          <cell r="K205">
            <v>74.92</v>
          </cell>
          <cell r="Q205">
            <v>1.1361000000000001</v>
          </cell>
        </row>
        <row r="206">
          <cell r="K206">
            <v>73.599999999999994</v>
          </cell>
          <cell r="Q206">
            <v>1.1160000000000001</v>
          </cell>
        </row>
        <row r="207">
          <cell r="K207">
            <v>72.430000000000007</v>
          </cell>
          <cell r="Q207">
            <v>1.0983000000000001</v>
          </cell>
        </row>
        <row r="208">
          <cell r="K208">
            <v>70.41</v>
          </cell>
          <cell r="Q208">
            <v>1.0677000000000001</v>
          </cell>
        </row>
        <row r="209">
          <cell r="K209">
            <v>69.599999999999994</v>
          </cell>
          <cell r="Q209">
            <v>1.0553999999999999</v>
          </cell>
        </row>
        <row r="210">
          <cell r="K210">
            <v>71.069999999999993</v>
          </cell>
          <cell r="Q210">
            <v>1.0777000000000001</v>
          </cell>
        </row>
        <row r="211">
          <cell r="K211">
            <v>70.03</v>
          </cell>
          <cell r="Q211">
            <v>1.0619000000000001</v>
          </cell>
        </row>
        <row r="212">
          <cell r="K212">
            <v>69.73</v>
          </cell>
          <cell r="Q212">
            <v>1.0573999999999999</v>
          </cell>
        </row>
        <row r="213">
          <cell r="K213">
            <v>69.44</v>
          </cell>
          <cell r="Q213">
            <v>1.0529999999999999</v>
          </cell>
        </row>
        <row r="214">
          <cell r="K214">
            <v>68.2</v>
          </cell>
          <cell r="Q214">
            <v>1.0342</v>
          </cell>
        </row>
        <row r="215">
          <cell r="K215">
            <v>68.28</v>
          </cell>
          <cell r="Q215">
            <v>1.0354000000000001</v>
          </cell>
        </row>
        <row r="216">
          <cell r="K216">
            <v>67.94</v>
          </cell>
          <cell r="Q216">
            <v>1.0302</v>
          </cell>
        </row>
        <row r="217">
          <cell r="K217">
            <v>68.63</v>
          </cell>
          <cell r="Q217">
            <v>1.0407</v>
          </cell>
        </row>
        <row r="218">
          <cell r="K218">
            <v>67.83</v>
          </cell>
          <cell r="Q218">
            <v>1.0285</v>
          </cell>
        </row>
        <row r="219">
          <cell r="K219">
            <v>68.819999999999993</v>
          </cell>
          <cell r="Q219">
            <v>1.0436000000000001</v>
          </cell>
        </row>
        <row r="220">
          <cell r="K220">
            <v>71.19</v>
          </cell>
          <cell r="Q220">
            <v>1.0794999999999999</v>
          </cell>
        </row>
        <row r="221">
          <cell r="K221">
            <v>71.72</v>
          </cell>
          <cell r="Q221">
            <v>1.0874999999999999</v>
          </cell>
        </row>
        <row r="222">
          <cell r="K222">
            <v>71.900000000000006</v>
          </cell>
          <cell r="Q222">
            <v>1.0903</v>
          </cell>
        </row>
        <row r="223">
          <cell r="K223">
            <v>72.06</v>
          </cell>
          <cell r="Q223">
            <v>1.0927</v>
          </cell>
        </row>
        <row r="224">
          <cell r="K224">
            <v>72.010000000000005</v>
          </cell>
          <cell r="Q224">
            <v>1.0919000000000001</v>
          </cell>
        </row>
        <row r="225">
          <cell r="K225">
            <v>72.709999999999994</v>
          </cell>
          <cell r="Q225">
            <v>1.1025</v>
          </cell>
        </row>
        <row r="226">
          <cell r="K226">
            <v>74.349999999999994</v>
          </cell>
          <cell r="Q226">
            <v>1.1274</v>
          </cell>
        </row>
        <row r="227">
          <cell r="K227">
            <v>74.2</v>
          </cell>
          <cell r="Q227">
            <v>1.1251</v>
          </cell>
        </row>
        <row r="228">
          <cell r="K228">
            <v>76.58</v>
          </cell>
          <cell r="Q228">
            <v>1.1612</v>
          </cell>
        </row>
        <row r="229">
          <cell r="K229">
            <v>73.72</v>
          </cell>
          <cell r="Q229">
            <v>1.1178999999999999</v>
          </cell>
        </row>
        <row r="230">
          <cell r="K230">
            <v>73.819999999999993</v>
          </cell>
          <cell r="Q230">
            <v>1.1194</v>
          </cell>
        </row>
        <row r="231">
          <cell r="K231">
            <v>74.22</v>
          </cell>
          <cell r="Q231">
            <v>1.1254</v>
          </cell>
        </row>
        <row r="232">
          <cell r="K232">
            <v>73.39</v>
          </cell>
          <cell r="Q232">
            <v>1.1129</v>
          </cell>
        </row>
        <row r="233">
          <cell r="K233">
            <v>71.16</v>
          </cell>
          <cell r="Q233">
            <v>1.079</v>
          </cell>
        </row>
        <row r="234">
          <cell r="K234">
            <v>71.05</v>
          </cell>
          <cell r="Q234">
            <v>1.0773999999999999</v>
          </cell>
        </row>
        <row r="235">
          <cell r="K235">
            <v>70.84</v>
          </cell>
          <cell r="Q235">
            <v>1.0742</v>
          </cell>
        </row>
        <row r="236">
          <cell r="K236">
            <v>71.510000000000005</v>
          </cell>
          <cell r="Q236">
            <v>1.0844</v>
          </cell>
        </row>
        <row r="237">
          <cell r="K237">
            <v>72.73</v>
          </cell>
          <cell r="Q237">
            <v>1.1029</v>
          </cell>
        </row>
        <row r="238">
          <cell r="K238">
            <v>72.7</v>
          </cell>
          <cell r="Q238">
            <v>1.1024</v>
          </cell>
        </row>
        <row r="239">
          <cell r="K239">
            <v>73.69</v>
          </cell>
          <cell r="Q239">
            <v>1.1173999999999999</v>
          </cell>
        </row>
        <row r="240">
          <cell r="K240">
            <v>72.73</v>
          </cell>
          <cell r="Q240">
            <v>1.1029</v>
          </cell>
        </row>
        <row r="241">
          <cell r="K241">
            <v>73.16</v>
          </cell>
          <cell r="Q241">
            <v>1.1093999999999999</v>
          </cell>
        </row>
        <row r="242">
          <cell r="K242">
            <v>72.56</v>
          </cell>
          <cell r="Q242">
            <v>1.0644</v>
          </cell>
        </row>
        <row r="243">
          <cell r="K243">
            <v>70.63</v>
          </cell>
          <cell r="Q243">
            <v>1.036</v>
          </cell>
        </row>
        <row r="244">
          <cell r="K244">
            <v>70.38</v>
          </cell>
          <cell r="Q244">
            <v>1.0324</v>
          </cell>
        </row>
        <row r="245">
          <cell r="K245">
            <v>68.53</v>
          </cell>
          <cell r="Q245">
            <v>1.0052000000000001</v>
          </cell>
        </row>
        <row r="246">
          <cell r="K246">
            <v>68.73</v>
          </cell>
          <cell r="Q246">
            <v>1.0082</v>
          </cell>
        </row>
        <row r="247">
          <cell r="K247">
            <v>67.150000000000006</v>
          </cell>
          <cell r="Q247">
            <v>0.98499999999999999</v>
          </cell>
        </row>
        <row r="248">
          <cell r="K248">
            <v>67.23</v>
          </cell>
          <cell r="Q248">
            <v>0.98619999999999997</v>
          </cell>
        </row>
        <row r="249">
          <cell r="K249">
            <v>67.41</v>
          </cell>
          <cell r="Q249">
            <v>0.98880000000000001</v>
          </cell>
        </row>
        <row r="250">
          <cell r="K250">
            <v>66.010000000000005</v>
          </cell>
          <cell r="Q250">
            <v>0.96830000000000005</v>
          </cell>
        </row>
        <row r="251">
          <cell r="K251">
            <v>67.27</v>
          </cell>
          <cell r="Q251">
            <v>0.98680000000000001</v>
          </cell>
        </row>
        <row r="252">
          <cell r="K252">
            <v>65.400000000000006</v>
          </cell>
          <cell r="Q252">
            <v>0.95930000000000004</v>
          </cell>
        </row>
        <row r="253">
          <cell r="K253">
            <v>64.27</v>
          </cell>
          <cell r="Q253">
            <v>0.94279999999999997</v>
          </cell>
        </row>
        <row r="254">
          <cell r="K254">
            <v>62.47</v>
          </cell>
          <cell r="Q254">
            <v>0.91639999999999999</v>
          </cell>
        </row>
        <row r="255">
          <cell r="K255">
            <v>62.81</v>
          </cell>
          <cell r="Q255">
            <v>0.92130000000000001</v>
          </cell>
        </row>
        <row r="256">
          <cell r="K256">
            <v>63.82</v>
          </cell>
          <cell r="Q256">
            <v>0.93620000000000003</v>
          </cell>
        </row>
        <row r="257">
          <cell r="K257">
            <v>65.08</v>
          </cell>
          <cell r="Q257">
            <v>0.9546</v>
          </cell>
        </row>
        <row r="258">
          <cell r="K258">
            <v>65.25</v>
          </cell>
          <cell r="Q258">
            <v>0.95709999999999995</v>
          </cell>
        </row>
        <row r="259">
          <cell r="K259">
            <v>65.930000000000007</v>
          </cell>
          <cell r="Q259">
            <v>0.96709999999999996</v>
          </cell>
        </row>
        <row r="260">
          <cell r="K260">
            <v>68.209999999999994</v>
          </cell>
          <cell r="Q260">
            <v>1.0005999999999999</v>
          </cell>
        </row>
        <row r="261">
          <cell r="K261">
            <v>68.989999999999995</v>
          </cell>
          <cell r="Q261">
            <v>1.012</v>
          </cell>
        </row>
        <row r="262">
          <cell r="K262">
            <v>68.44</v>
          </cell>
          <cell r="Q262">
            <v>1.0039</v>
          </cell>
        </row>
        <row r="263">
          <cell r="K263">
            <v>70.989999999999995</v>
          </cell>
          <cell r="Q263">
            <v>1.0412999999999999</v>
          </cell>
        </row>
        <row r="264">
          <cell r="K264">
            <v>71.760000000000005</v>
          </cell>
          <cell r="Q264">
            <v>1.0526</v>
          </cell>
        </row>
        <row r="265">
          <cell r="K265">
            <v>70.95</v>
          </cell>
          <cell r="Q265">
            <v>1.0407</v>
          </cell>
        </row>
        <row r="266">
          <cell r="K266">
            <v>67.52</v>
          </cell>
          <cell r="Q266">
            <v>0.99039999999999995</v>
          </cell>
        </row>
        <row r="267">
          <cell r="K267">
            <v>67.98</v>
          </cell>
          <cell r="Q267">
            <v>0.99719999999999998</v>
          </cell>
        </row>
        <row r="268">
          <cell r="K268">
            <v>68.319999999999993</v>
          </cell>
          <cell r="Q268">
            <v>1.0022</v>
          </cell>
        </row>
        <row r="269">
          <cell r="K269">
            <v>68.010000000000005</v>
          </cell>
          <cell r="Q269">
            <v>0.99760000000000004</v>
          </cell>
        </row>
        <row r="270">
          <cell r="K270">
            <v>69.42</v>
          </cell>
          <cell r="Q270">
            <v>1.0183</v>
          </cell>
        </row>
        <row r="271">
          <cell r="K271">
            <v>70</v>
          </cell>
          <cell r="Q271">
            <v>1.0267999999999999</v>
          </cell>
        </row>
        <row r="272">
          <cell r="K272">
            <v>71.650000000000006</v>
          </cell>
          <cell r="Q272">
            <v>1.0509999999999999</v>
          </cell>
        </row>
        <row r="273">
          <cell r="K273">
            <v>70.44</v>
          </cell>
          <cell r="Q273">
            <v>1.0333000000000001</v>
          </cell>
        </row>
        <row r="274">
          <cell r="K274">
            <v>69.95</v>
          </cell>
          <cell r="Q274">
            <v>1.0261</v>
          </cell>
        </row>
        <row r="275">
          <cell r="K275">
            <v>70.400000000000006</v>
          </cell>
          <cell r="Q275">
            <v>1.0327</v>
          </cell>
        </row>
        <row r="276">
          <cell r="K276">
            <v>71.25</v>
          </cell>
          <cell r="Q276">
            <v>1.0450999999999999</v>
          </cell>
        </row>
        <row r="277">
          <cell r="K277">
            <v>70.790000000000006</v>
          </cell>
          <cell r="Q277">
            <v>1.0384</v>
          </cell>
        </row>
        <row r="278">
          <cell r="K278">
            <v>71.180000000000007</v>
          </cell>
          <cell r="Q278">
            <v>1.0441</v>
          </cell>
        </row>
        <row r="279">
          <cell r="K279">
            <v>72.25</v>
          </cell>
          <cell r="Q279">
            <v>1.0598000000000001</v>
          </cell>
        </row>
        <row r="280">
          <cell r="K280">
            <v>73.3</v>
          </cell>
          <cell r="Q280">
            <v>1.0751999999999999</v>
          </cell>
        </row>
        <row r="281">
          <cell r="K281">
            <v>74.22</v>
          </cell>
          <cell r="Q281">
            <v>1.0887</v>
          </cell>
        </row>
        <row r="282">
          <cell r="K282">
            <v>74.39</v>
          </cell>
          <cell r="Q282">
            <v>1.0911999999999999</v>
          </cell>
        </row>
        <row r="283">
          <cell r="K283">
            <v>72.33</v>
          </cell>
          <cell r="Q283">
            <v>1.0609999999999999</v>
          </cell>
        </row>
        <row r="284">
          <cell r="K284">
            <v>73.2</v>
          </cell>
          <cell r="Q284">
            <v>1.0737000000000001</v>
          </cell>
        </row>
        <row r="285">
          <cell r="K285">
            <v>71.739999999999995</v>
          </cell>
          <cell r="Q285">
            <v>1.0523</v>
          </cell>
        </row>
        <row r="286">
          <cell r="K286">
            <v>71.849999999999994</v>
          </cell>
          <cell r="Q286">
            <v>1.0539000000000001</v>
          </cell>
        </row>
        <row r="287">
          <cell r="K287">
            <v>70.75</v>
          </cell>
          <cell r="Q287">
            <v>1.0378000000000001</v>
          </cell>
        </row>
        <row r="288">
          <cell r="K288">
            <v>69.84</v>
          </cell>
          <cell r="Q288">
            <v>1.0245</v>
          </cell>
        </row>
        <row r="289">
          <cell r="K289">
            <v>68.72</v>
          </cell>
          <cell r="Q289">
            <v>1.008</v>
          </cell>
        </row>
        <row r="290">
          <cell r="K290">
            <v>72.61</v>
          </cell>
          <cell r="Q290">
            <v>1.0650999999999999</v>
          </cell>
        </row>
        <row r="291">
          <cell r="K291">
            <v>75.25</v>
          </cell>
          <cell r="Q291">
            <v>1.1037999999999999</v>
          </cell>
        </row>
        <row r="292">
          <cell r="K292">
            <v>75.67</v>
          </cell>
          <cell r="Q292">
            <v>1.1100000000000001</v>
          </cell>
        </row>
        <row r="293">
          <cell r="K293">
            <v>74.790000000000006</v>
          </cell>
          <cell r="Q293">
            <v>1.0971</v>
          </cell>
        </row>
        <row r="294">
          <cell r="K294">
            <v>74.459999999999994</v>
          </cell>
          <cell r="Q294">
            <v>1.0922000000000001</v>
          </cell>
        </row>
        <row r="295">
          <cell r="K295">
            <v>76.87</v>
          </cell>
          <cell r="Q295">
            <v>1.1275999999999999</v>
          </cell>
        </row>
        <row r="296">
          <cell r="K296">
            <v>73.73</v>
          </cell>
          <cell r="Q296">
            <v>1.0814999999999999</v>
          </cell>
        </row>
        <row r="297">
          <cell r="K297">
            <v>73.819999999999993</v>
          </cell>
          <cell r="Q297">
            <v>1.0828</v>
          </cell>
        </row>
        <row r="298">
          <cell r="K298">
            <v>76.03</v>
          </cell>
          <cell r="Q298">
            <v>1.1153</v>
          </cell>
        </row>
        <row r="299">
          <cell r="K299">
            <v>76.64</v>
          </cell>
          <cell r="Q299">
            <v>1.1242000000000001</v>
          </cell>
        </row>
        <row r="300">
          <cell r="K300">
            <v>77.36</v>
          </cell>
          <cell r="Q300">
            <v>1.1348</v>
          </cell>
        </row>
        <row r="301">
          <cell r="K301">
            <v>77.03</v>
          </cell>
          <cell r="Q301">
            <v>1.1298999999999999</v>
          </cell>
        </row>
        <row r="302">
          <cell r="K302">
            <v>77.09</v>
          </cell>
          <cell r="Q302">
            <v>1.1308</v>
          </cell>
        </row>
        <row r="303">
          <cell r="K303">
            <v>78.290000000000006</v>
          </cell>
          <cell r="Q303">
            <v>1.0931999999999999</v>
          </cell>
        </row>
        <row r="304">
          <cell r="K304">
            <v>79.98</v>
          </cell>
          <cell r="Q304">
            <v>1.1168</v>
          </cell>
        </row>
        <row r="305">
          <cell r="K305">
            <v>78.510000000000005</v>
          </cell>
          <cell r="Q305">
            <v>1.0963000000000001</v>
          </cell>
        </row>
        <row r="306">
          <cell r="K306">
            <v>77.069999999999993</v>
          </cell>
          <cell r="Q306">
            <v>1.0762</v>
          </cell>
        </row>
        <row r="307">
          <cell r="K307">
            <v>77.83</v>
          </cell>
          <cell r="Q307">
            <v>1.0868</v>
          </cell>
        </row>
        <row r="308">
          <cell r="K308">
            <v>77.25</v>
          </cell>
          <cell r="Q308">
            <v>1.0787</v>
          </cell>
        </row>
        <row r="309">
          <cell r="K309">
            <v>77.59</v>
          </cell>
          <cell r="Q309">
            <v>1.0834999999999999</v>
          </cell>
        </row>
        <row r="310">
          <cell r="K310">
            <v>76.16</v>
          </cell>
          <cell r="Q310">
            <v>1.0634999999999999</v>
          </cell>
        </row>
        <row r="311">
          <cell r="K311">
            <v>75.709999999999994</v>
          </cell>
          <cell r="Q311">
            <v>1.0571999999999999</v>
          </cell>
        </row>
        <row r="312">
          <cell r="K312">
            <v>74.8</v>
          </cell>
          <cell r="Q312">
            <v>1.0445</v>
          </cell>
        </row>
        <row r="313">
          <cell r="K313">
            <v>75.540000000000006</v>
          </cell>
          <cell r="Q313">
            <v>1.0548</v>
          </cell>
        </row>
        <row r="314">
          <cell r="K314">
            <v>75.95</v>
          </cell>
          <cell r="Q314">
            <v>1.0606</v>
          </cell>
        </row>
        <row r="315">
          <cell r="K315">
            <v>79.02</v>
          </cell>
          <cell r="Q315">
            <v>1.1033999999999999</v>
          </cell>
        </row>
        <row r="316">
          <cell r="K316">
            <v>78.59</v>
          </cell>
          <cell r="Q316">
            <v>1.0973999999999999</v>
          </cell>
        </row>
        <row r="317">
          <cell r="K317">
            <v>85.28</v>
          </cell>
          <cell r="Q317">
            <v>1.1909000000000001</v>
          </cell>
        </row>
        <row r="318">
          <cell r="K318">
            <v>83.33</v>
          </cell>
          <cell r="Q318">
            <v>1.1636</v>
          </cell>
        </row>
        <row r="319">
          <cell r="K319">
            <v>82.01</v>
          </cell>
          <cell r="Q319">
            <v>1.1452</v>
          </cell>
        </row>
        <row r="320">
          <cell r="K320">
            <v>81.69</v>
          </cell>
          <cell r="Q320">
            <v>1.1407</v>
          </cell>
        </row>
        <row r="321">
          <cell r="K321">
            <v>81.819999999999993</v>
          </cell>
          <cell r="Q321">
            <v>1.1425000000000001</v>
          </cell>
        </row>
        <row r="322">
          <cell r="K322">
            <v>82.25</v>
          </cell>
          <cell r="Q322">
            <v>1.1485000000000001</v>
          </cell>
        </row>
        <row r="323">
          <cell r="K323">
            <v>83.03</v>
          </cell>
          <cell r="Q323">
            <v>1.1594</v>
          </cell>
        </row>
        <row r="324">
          <cell r="K324">
            <v>81.510000000000005</v>
          </cell>
          <cell r="Q324">
            <v>1.1382000000000001</v>
          </cell>
        </row>
        <row r="325">
          <cell r="K325">
            <v>81.88</v>
          </cell>
          <cell r="Q325">
            <v>1.1434</v>
          </cell>
        </row>
        <row r="326">
          <cell r="K326">
            <v>82.35</v>
          </cell>
          <cell r="Q326">
            <v>1.1498999999999999</v>
          </cell>
        </row>
        <row r="327">
          <cell r="K327">
            <v>82.8</v>
          </cell>
          <cell r="Q327">
            <v>1.1561999999999999</v>
          </cell>
        </row>
        <row r="328">
          <cell r="K328">
            <v>82.75</v>
          </cell>
          <cell r="Q328">
            <v>1.1555</v>
          </cell>
        </row>
        <row r="329">
          <cell r="K329">
            <v>83.23</v>
          </cell>
          <cell r="Q329">
            <v>1.1621999999999999</v>
          </cell>
        </row>
        <row r="330">
          <cell r="K330">
            <v>81.63</v>
          </cell>
          <cell r="Q330">
            <v>1.1398999999999999</v>
          </cell>
        </row>
        <row r="331">
          <cell r="K331">
            <v>82.42</v>
          </cell>
          <cell r="Q331">
            <v>1.1509</v>
          </cell>
        </row>
        <row r="332">
          <cell r="K332">
            <v>81.760000000000005</v>
          </cell>
          <cell r="Q332">
            <v>1.1416999999999999</v>
          </cell>
        </row>
        <row r="333">
          <cell r="K333">
            <v>83.82</v>
          </cell>
          <cell r="Q333">
            <v>1.1705000000000001</v>
          </cell>
        </row>
        <row r="334">
          <cell r="K334">
            <v>84.07</v>
          </cell>
          <cell r="Q334">
            <v>1.1739999999999999</v>
          </cell>
        </row>
        <row r="335">
          <cell r="K335">
            <v>82.75</v>
          </cell>
          <cell r="Q335">
            <v>1.1555</v>
          </cell>
        </row>
        <row r="336">
          <cell r="K336">
            <v>83.5</v>
          </cell>
          <cell r="Q336">
            <v>1.1659999999999999</v>
          </cell>
        </row>
        <row r="337">
          <cell r="K337">
            <v>83.7</v>
          </cell>
          <cell r="Q337">
            <v>1.1688000000000001</v>
          </cell>
        </row>
        <row r="338">
          <cell r="K338">
            <v>84.28</v>
          </cell>
          <cell r="Q338">
            <v>1.1769000000000001</v>
          </cell>
        </row>
        <row r="339">
          <cell r="K339">
            <v>83.84</v>
          </cell>
          <cell r="Q339">
            <v>1.1707000000000001</v>
          </cell>
        </row>
        <row r="340">
          <cell r="K340">
            <v>83.4</v>
          </cell>
          <cell r="Q340">
            <v>1.1646000000000001</v>
          </cell>
        </row>
        <row r="341">
          <cell r="K341">
            <v>82.22</v>
          </cell>
          <cell r="Q341">
            <v>1.1480999999999999</v>
          </cell>
        </row>
        <row r="342">
          <cell r="K342">
            <v>81.55</v>
          </cell>
          <cell r="Q342">
            <v>1.1388</v>
          </cell>
        </row>
        <row r="343">
          <cell r="K343">
            <v>81.95</v>
          </cell>
          <cell r="Q343">
            <v>1.1444000000000001</v>
          </cell>
        </row>
        <row r="344">
          <cell r="K344">
            <v>83.19</v>
          </cell>
          <cell r="Q344">
            <v>1.1617</v>
          </cell>
        </row>
        <row r="345">
          <cell r="K345">
            <v>82.78</v>
          </cell>
          <cell r="Q345">
            <v>1.1558999999999999</v>
          </cell>
        </row>
        <row r="346">
          <cell r="K346">
            <v>82.64</v>
          </cell>
          <cell r="Q346">
            <v>1.1539999999999999</v>
          </cell>
        </row>
        <row r="347">
          <cell r="K347">
            <v>82.33</v>
          </cell>
          <cell r="Q347">
            <v>1.1496999999999999</v>
          </cell>
        </row>
        <row r="348">
          <cell r="K348">
            <v>82.42</v>
          </cell>
          <cell r="Q348">
            <v>1.1509</v>
          </cell>
        </row>
        <row r="349">
          <cell r="K349">
            <v>82.46</v>
          </cell>
          <cell r="Q349">
            <v>1.1515</v>
          </cell>
        </row>
        <row r="350">
          <cell r="K350">
            <v>82.73</v>
          </cell>
          <cell r="Q350">
            <v>1.1552</v>
          </cell>
        </row>
        <row r="351">
          <cell r="K351">
            <v>79.989999999999995</v>
          </cell>
          <cell r="Q351">
            <v>1.117</v>
          </cell>
        </row>
        <row r="352">
          <cell r="K352">
            <v>80.81</v>
          </cell>
          <cell r="Q352">
            <v>1.1284000000000001</v>
          </cell>
        </row>
        <row r="353">
          <cell r="K353">
            <v>80.099999999999994</v>
          </cell>
          <cell r="Q353">
            <v>1.1185</v>
          </cell>
        </row>
        <row r="354">
          <cell r="K354">
            <v>78.930000000000007</v>
          </cell>
          <cell r="Q354">
            <v>1.1022000000000001</v>
          </cell>
        </row>
        <row r="355">
          <cell r="K355">
            <v>80.5</v>
          </cell>
          <cell r="Q355">
            <v>1.1241000000000001</v>
          </cell>
        </row>
        <row r="356">
          <cell r="K356">
            <v>81.5</v>
          </cell>
          <cell r="Q356">
            <v>1.1380999999999999</v>
          </cell>
        </row>
        <row r="357">
          <cell r="K357">
            <v>80.91</v>
          </cell>
          <cell r="Q357">
            <v>1.1297999999999999</v>
          </cell>
        </row>
        <row r="358">
          <cell r="K358">
            <v>80.69</v>
          </cell>
          <cell r="Q358">
            <v>1.1268</v>
          </cell>
        </row>
        <row r="359">
          <cell r="K359">
            <v>79.7</v>
          </cell>
          <cell r="Q359">
            <v>1.1129</v>
          </cell>
        </row>
        <row r="360">
          <cell r="K360">
            <v>79.48</v>
          </cell>
          <cell r="Q360">
            <v>1.1099000000000001</v>
          </cell>
        </row>
        <row r="361">
          <cell r="K361">
            <v>79.08</v>
          </cell>
          <cell r="Q361">
            <v>1.1043000000000001</v>
          </cell>
        </row>
        <row r="362">
          <cell r="K362">
            <v>80</v>
          </cell>
          <cell r="Q362">
            <v>1.1171</v>
          </cell>
        </row>
        <row r="363">
          <cell r="K363">
            <v>76.64</v>
          </cell>
          <cell r="Q363">
            <v>1.0702</v>
          </cell>
        </row>
        <row r="364">
          <cell r="K364">
            <v>76.58</v>
          </cell>
          <cell r="Q364">
            <v>1.0693999999999999</v>
          </cell>
        </row>
        <row r="365">
          <cell r="K365">
            <v>74.28</v>
          </cell>
          <cell r="Q365">
            <v>1.0371999999999999</v>
          </cell>
        </row>
        <row r="366">
          <cell r="K366">
            <v>73.75</v>
          </cell>
          <cell r="Q366">
            <v>1.0298</v>
          </cell>
        </row>
        <row r="367">
          <cell r="K367">
            <v>73.819999999999993</v>
          </cell>
          <cell r="Q367">
            <v>0.9728</v>
          </cell>
        </row>
        <row r="368">
          <cell r="K368">
            <v>74.09</v>
          </cell>
          <cell r="Q368">
            <v>0.97640000000000005</v>
          </cell>
        </row>
        <row r="369">
          <cell r="K369">
            <v>70.42</v>
          </cell>
          <cell r="Q369">
            <v>0.92800000000000005</v>
          </cell>
        </row>
        <row r="370">
          <cell r="K370">
            <v>70.31</v>
          </cell>
          <cell r="Q370">
            <v>0.92659999999999998</v>
          </cell>
        </row>
        <row r="371">
          <cell r="K371">
            <v>70.81</v>
          </cell>
          <cell r="Q371">
            <v>0.93320000000000003</v>
          </cell>
        </row>
        <row r="372">
          <cell r="K372">
            <v>69.510000000000005</v>
          </cell>
          <cell r="Q372">
            <v>0.91600000000000004</v>
          </cell>
        </row>
        <row r="373">
          <cell r="K373">
            <v>68.430000000000007</v>
          </cell>
          <cell r="Q373">
            <v>0.90180000000000005</v>
          </cell>
        </row>
        <row r="374">
          <cell r="K374">
            <v>68.42</v>
          </cell>
          <cell r="Q374">
            <v>0.90169999999999995</v>
          </cell>
        </row>
        <row r="375">
          <cell r="K375">
            <v>69.81</v>
          </cell>
          <cell r="Q375">
            <v>0.92</v>
          </cell>
        </row>
        <row r="376">
          <cell r="K376">
            <v>69.67</v>
          </cell>
          <cell r="Q376">
            <v>0.91810000000000003</v>
          </cell>
        </row>
        <row r="377">
          <cell r="K377">
            <v>67.040000000000006</v>
          </cell>
          <cell r="Q377">
            <v>0.88349999999999995</v>
          </cell>
        </row>
        <row r="378">
          <cell r="K378">
            <v>70.53</v>
          </cell>
          <cell r="Q378">
            <v>0.92949999999999999</v>
          </cell>
        </row>
        <row r="379">
          <cell r="K379">
            <v>71.83</v>
          </cell>
          <cell r="Q379">
            <v>0.9466</v>
          </cell>
        </row>
        <row r="380">
          <cell r="K380">
            <v>70.89</v>
          </cell>
          <cell r="Q380">
            <v>0.93420000000000003</v>
          </cell>
        </row>
        <row r="381">
          <cell r="K381">
            <v>73.23</v>
          </cell>
          <cell r="Q381">
            <v>0.96509999999999996</v>
          </cell>
        </row>
        <row r="382">
          <cell r="K382">
            <v>74.98</v>
          </cell>
          <cell r="Q382">
            <v>0.98809999999999998</v>
          </cell>
        </row>
        <row r="383">
          <cell r="K383">
            <v>72.42</v>
          </cell>
          <cell r="Q383">
            <v>0.95440000000000003</v>
          </cell>
        </row>
        <row r="384">
          <cell r="K384">
            <v>69.78</v>
          </cell>
          <cell r="Q384">
            <v>0.91959999999999997</v>
          </cell>
        </row>
        <row r="385">
          <cell r="K385">
            <v>70.48</v>
          </cell>
          <cell r="Q385">
            <v>0.92879999999999996</v>
          </cell>
        </row>
        <row r="386">
          <cell r="K386">
            <v>69.19</v>
          </cell>
          <cell r="Q386">
            <v>0.91180000000000005</v>
          </cell>
        </row>
        <row r="387">
          <cell r="K387">
            <v>70.989999999999995</v>
          </cell>
          <cell r="Q387">
            <v>0.9355</v>
          </cell>
        </row>
        <row r="388">
          <cell r="K388">
            <v>72.069999999999993</v>
          </cell>
          <cell r="Q388">
            <v>0.94979999999999998</v>
          </cell>
        </row>
        <row r="389">
          <cell r="K389">
            <v>69.52</v>
          </cell>
          <cell r="Q389">
            <v>0.91620000000000001</v>
          </cell>
        </row>
        <row r="390">
          <cell r="K390">
            <v>68.14</v>
          </cell>
          <cell r="Q390">
            <v>0.89800000000000002</v>
          </cell>
        </row>
        <row r="391">
          <cell r="K391">
            <v>67.430000000000007</v>
          </cell>
          <cell r="Q391">
            <v>0.88859999999999995</v>
          </cell>
        </row>
        <row r="392">
          <cell r="K392">
            <v>68.180000000000007</v>
          </cell>
          <cell r="Q392">
            <v>0.89849999999999997</v>
          </cell>
        </row>
        <row r="393">
          <cell r="K393">
            <v>70.510000000000005</v>
          </cell>
          <cell r="Q393">
            <v>0.92920000000000003</v>
          </cell>
        </row>
        <row r="394">
          <cell r="K394">
            <v>68.930000000000007</v>
          </cell>
          <cell r="Q394">
            <v>0.90839999999999999</v>
          </cell>
        </row>
        <row r="395">
          <cell r="K395">
            <v>70.900000000000006</v>
          </cell>
          <cell r="Q395">
            <v>0.93440000000000001</v>
          </cell>
        </row>
        <row r="396">
          <cell r="K396">
            <v>70.8</v>
          </cell>
          <cell r="Q396">
            <v>0.93300000000000005</v>
          </cell>
        </row>
        <row r="397">
          <cell r="K397">
            <v>71.81</v>
          </cell>
          <cell r="Q397">
            <v>0.94630000000000003</v>
          </cell>
        </row>
        <row r="398">
          <cell r="K398">
            <v>69.83</v>
          </cell>
          <cell r="Q398">
            <v>0.92030000000000001</v>
          </cell>
        </row>
        <row r="399">
          <cell r="K399">
            <v>70.290000000000006</v>
          </cell>
          <cell r="Q399">
            <v>0.92630000000000001</v>
          </cell>
        </row>
        <row r="400">
          <cell r="K400">
            <v>70.349999999999994</v>
          </cell>
          <cell r="Q400">
            <v>0.92710000000000004</v>
          </cell>
        </row>
        <row r="401">
          <cell r="K401">
            <v>69.22</v>
          </cell>
          <cell r="Q401">
            <v>0.91220000000000001</v>
          </cell>
        </row>
        <row r="402">
          <cell r="K402">
            <v>68.69</v>
          </cell>
          <cell r="Q402">
            <v>0.9052</v>
          </cell>
        </row>
        <row r="403">
          <cell r="K403">
            <v>68.8</v>
          </cell>
          <cell r="Q403">
            <v>0.90669999999999995</v>
          </cell>
        </row>
        <row r="404">
          <cell r="K404">
            <v>68.7</v>
          </cell>
          <cell r="Q404">
            <v>0.90539999999999998</v>
          </cell>
        </row>
        <row r="405">
          <cell r="K405">
            <v>70.27</v>
          </cell>
          <cell r="Q405">
            <v>0.92610000000000003</v>
          </cell>
        </row>
        <row r="406">
          <cell r="K406">
            <v>68.56</v>
          </cell>
          <cell r="Q406">
            <v>0.90349999999999997</v>
          </cell>
        </row>
        <row r="407">
          <cell r="K407">
            <v>68.680000000000007</v>
          </cell>
          <cell r="Q407">
            <v>0.90510000000000002</v>
          </cell>
        </row>
        <row r="408">
          <cell r="K408">
            <v>69.56</v>
          </cell>
          <cell r="Q408">
            <v>0.91669999999999996</v>
          </cell>
        </row>
        <row r="409">
          <cell r="K409">
            <v>71.680000000000007</v>
          </cell>
          <cell r="Q409">
            <v>0.9446</v>
          </cell>
        </row>
        <row r="410">
          <cell r="K410">
            <v>70.73</v>
          </cell>
          <cell r="Q410">
            <v>0.93210000000000004</v>
          </cell>
        </row>
        <row r="411">
          <cell r="K411">
            <v>69.08</v>
          </cell>
          <cell r="Q411">
            <v>0.91039999999999999</v>
          </cell>
        </row>
        <row r="412">
          <cell r="K412">
            <v>67.73</v>
          </cell>
          <cell r="Q412">
            <v>0.89259999999999995</v>
          </cell>
        </row>
        <row r="413">
          <cell r="K413">
            <v>63.94</v>
          </cell>
          <cell r="Q413">
            <v>0.84260000000000002</v>
          </cell>
        </row>
        <row r="414">
          <cell r="K414">
            <v>64.069999999999993</v>
          </cell>
          <cell r="Q414">
            <v>0.84430000000000005</v>
          </cell>
        </row>
        <row r="415">
          <cell r="K415">
            <v>64.58</v>
          </cell>
          <cell r="Q415">
            <v>0.85109999999999997</v>
          </cell>
        </row>
        <row r="416">
          <cell r="K416">
            <v>61.38</v>
          </cell>
          <cell r="Q416">
            <v>0.80889999999999995</v>
          </cell>
        </row>
        <row r="417">
          <cell r="K417">
            <v>62.82</v>
          </cell>
          <cell r="Q417">
            <v>0.82789999999999997</v>
          </cell>
        </row>
        <row r="418">
          <cell r="K418">
            <v>64.81</v>
          </cell>
          <cell r="Q418">
            <v>0.85409999999999997</v>
          </cell>
        </row>
        <row r="419">
          <cell r="K419">
            <v>65.459999999999994</v>
          </cell>
          <cell r="Q419">
            <v>0.86270000000000002</v>
          </cell>
        </row>
        <row r="420">
          <cell r="K420">
            <v>63.21</v>
          </cell>
          <cell r="Q420">
            <v>0.83299999999999996</v>
          </cell>
        </row>
        <row r="421">
          <cell r="K421">
            <v>64.73</v>
          </cell>
          <cell r="Q421">
            <v>0.85299999999999998</v>
          </cell>
        </row>
        <row r="422">
          <cell r="K422">
            <v>63.15</v>
          </cell>
          <cell r="Q422">
            <v>0.83220000000000005</v>
          </cell>
        </row>
        <row r="423">
          <cell r="K423">
            <v>65.319999999999993</v>
          </cell>
          <cell r="Q423">
            <v>0.86080000000000001</v>
          </cell>
        </row>
        <row r="424">
          <cell r="K424">
            <v>66.489999999999995</v>
          </cell>
          <cell r="Q424">
            <v>0.87619999999999998</v>
          </cell>
        </row>
        <row r="425">
          <cell r="K425">
            <v>64.599999999999994</v>
          </cell>
          <cell r="Q425">
            <v>0.85129999999999995</v>
          </cell>
        </row>
        <row r="426">
          <cell r="K426">
            <v>63.54</v>
          </cell>
          <cell r="Q426">
            <v>0.83740000000000003</v>
          </cell>
        </row>
        <row r="427">
          <cell r="K427">
            <v>61.74</v>
          </cell>
          <cell r="Q427">
            <v>0.81359999999999999</v>
          </cell>
        </row>
        <row r="428">
          <cell r="K428">
            <v>61.96</v>
          </cell>
          <cell r="Q428">
            <v>0.8165</v>
          </cell>
        </row>
        <row r="429">
          <cell r="K429">
            <v>64.13</v>
          </cell>
          <cell r="Q429">
            <v>0.84509999999999996</v>
          </cell>
        </row>
        <row r="430">
          <cell r="K430">
            <v>59.89</v>
          </cell>
          <cell r="Q430">
            <v>0.7893</v>
          </cell>
        </row>
        <row r="431">
          <cell r="K431">
            <v>59.6</v>
          </cell>
          <cell r="Q431">
            <v>0.75109999999999999</v>
          </cell>
        </row>
        <row r="432">
          <cell r="K432">
            <v>56.95</v>
          </cell>
          <cell r="Q432">
            <v>0.7177</v>
          </cell>
        </row>
        <row r="433">
          <cell r="K433">
            <v>52.22</v>
          </cell>
          <cell r="Q433">
            <v>0.65810000000000002</v>
          </cell>
        </row>
        <row r="434">
          <cell r="K434">
            <v>51.21</v>
          </cell>
          <cell r="Q434">
            <v>0.64539999999999997</v>
          </cell>
        </row>
        <row r="435">
          <cell r="K435">
            <v>49.2</v>
          </cell>
          <cell r="Q435">
            <v>0.62009999999999998</v>
          </cell>
        </row>
        <row r="436">
          <cell r="K436">
            <v>47.33</v>
          </cell>
          <cell r="Q436">
            <v>0.59650000000000003</v>
          </cell>
        </row>
        <row r="437">
          <cell r="K437">
            <v>47.65</v>
          </cell>
          <cell r="Q437">
            <v>0.60050000000000003</v>
          </cell>
        </row>
        <row r="438">
          <cell r="K438">
            <v>44.8</v>
          </cell>
          <cell r="Q438">
            <v>0.56459999999999999</v>
          </cell>
        </row>
        <row r="439">
          <cell r="K439">
            <v>43.13</v>
          </cell>
          <cell r="Q439">
            <v>0.54359999999999997</v>
          </cell>
        </row>
        <row r="440">
          <cell r="K440">
            <v>49.48</v>
          </cell>
          <cell r="Q440">
            <v>0.62360000000000004</v>
          </cell>
        </row>
        <row r="441">
          <cell r="K441">
            <v>47.49</v>
          </cell>
          <cell r="Q441">
            <v>0.59850000000000003</v>
          </cell>
        </row>
        <row r="442">
          <cell r="K442">
            <v>42.06</v>
          </cell>
          <cell r="Q442">
            <v>0.53010000000000002</v>
          </cell>
        </row>
        <row r="443">
          <cell r="K443">
            <v>42.37</v>
          </cell>
          <cell r="Q443">
            <v>0.53400000000000003</v>
          </cell>
        </row>
        <row r="444">
          <cell r="K444">
            <v>39.32</v>
          </cell>
          <cell r="Q444">
            <v>0.49559999999999998</v>
          </cell>
        </row>
        <row r="445">
          <cell r="K445">
            <v>40.9</v>
          </cell>
          <cell r="Q445">
            <v>0.51549999999999996</v>
          </cell>
        </row>
        <row r="446">
          <cell r="K446">
            <v>38.83</v>
          </cell>
          <cell r="Q446">
            <v>0.4894</v>
          </cell>
        </row>
        <row r="447">
          <cell r="K447">
            <v>36.520000000000003</v>
          </cell>
          <cell r="Q447">
            <v>0.46029999999999999</v>
          </cell>
        </row>
        <row r="448">
          <cell r="K448">
            <v>35.36</v>
          </cell>
          <cell r="Q448">
            <v>0.4456</v>
          </cell>
        </row>
        <row r="449">
          <cell r="K449">
            <v>33.299999999999997</v>
          </cell>
          <cell r="Q449">
            <v>0.41970000000000002</v>
          </cell>
        </row>
        <row r="450">
          <cell r="K450">
            <v>32.78</v>
          </cell>
          <cell r="Q450">
            <v>0.41310000000000002</v>
          </cell>
        </row>
        <row r="451">
          <cell r="K451">
            <v>34.950000000000003</v>
          </cell>
          <cell r="Q451">
            <v>0.4405</v>
          </cell>
        </row>
        <row r="452">
          <cell r="K452">
            <v>36.14</v>
          </cell>
          <cell r="Q452">
            <v>0.45550000000000002</v>
          </cell>
        </row>
        <row r="453">
          <cell r="K453">
            <v>37.369999999999997</v>
          </cell>
          <cell r="Q453">
            <v>0.47099999999999997</v>
          </cell>
        </row>
        <row r="454">
          <cell r="K454">
            <v>38.200000000000003</v>
          </cell>
          <cell r="Q454">
            <v>0.48139999999999999</v>
          </cell>
        </row>
        <row r="455">
          <cell r="K455">
            <v>39.01</v>
          </cell>
          <cell r="Q455">
            <v>0.49159999999999998</v>
          </cell>
        </row>
        <row r="456">
          <cell r="K456">
            <v>42.25</v>
          </cell>
          <cell r="Q456">
            <v>0.53249999999999997</v>
          </cell>
        </row>
        <row r="457">
          <cell r="K457">
            <v>40.4</v>
          </cell>
          <cell r="Q457">
            <v>0.50919999999999999</v>
          </cell>
        </row>
        <row r="458">
          <cell r="K458">
            <v>37.6</v>
          </cell>
          <cell r="Q458">
            <v>0.47389999999999999</v>
          </cell>
        </row>
        <row r="459">
          <cell r="K459">
            <v>38.450000000000003</v>
          </cell>
          <cell r="Q459">
            <v>0.48459999999999998</v>
          </cell>
        </row>
        <row r="460">
          <cell r="K460">
            <v>37.409999999999997</v>
          </cell>
          <cell r="Q460">
            <v>0.47149999999999997</v>
          </cell>
        </row>
        <row r="461">
          <cell r="K461">
            <v>36.869999999999997</v>
          </cell>
          <cell r="Q461">
            <v>0.4647</v>
          </cell>
        </row>
        <row r="462">
          <cell r="K462">
            <v>35.08</v>
          </cell>
          <cell r="Q462">
            <v>0.44209999999999999</v>
          </cell>
        </row>
        <row r="463">
          <cell r="K463">
            <v>39.409999999999997</v>
          </cell>
          <cell r="Q463">
            <v>0.49669999999999997</v>
          </cell>
        </row>
        <row r="464">
          <cell r="K464">
            <v>36.96</v>
          </cell>
          <cell r="Q464">
            <v>0.46579999999999999</v>
          </cell>
        </row>
        <row r="465">
          <cell r="K465">
            <v>35.700000000000003</v>
          </cell>
          <cell r="Q465">
            <v>0.44990000000000002</v>
          </cell>
        </row>
        <row r="466">
          <cell r="K466">
            <v>36.19</v>
          </cell>
          <cell r="Q466">
            <v>0.45610000000000001</v>
          </cell>
        </row>
        <row r="467">
          <cell r="K467">
            <v>33.869999999999997</v>
          </cell>
          <cell r="Q467">
            <v>0.4269</v>
          </cell>
        </row>
        <row r="468">
          <cell r="K468">
            <v>32.840000000000003</v>
          </cell>
          <cell r="Q468">
            <v>0.41389999999999999</v>
          </cell>
        </row>
        <row r="469">
          <cell r="K469">
            <v>34.67</v>
          </cell>
          <cell r="Q469">
            <v>0.437</v>
          </cell>
        </row>
        <row r="470">
          <cell r="K470">
            <v>36.340000000000003</v>
          </cell>
          <cell r="Q470">
            <v>0.45800000000000002</v>
          </cell>
        </row>
        <row r="471">
          <cell r="K471">
            <v>37.270000000000003</v>
          </cell>
          <cell r="Q471">
            <v>0.46970000000000001</v>
          </cell>
        </row>
        <row r="472">
          <cell r="K472">
            <v>39.33</v>
          </cell>
          <cell r="Q472">
            <v>0.49569999999999997</v>
          </cell>
        </row>
        <row r="473">
          <cell r="K473">
            <v>40.99</v>
          </cell>
          <cell r="Q473">
            <v>0.51659999999999995</v>
          </cell>
        </row>
        <row r="474">
          <cell r="K474">
            <v>36.58</v>
          </cell>
          <cell r="Q474">
            <v>0.46100000000000002</v>
          </cell>
        </row>
        <row r="475">
          <cell r="K475">
            <v>38</v>
          </cell>
          <cell r="Q475">
            <v>0.47889999999999999</v>
          </cell>
        </row>
        <row r="476">
          <cell r="K476">
            <v>39.65</v>
          </cell>
          <cell r="Q476">
            <v>0.49969999999999998</v>
          </cell>
        </row>
        <row r="477">
          <cell r="K477">
            <v>37.520000000000003</v>
          </cell>
          <cell r="Q477">
            <v>0.47289999999999999</v>
          </cell>
        </row>
        <row r="478">
          <cell r="K478">
            <v>38.26</v>
          </cell>
          <cell r="Q478">
            <v>0.48220000000000002</v>
          </cell>
        </row>
        <row r="479">
          <cell r="K479">
            <v>42.42</v>
          </cell>
          <cell r="Q479">
            <v>0.53459999999999996</v>
          </cell>
        </row>
        <row r="480">
          <cell r="K480">
            <v>42.38</v>
          </cell>
          <cell r="Q480">
            <v>0.53410000000000002</v>
          </cell>
        </row>
        <row r="481">
          <cell r="K481">
            <v>43.67</v>
          </cell>
          <cell r="Q481">
            <v>0.5504</v>
          </cell>
        </row>
        <row r="482">
          <cell r="K482">
            <v>42.2</v>
          </cell>
          <cell r="Q482">
            <v>0.53190000000000004</v>
          </cell>
        </row>
        <row r="483">
          <cell r="K483">
            <v>42.08</v>
          </cell>
          <cell r="Q483">
            <v>0.53029999999999999</v>
          </cell>
        </row>
        <row r="484">
          <cell r="K484">
            <v>42.21</v>
          </cell>
          <cell r="Q484">
            <v>0.53200000000000003</v>
          </cell>
        </row>
        <row r="485">
          <cell r="K485">
            <v>43.8</v>
          </cell>
          <cell r="Q485">
            <v>0.55200000000000005</v>
          </cell>
        </row>
        <row r="486">
          <cell r="K486">
            <v>44.65</v>
          </cell>
          <cell r="Q486">
            <v>0.56269999999999998</v>
          </cell>
        </row>
        <row r="487">
          <cell r="K487">
            <v>42.16</v>
          </cell>
          <cell r="Q487">
            <v>0.53129999999999999</v>
          </cell>
        </row>
        <row r="488">
          <cell r="K488">
            <v>42.69</v>
          </cell>
          <cell r="Q488">
            <v>0.53800000000000003</v>
          </cell>
        </row>
        <row r="489">
          <cell r="K489">
            <v>41.78</v>
          </cell>
          <cell r="Q489">
            <v>0.52659999999999996</v>
          </cell>
        </row>
        <row r="490">
          <cell r="K490">
            <v>41.13</v>
          </cell>
          <cell r="Q490">
            <v>0.51839999999999997</v>
          </cell>
        </row>
        <row r="491">
          <cell r="K491">
            <v>41.91</v>
          </cell>
          <cell r="Q491">
            <v>0.5282</v>
          </cell>
        </row>
        <row r="492">
          <cell r="K492">
            <v>42.72</v>
          </cell>
          <cell r="Q492">
            <v>0.53839999999999999</v>
          </cell>
        </row>
        <row r="493">
          <cell r="K493">
            <v>42.34</v>
          </cell>
          <cell r="Q493">
            <v>0.53359999999999996</v>
          </cell>
        </row>
        <row r="494">
          <cell r="K494">
            <v>43.66</v>
          </cell>
          <cell r="Q494">
            <v>0.55030000000000001</v>
          </cell>
        </row>
        <row r="495">
          <cell r="K495">
            <v>44.67</v>
          </cell>
          <cell r="Q495">
            <v>0.54620000000000002</v>
          </cell>
        </row>
        <row r="496">
          <cell r="K496">
            <v>46.91</v>
          </cell>
          <cell r="Q496">
            <v>0.5736</v>
          </cell>
        </row>
        <row r="497">
          <cell r="K497">
            <v>46.08</v>
          </cell>
          <cell r="Q497">
            <v>0.56340000000000001</v>
          </cell>
        </row>
        <row r="498">
          <cell r="K498">
            <v>45.8</v>
          </cell>
          <cell r="Q498">
            <v>0.56000000000000005</v>
          </cell>
        </row>
        <row r="499">
          <cell r="K499">
            <v>43.67</v>
          </cell>
          <cell r="Q499">
            <v>0.53400000000000003</v>
          </cell>
        </row>
        <row r="500">
          <cell r="K500">
            <v>44.02</v>
          </cell>
          <cell r="Q500">
            <v>0.53820000000000001</v>
          </cell>
        </row>
        <row r="501">
          <cell r="K501">
            <v>43.2</v>
          </cell>
          <cell r="Q501">
            <v>0.5282</v>
          </cell>
        </row>
        <row r="502">
          <cell r="K502">
            <v>41.19</v>
          </cell>
          <cell r="Q502">
            <v>0.50360000000000005</v>
          </cell>
        </row>
        <row r="503">
          <cell r="K503">
            <v>41.4</v>
          </cell>
          <cell r="Q503">
            <v>0.50619999999999998</v>
          </cell>
        </row>
        <row r="504">
          <cell r="K504">
            <v>39.35</v>
          </cell>
          <cell r="Q504">
            <v>0.48110000000000003</v>
          </cell>
        </row>
        <row r="505">
          <cell r="K505">
            <v>39.39</v>
          </cell>
          <cell r="Q505">
            <v>0.48159999999999997</v>
          </cell>
        </row>
        <row r="506">
          <cell r="K506">
            <v>39.549999999999997</v>
          </cell>
          <cell r="Q506">
            <v>0.48359999999999997</v>
          </cell>
        </row>
        <row r="507">
          <cell r="K507">
            <v>38.32</v>
          </cell>
          <cell r="Q507">
            <v>0.46850000000000003</v>
          </cell>
        </row>
        <row r="508">
          <cell r="K508">
            <v>39.549999999999997</v>
          </cell>
          <cell r="Q508">
            <v>0.48359999999999997</v>
          </cell>
        </row>
        <row r="509">
          <cell r="K509">
            <v>37.229999999999997</v>
          </cell>
          <cell r="Q509">
            <v>0.45519999999999999</v>
          </cell>
        </row>
        <row r="510">
          <cell r="K510">
            <v>35.659999999999997</v>
          </cell>
          <cell r="Q510">
            <v>0.436</v>
          </cell>
        </row>
        <row r="511">
          <cell r="K511">
            <v>32.67</v>
          </cell>
          <cell r="Q511">
            <v>0.39950000000000002</v>
          </cell>
        </row>
        <row r="512">
          <cell r="K512">
            <v>32.32</v>
          </cell>
          <cell r="Q512">
            <v>0.3952</v>
          </cell>
        </row>
        <row r="513">
          <cell r="K513">
            <v>33</v>
          </cell>
          <cell r="Q513">
            <v>0.40350000000000003</v>
          </cell>
        </row>
        <row r="514">
          <cell r="K514">
            <v>31.85</v>
          </cell>
          <cell r="Q514">
            <v>0.38940000000000002</v>
          </cell>
        </row>
        <row r="515">
          <cell r="K515">
            <v>30.85</v>
          </cell>
          <cell r="Q515">
            <v>0.37719999999999998</v>
          </cell>
        </row>
        <row r="516">
          <cell r="K516">
            <v>30.29</v>
          </cell>
          <cell r="Q516">
            <v>0.37040000000000001</v>
          </cell>
        </row>
        <row r="517">
          <cell r="K517">
            <v>29.99</v>
          </cell>
          <cell r="Q517">
            <v>0.36670000000000003</v>
          </cell>
        </row>
        <row r="518">
          <cell r="K518">
            <v>30.6</v>
          </cell>
          <cell r="Q518">
            <v>0.37419999999999998</v>
          </cell>
        </row>
        <row r="519">
          <cell r="K519">
            <v>31.61</v>
          </cell>
          <cell r="Q519">
            <v>0.38650000000000001</v>
          </cell>
        </row>
        <row r="520">
          <cell r="K520">
            <v>33.28</v>
          </cell>
          <cell r="Q520">
            <v>0.40689999999999998</v>
          </cell>
        </row>
        <row r="521">
          <cell r="K521">
            <v>32.72</v>
          </cell>
          <cell r="Q521">
            <v>0.40010000000000001</v>
          </cell>
        </row>
        <row r="522">
          <cell r="K522">
            <v>30.92</v>
          </cell>
          <cell r="Q522">
            <v>0.37809999999999999</v>
          </cell>
        </row>
        <row r="523">
          <cell r="K523">
            <v>31.13</v>
          </cell>
          <cell r="Q523">
            <v>0.38059999999999999</v>
          </cell>
        </row>
        <row r="524">
          <cell r="K524">
            <v>31.02</v>
          </cell>
          <cell r="Q524">
            <v>0.37930000000000003</v>
          </cell>
        </row>
        <row r="525">
          <cell r="K525">
            <v>30.94</v>
          </cell>
          <cell r="Q525">
            <v>0.37830000000000003</v>
          </cell>
        </row>
        <row r="526">
          <cell r="K526">
            <v>28.98</v>
          </cell>
          <cell r="Q526">
            <v>0.3543</v>
          </cell>
        </row>
        <row r="527">
          <cell r="K527">
            <v>28.44</v>
          </cell>
          <cell r="Q527">
            <v>0.34770000000000001</v>
          </cell>
        </row>
        <row r="528">
          <cell r="K528">
            <v>27.02</v>
          </cell>
          <cell r="Q528">
            <v>0.33040000000000003</v>
          </cell>
        </row>
        <row r="529">
          <cell r="K529">
            <v>26.66</v>
          </cell>
          <cell r="Q529">
            <v>0.32600000000000001</v>
          </cell>
        </row>
        <row r="530">
          <cell r="K530">
            <v>25.12</v>
          </cell>
          <cell r="Q530">
            <v>0.30709999999999998</v>
          </cell>
        </row>
        <row r="531">
          <cell r="K531">
            <v>26.04</v>
          </cell>
          <cell r="Q531">
            <v>0.31840000000000002</v>
          </cell>
        </row>
        <row r="532">
          <cell r="K532">
            <v>25.03</v>
          </cell>
          <cell r="Q532">
            <v>0.30599999999999999</v>
          </cell>
        </row>
        <row r="533">
          <cell r="K533">
            <v>24.23</v>
          </cell>
          <cell r="Q533">
            <v>0.29630000000000001</v>
          </cell>
        </row>
        <row r="534">
          <cell r="K534">
            <v>24.61</v>
          </cell>
          <cell r="Q534">
            <v>0.3009</v>
          </cell>
        </row>
        <row r="535">
          <cell r="K535">
            <v>22.17</v>
          </cell>
          <cell r="Q535">
            <v>0.27110000000000001</v>
          </cell>
        </row>
        <row r="536">
          <cell r="K536">
            <v>22.47</v>
          </cell>
          <cell r="Q536">
            <v>0.2747</v>
          </cell>
        </row>
        <row r="537">
          <cell r="K537">
            <v>25.44</v>
          </cell>
          <cell r="Q537">
            <v>0.31109999999999999</v>
          </cell>
        </row>
        <row r="538">
          <cell r="K538">
            <v>23.49</v>
          </cell>
          <cell r="Q538">
            <v>0.28720000000000001</v>
          </cell>
        </row>
        <row r="539">
          <cell r="K539">
            <v>23.23</v>
          </cell>
          <cell r="Q539">
            <v>0.28399999999999997</v>
          </cell>
        </row>
        <row r="540">
          <cell r="K540">
            <v>23.92</v>
          </cell>
          <cell r="Q540">
            <v>0.29249999999999998</v>
          </cell>
        </row>
        <row r="541">
          <cell r="K541">
            <v>26.51</v>
          </cell>
          <cell r="Q541">
            <v>0.3241</v>
          </cell>
        </row>
        <row r="542">
          <cell r="K542">
            <v>26.31</v>
          </cell>
          <cell r="Q542">
            <v>0.32169999999999999</v>
          </cell>
        </row>
        <row r="543">
          <cell r="K543">
            <v>27.02</v>
          </cell>
          <cell r="Q543">
            <v>0.33040000000000003</v>
          </cell>
        </row>
        <row r="544">
          <cell r="K544">
            <v>26.78</v>
          </cell>
          <cell r="Q544">
            <v>0.32740000000000002</v>
          </cell>
        </row>
        <row r="545">
          <cell r="K545">
            <v>26.42</v>
          </cell>
          <cell r="Q545">
            <v>0.32300000000000001</v>
          </cell>
        </row>
        <row r="546">
          <cell r="K546">
            <v>26.83</v>
          </cell>
          <cell r="Q546">
            <v>0.3281</v>
          </cell>
        </row>
        <row r="547">
          <cell r="K547">
            <v>27.47</v>
          </cell>
          <cell r="Q547">
            <v>0.33589999999999998</v>
          </cell>
        </row>
        <row r="548">
          <cell r="K548">
            <v>28.41</v>
          </cell>
          <cell r="Q548">
            <v>0.34739999999999999</v>
          </cell>
        </row>
        <row r="549">
          <cell r="K549">
            <v>27.07</v>
          </cell>
          <cell r="Q549">
            <v>0.33100000000000002</v>
          </cell>
        </row>
        <row r="550">
          <cell r="K550">
            <v>29.63</v>
          </cell>
          <cell r="Q550">
            <v>0.36230000000000001</v>
          </cell>
        </row>
        <row r="551">
          <cell r="K551">
            <v>29.4</v>
          </cell>
          <cell r="Q551">
            <v>0.35949999999999999</v>
          </cell>
        </row>
        <row r="552">
          <cell r="K552">
            <v>28.91</v>
          </cell>
          <cell r="Q552">
            <v>0.35349999999999998</v>
          </cell>
        </row>
        <row r="553">
          <cell r="K553">
            <v>30.78</v>
          </cell>
          <cell r="Q553">
            <v>0.37640000000000001</v>
          </cell>
        </row>
        <row r="554">
          <cell r="K554">
            <v>30.35</v>
          </cell>
          <cell r="Q554">
            <v>0.37109999999999999</v>
          </cell>
        </row>
        <row r="555">
          <cell r="K555">
            <v>27.53</v>
          </cell>
          <cell r="Q555">
            <v>0.33660000000000001</v>
          </cell>
        </row>
        <row r="556">
          <cell r="K556">
            <v>27.96</v>
          </cell>
          <cell r="Q556">
            <v>0.3548</v>
          </cell>
        </row>
        <row r="557">
          <cell r="K557">
            <v>28.99</v>
          </cell>
          <cell r="Q557">
            <v>0.36780000000000002</v>
          </cell>
        </row>
        <row r="558">
          <cell r="K558">
            <v>31.54</v>
          </cell>
          <cell r="Q558">
            <v>0.4002</v>
          </cell>
        </row>
        <row r="559">
          <cell r="K559">
            <v>32.15</v>
          </cell>
          <cell r="Q559">
            <v>0.40789999999999998</v>
          </cell>
        </row>
        <row r="560">
          <cell r="K560">
            <v>31.31</v>
          </cell>
          <cell r="Q560">
            <v>0.39729999999999999</v>
          </cell>
        </row>
        <row r="561">
          <cell r="K561">
            <v>29.45</v>
          </cell>
          <cell r="Q561">
            <v>0.37369999999999998</v>
          </cell>
        </row>
        <row r="562">
          <cell r="K562">
            <v>29.57</v>
          </cell>
          <cell r="Q562">
            <v>0.37519999999999998</v>
          </cell>
        </row>
        <row r="563">
          <cell r="K563">
            <v>32.520000000000003</v>
          </cell>
          <cell r="Q563">
            <v>0.41260000000000002</v>
          </cell>
        </row>
        <row r="564">
          <cell r="K564">
            <v>33.159999999999997</v>
          </cell>
          <cell r="Q564">
            <v>0.42070000000000002</v>
          </cell>
        </row>
        <row r="565">
          <cell r="K565">
            <v>32.700000000000003</v>
          </cell>
          <cell r="Q565">
            <v>0.41489999999999999</v>
          </cell>
        </row>
        <row r="566">
          <cell r="K566">
            <v>33.020000000000003</v>
          </cell>
          <cell r="Q566">
            <v>0.41899999999999998</v>
          </cell>
        </row>
        <row r="567">
          <cell r="K567">
            <v>32.71</v>
          </cell>
          <cell r="Q567">
            <v>0.41499999999999998</v>
          </cell>
        </row>
        <row r="568">
          <cell r="K568">
            <v>32.29</v>
          </cell>
          <cell r="Q568">
            <v>0.40970000000000001</v>
          </cell>
        </row>
        <row r="569">
          <cell r="K569">
            <v>30.48</v>
          </cell>
          <cell r="Q569">
            <v>0.38669999999999999</v>
          </cell>
        </row>
        <row r="570">
          <cell r="K570">
            <v>31.39</v>
          </cell>
          <cell r="Q570">
            <v>0.39829999999999999</v>
          </cell>
        </row>
        <row r="571">
          <cell r="K571">
            <v>32.450000000000003</v>
          </cell>
          <cell r="Q571">
            <v>0.41170000000000001</v>
          </cell>
        </row>
        <row r="572">
          <cell r="K572">
            <v>32.450000000000003</v>
          </cell>
          <cell r="Q572">
            <v>0.41170000000000001</v>
          </cell>
        </row>
        <row r="573">
          <cell r="K573">
            <v>33.630000000000003</v>
          </cell>
          <cell r="Q573">
            <v>0.42670000000000002</v>
          </cell>
        </row>
        <row r="574">
          <cell r="K574">
            <v>33.39</v>
          </cell>
          <cell r="Q574">
            <v>0.42370000000000002</v>
          </cell>
        </row>
        <row r="575">
          <cell r="K575">
            <v>32.78</v>
          </cell>
          <cell r="Q575">
            <v>0.41589999999999999</v>
          </cell>
        </row>
        <row r="576">
          <cell r="K576">
            <v>33.69</v>
          </cell>
          <cell r="Q576">
            <v>0.42749999999999999</v>
          </cell>
        </row>
        <row r="577">
          <cell r="K577">
            <v>35.58</v>
          </cell>
          <cell r="Q577">
            <v>0.45150000000000001</v>
          </cell>
        </row>
        <row r="578">
          <cell r="K578">
            <v>37.26</v>
          </cell>
          <cell r="Q578">
            <v>0.4728</v>
          </cell>
        </row>
        <row r="579">
          <cell r="K579">
            <v>38.479999999999997</v>
          </cell>
          <cell r="Q579">
            <v>0.48830000000000001</v>
          </cell>
        </row>
        <row r="580">
          <cell r="K580">
            <v>39.409999999999997</v>
          </cell>
          <cell r="Q580">
            <v>0.50009999999999999</v>
          </cell>
        </row>
        <row r="581">
          <cell r="K581">
            <v>40</v>
          </cell>
          <cell r="Q581">
            <v>0.50749999999999995</v>
          </cell>
        </row>
        <row r="582">
          <cell r="K582">
            <v>37.92</v>
          </cell>
          <cell r="Q582">
            <v>0.48110000000000003</v>
          </cell>
        </row>
        <row r="583">
          <cell r="K583">
            <v>39.64</v>
          </cell>
          <cell r="Q583">
            <v>0.503</v>
          </cell>
        </row>
        <row r="584">
          <cell r="K584">
            <v>38.43</v>
          </cell>
          <cell r="Q584">
            <v>0.48759999999999998</v>
          </cell>
        </row>
        <row r="585">
          <cell r="K585">
            <v>38.06</v>
          </cell>
          <cell r="Q585">
            <v>0.4829</v>
          </cell>
        </row>
        <row r="586">
          <cell r="K586">
            <v>36.08</v>
          </cell>
          <cell r="Q586">
            <v>0.45779999999999998</v>
          </cell>
        </row>
        <row r="587">
          <cell r="K587">
            <v>36.07</v>
          </cell>
          <cell r="Q587">
            <v>0.4577</v>
          </cell>
        </row>
        <row r="588">
          <cell r="K588">
            <v>35.74</v>
          </cell>
          <cell r="Q588">
            <v>0.45350000000000001</v>
          </cell>
        </row>
        <row r="589">
          <cell r="K589">
            <v>37.78</v>
          </cell>
          <cell r="Q589">
            <v>0.47939999999999999</v>
          </cell>
        </row>
        <row r="590">
          <cell r="K590">
            <v>37.67</v>
          </cell>
          <cell r="Q590">
            <v>0.47799999999999998</v>
          </cell>
        </row>
        <row r="591">
          <cell r="K591">
            <v>37.299999999999997</v>
          </cell>
          <cell r="Q591">
            <v>0.4733</v>
          </cell>
        </row>
        <row r="592">
          <cell r="K592">
            <v>35.54</v>
          </cell>
          <cell r="Q592">
            <v>0.45090000000000002</v>
          </cell>
        </row>
        <row r="593">
          <cell r="K593">
            <v>34.31</v>
          </cell>
          <cell r="Q593">
            <v>0.43530000000000002</v>
          </cell>
        </row>
        <row r="594">
          <cell r="K594">
            <v>35</v>
          </cell>
          <cell r="Q594">
            <v>0.44409999999999999</v>
          </cell>
        </row>
        <row r="595">
          <cell r="K595">
            <v>35.049999999999997</v>
          </cell>
          <cell r="Q595">
            <v>0.44469999999999998</v>
          </cell>
        </row>
        <row r="596">
          <cell r="K596">
            <v>34.590000000000003</v>
          </cell>
          <cell r="Q596">
            <v>0.43890000000000001</v>
          </cell>
        </row>
        <row r="597">
          <cell r="K597">
            <v>35.46</v>
          </cell>
          <cell r="Q597">
            <v>0.44990000000000002</v>
          </cell>
        </row>
        <row r="598">
          <cell r="K598">
            <v>37.549999999999997</v>
          </cell>
          <cell r="Q598">
            <v>0.47649999999999998</v>
          </cell>
        </row>
        <row r="599">
          <cell r="K599">
            <v>37.450000000000003</v>
          </cell>
          <cell r="Q599">
            <v>0.47520000000000001</v>
          </cell>
        </row>
        <row r="600">
          <cell r="K600">
            <v>36.659999999999997</v>
          </cell>
          <cell r="Q600">
            <v>0.4652</v>
          </cell>
        </row>
        <row r="601">
          <cell r="K601">
            <v>38.020000000000003</v>
          </cell>
          <cell r="Q601">
            <v>0.4824</v>
          </cell>
        </row>
        <row r="602">
          <cell r="K602">
            <v>38.47</v>
          </cell>
          <cell r="Q602">
            <v>0.48809999999999998</v>
          </cell>
        </row>
        <row r="603">
          <cell r="K603">
            <v>38.57</v>
          </cell>
          <cell r="Q603">
            <v>0.4894</v>
          </cell>
        </row>
        <row r="604">
          <cell r="K604">
            <v>38.24</v>
          </cell>
          <cell r="Q604">
            <v>0.48520000000000002</v>
          </cell>
        </row>
        <row r="605">
          <cell r="K605">
            <v>37.619999999999997</v>
          </cell>
          <cell r="Q605">
            <v>0.4773</v>
          </cell>
        </row>
        <row r="606">
          <cell r="K606">
            <v>37.61</v>
          </cell>
          <cell r="Q606">
            <v>0.47720000000000001</v>
          </cell>
        </row>
        <row r="607">
          <cell r="K607">
            <v>37.729999999999997</v>
          </cell>
          <cell r="Q607">
            <v>0.47870000000000001</v>
          </cell>
        </row>
        <row r="608">
          <cell r="K608">
            <v>36.119999999999997</v>
          </cell>
          <cell r="Q608">
            <v>0.45829999999999999</v>
          </cell>
        </row>
        <row r="609">
          <cell r="K609">
            <v>35.56</v>
          </cell>
          <cell r="Q609">
            <v>0.45119999999999999</v>
          </cell>
        </row>
        <row r="610">
          <cell r="K610">
            <v>34.799999999999997</v>
          </cell>
          <cell r="Q610">
            <v>0.44159999999999999</v>
          </cell>
        </row>
        <row r="611">
          <cell r="K611">
            <v>34.08</v>
          </cell>
          <cell r="Q611">
            <v>0.43240000000000001</v>
          </cell>
        </row>
        <row r="612">
          <cell r="K612">
            <v>33.65</v>
          </cell>
          <cell r="Q612">
            <v>0.42699999999999999</v>
          </cell>
        </row>
        <row r="613">
          <cell r="K613">
            <v>32.36</v>
          </cell>
          <cell r="Q613">
            <v>0.41060000000000002</v>
          </cell>
        </row>
        <row r="614">
          <cell r="K614">
            <v>33</v>
          </cell>
          <cell r="Q614">
            <v>0.41870000000000002</v>
          </cell>
        </row>
        <row r="615">
          <cell r="K615">
            <v>33.4</v>
          </cell>
          <cell r="Q615">
            <v>0.42380000000000001</v>
          </cell>
        </row>
        <row r="616">
          <cell r="K616">
            <v>34.49</v>
          </cell>
          <cell r="Q616">
            <v>0.43759999999999999</v>
          </cell>
        </row>
        <row r="617">
          <cell r="K617">
            <v>34.56</v>
          </cell>
          <cell r="Q617">
            <v>0.4385</v>
          </cell>
        </row>
        <row r="618">
          <cell r="K618">
            <v>34.74</v>
          </cell>
          <cell r="Q618">
            <v>0.44080000000000003</v>
          </cell>
        </row>
        <row r="619">
          <cell r="K619">
            <v>33.04</v>
          </cell>
          <cell r="Q619">
            <v>0.47120000000000001</v>
          </cell>
        </row>
        <row r="620">
          <cell r="K620">
            <v>33.19</v>
          </cell>
          <cell r="Q620">
            <v>0.4733</v>
          </cell>
        </row>
        <row r="621">
          <cell r="K621">
            <v>31.74</v>
          </cell>
          <cell r="Q621">
            <v>0.4526</v>
          </cell>
        </row>
        <row r="622">
          <cell r="K622">
            <v>31.7</v>
          </cell>
          <cell r="Q622">
            <v>0.4521</v>
          </cell>
        </row>
        <row r="623">
          <cell r="K623">
            <v>30.29</v>
          </cell>
          <cell r="Q623">
            <v>0.43190000000000001</v>
          </cell>
        </row>
        <row r="624">
          <cell r="K624">
            <v>30.58</v>
          </cell>
          <cell r="Q624">
            <v>0.43609999999999999</v>
          </cell>
        </row>
        <row r="625">
          <cell r="K625">
            <v>30.65</v>
          </cell>
          <cell r="Q625">
            <v>0.43709999999999999</v>
          </cell>
        </row>
        <row r="626">
          <cell r="K626">
            <v>30.53</v>
          </cell>
          <cell r="Q626">
            <v>0.43540000000000001</v>
          </cell>
        </row>
        <row r="627">
          <cell r="K627">
            <v>31.8</v>
          </cell>
          <cell r="Q627">
            <v>0.45350000000000001</v>
          </cell>
        </row>
        <row r="628">
          <cell r="K628">
            <v>31.93</v>
          </cell>
          <cell r="Q628">
            <v>0.45529999999999998</v>
          </cell>
        </row>
        <row r="629">
          <cell r="K629">
            <v>33.840000000000003</v>
          </cell>
          <cell r="Q629">
            <v>0.48259999999999997</v>
          </cell>
        </row>
        <row r="630">
          <cell r="K630">
            <v>34.15</v>
          </cell>
          <cell r="Q630">
            <v>0.48699999999999999</v>
          </cell>
        </row>
        <row r="631">
          <cell r="K631">
            <v>33.99</v>
          </cell>
          <cell r="Q631">
            <v>0.48470000000000002</v>
          </cell>
        </row>
        <row r="632">
          <cell r="K632">
            <v>36.65</v>
          </cell>
          <cell r="Q632">
            <v>0.52259999999999995</v>
          </cell>
        </row>
        <row r="633">
          <cell r="K633">
            <v>39.46</v>
          </cell>
          <cell r="Q633">
            <v>0.56269999999999998</v>
          </cell>
        </row>
        <row r="634">
          <cell r="K634">
            <v>38.659999999999997</v>
          </cell>
          <cell r="Q634">
            <v>0.55130000000000001</v>
          </cell>
        </row>
        <row r="635">
          <cell r="K635">
            <v>41.26</v>
          </cell>
          <cell r="Q635">
            <v>0.58840000000000003</v>
          </cell>
        </row>
        <row r="636">
          <cell r="K636">
            <v>42</v>
          </cell>
          <cell r="Q636">
            <v>0.59889999999999999</v>
          </cell>
        </row>
        <row r="637">
          <cell r="K637">
            <v>42.86</v>
          </cell>
          <cell r="Q637">
            <v>0.61119999999999997</v>
          </cell>
        </row>
        <row r="638">
          <cell r="K638">
            <v>42.9</v>
          </cell>
          <cell r="Q638">
            <v>0.61180000000000001</v>
          </cell>
        </row>
        <row r="639">
          <cell r="K639">
            <v>41.83</v>
          </cell>
          <cell r="Q639">
            <v>0.59650000000000003</v>
          </cell>
        </row>
        <row r="640">
          <cell r="K640">
            <v>43.41</v>
          </cell>
          <cell r="Q640">
            <v>0.61899999999999999</v>
          </cell>
        </row>
        <row r="641">
          <cell r="K641">
            <v>44.06</v>
          </cell>
          <cell r="Q641">
            <v>0.62829999999999997</v>
          </cell>
        </row>
        <row r="642">
          <cell r="K642">
            <v>45.12</v>
          </cell>
          <cell r="Q642">
            <v>0.64339999999999997</v>
          </cell>
        </row>
        <row r="643">
          <cell r="K643">
            <v>47.89</v>
          </cell>
          <cell r="Q643">
            <v>0.68289999999999995</v>
          </cell>
        </row>
        <row r="644">
          <cell r="K644">
            <v>46.64</v>
          </cell>
          <cell r="Q644">
            <v>0.66510000000000002</v>
          </cell>
        </row>
        <row r="645">
          <cell r="K645">
            <v>47.14</v>
          </cell>
          <cell r="Q645">
            <v>0.67220000000000002</v>
          </cell>
        </row>
        <row r="646">
          <cell r="K646">
            <v>47.78</v>
          </cell>
          <cell r="Q646">
            <v>0.68140000000000001</v>
          </cell>
        </row>
        <row r="647">
          <cell r="K647">
            <v>47.15</v>
          </cell>
          <cell r="Q647">
            <v>0.6724</v>
          </cell>
        </row>
        <row r="648">
          <cell r="K648">
            <v>46.28</v>
          </cell>
          <cell r="Q648">
            <v>0.66</v>
          </cell>
        </row>
        <row r="649">
          <cell r="K649">
            <v>47.58</v>
          </cell>
          <cell r="Q649">
            <v>0.67849999999999999</v>
          </cell>
        </row>
        <row r="650">
          <cell r="K650">
            <v>47.17</v>
          </cell>
          <cell r="Q650">
            <v>0.67269999999999996</v>
          </cell>
        </row>
        <row r="651">
          <cell r="K651">
            <v>46</v>
          </cell>
          <cell r="Q651">
            <v>0.65600000000000003</v>
          </cell>
        </row>
        <row r="652">
          <cell r="K652">
            <v>43.95</v>
          </cell>
          <cell r="Q652">
            <v>0.62670000000000003</v>
          </cell>
        </row>
        <row r="653">
          <cell r="K653">
            <v>45.11</v>
          </cell>
          <cell r="Q653">
            <v>0.64329999999999998</v>
          </cell>
        </row>
        <row r="654">
          <cell r="K654">
            <v>45.17</v>
          </cell>
          <cell r="Q654">
            <v>0.64410000000000001</v>
          </cell>
        </row>
        <row r="655">
          <cell r="K655">
            <v>45.5</v>
          </cell>
          <cell r="Q655">
            <v>0.64880000000000004</v>
          </cell>
        </row>
        <row r="656">
          <cell r="K656">
            <v>47.3</v>
          </cell>
          <cell r="Q656">
            <v>0.67449999999999999</v>
          </cell>
        </row>
        <row r="657">
          <cell r="K657">
            <v>47.56</v>
          </cell>
          <cell r="Q657">
            <v>0.67820000000000003</v>
          </cell>
        </row>
        <row r="658">
          <cell r="K658">
            <v>47.83</v>
          </cell>
          <cell r="Q658">
            <v>0.68210000000000004</v>
          </cell>
        </row>
        <row r="659">
          <cell r="K659">
            <v>47.25</v>
          </cell>
          <cell r="Q659">
            <v>0.67379999999999995</v>
          </cell>
        </row>
        <row r="660">
          <cell r="K660">
            <v>47.08</v>
          </cell>
          <cell r="Q660">
            <v>0.6714</v>
          </cell>
        </row>
        <row r="661">
          <cell r="K661">
            <v>46.71</v>
          </cell>
          <cell r="Q661">
            <v>0.66610000000000003</v>
          </cell>
        </row>
        <row r="662">
          <cell r="K662">
            <v>45.31</v>
          </cell>
          <cell r="Q662">
            <v>0.64610000000000001</v>
          </cell>
        </row>
        <row r="663">
          <cell r="K663">
            <v>43.84</v>
          </cell>
          <cell r="Q663">
            <v>0.62519999999999998</v>
          </cell>
        </row>
        <row r="664">
          <cell r="K664">
            <v>43.51</v>
          </cell>
          <cell r="Q664">
            <v>0.62050000000000005</v>
          </cell>
        </row>
        <row r="665">
          <cell r="K665">
            <v>45.04</v>
          </cell>
          <cell r="Q665">
            <v>0.64229999999999998</v>
          </cell>
        </row>
        <row r="666">
          <cell r="K666">
            <v>46.11</v>
          </cell>
          <cell r="Q666">
            <v>0.65749999999999997</v>
          </cell>
        </row>
        <row r="667">
          <cell r="K667">
            <v>46.97</v>
          </cell>
          <cell r="Q667">
            <v>0.66979999999999995</v>
          </cell>
        </row>
        <row r="668">
          <cell r="K668">
            <v>48.41</v>
          </cell>
          <cell r="Q668">
            <v>0.69030000000000002</v>
          </cell>
        </row>
        <row r="669">
          <cell r="K669">
            <v>48.69</v>
          </cell>
          <cell r="Q669">
            <v>0.69430000000000003</v>
          </cell>
        </row>
        <row r="670">
          <cell r="K670">
            <v>48.53</v>
          </cell>
          <cell r="Q670">
            <v>0.69210000000000005</v>
          </cell>
        </row>
        <row r="671">
          <cell r="K671">
            <v>48.77</v>
          </cell>
          <cell r="Q671">
            <v>0.69550000000000001</v>
          </cell>
        </row>
        <row r="672">
          <cell r="K672">
            <v>51.7</v>
          </cell>
          <cell r="Q672">
            <v>0.73729999999999996</v>
          </cell>
        </row>
        <row r="673">
          <cell r="K673">
            <v>52.62</v>
          </cell>
          <cell r="Q673">
            <v>0.75039999999999996</v>
          </cell>
        </row>
        <row r="674">
          <cell r="K674">
            <v>53.89</v>
          </cell>
          <cell r="Q674">
            <v>0.76849999999999996</v>
          </cell>
        </row>
        <row r="675">
          <cell r="K675">
            <v>53.42</v>
          </cell>
          <cell r="Q675">
            <v>0.76180000000000003</v>
          </cell>
        </row>
        <row r="676">
          <cell r="K676">
            <v>52.46</v>
          </cell>
          <cell r="Q676">
            <v>0.74809999999999999</v>
          </cell>
        </row>
        <row r="677">
          <cell r="K677">
            <v>54.34</v>
          </cell>
          <cell r="Q677">
            <v>0.77490000000000003</v>
          </cell>
        </row>
        <row r="678">
          <cell r="K678">
            <v>53.14</v>
          </cell>
          <cell r="Q678">
            <v>0.75780000000000003</v>
          </cell>
        </row>
        <row r="679">
          <cell r="K679">
            <v>51.85</v>
          </cell>
          <cell r="Q679">
            <v>0.73939999999999995</v>
          </cell>
        </row>
        <row r="680">
          <cell r="K680">
            <v>51.2</v>
          </cell>
          <cell r="Q680">
            <v>0.73009999999999997</v>
          </cell>
        </row>
        <row r="681">
          <cell r="K681">
            <v>52.18</v>
          </cell>
          <cell r="Q681">
            <v>0.74409999999999998</v>
          </cell>
        </row>
        <row r="682">
          <cell r="K682">
            <v>51.6</v>
          </cell>
          <cell r="Q682">
            <v>0.73580000000000001</v>
          </cell>
        </row>
        <row r="683">
          <cell r="K683">
            <v>51.33</v>
          </cell>
          <cell r="Q683">
            <v>0.8468</v>
          </cell>
        </row>
        <row r="684">
          <cell r="K684">
            <v>49.45</v>
          </cell>
          <cell r="Q684">
            <v>0.81579999999999997</v>
          </cell>
        </row>
        <row r="685">
          <cell r="K685">
            <v>48.83</v>
          </cell>
          <cell r="Q685">
            <v>0.80559999999999998</v>
          </cell>
        </row>
        <row r="686">
          <cell r="K686">
            <v>50.75</v>
          </cell>
          <cell r="Q686">
            <v>0.83720000000000006</v>
          </cell>
        </row>
        <row r="687">
          <cell r="K687">
            <v>51.7</v>
          </cell>
          <cell r="Q687">
            <v>0.85289999999999999</v>
          </cell>
        </row>
        <row r="688">
          <cell r="K688">
            <v>51.9</v>
          </cell>
          <cell r="Q688">
            <v>0.85619999999999996</v>
          </cell>
        </row>
        <row r="689">
          <cell r="K689">
            <v>53.09</v>
          </cell>
          <cell r="Q689">
            <v>0.87580000000000002</v>
          </cell>
        </row>
        <row r="690">
          <cell r="K690">
            <v>53.64</v>
          </cell>
          <cell r="Q690">
            <v>0.88490000000000002</v>
          </cell>
        </row>
        <row r="691">
          <cell r="K691">
            <v>53.05</v>
          </cell>
          <cell r="Q691">
            <v>0.87519999999999998</v>
          </cell>
        </row>
        <row r="692">
          <cell r="K692">
            <v>52.74</v>
          </cell>
          <cell r="Q692">
            <v>0.87009999999999998</v>
          </cell>
        </row>
        <row r="693">
          <cell r="K693">
            <v>54.51</v>
          </cell>
          <cell r="Q693">
            <v>0.89929999999999999</v>
          </cell>
        </row>
        <row r="694">
          <cell r="K694">
            <v>54.77</v>
          </cell>
          <cell r="Q694">
            <v>0.90359999999999996</v>
          </cell>
        </row>
        <row r="695">
          <cell r="K695">
            <v>54.57</v>
          </cell>
          <cell r="Q695">
            <v>0.90029999999999999</v>
          </cell>
        </row>
        <row r="696">
          <cell r="K696">
            <v>57.85</v>
          </cell>
          <cell r="Q696">
            <v>0.95440000000000003</v>
          </cell>
        </row>
        <row r="697">
          <cell r="K697">
            <v>59.61</v>
          </cell>
          <cell r="Q697">
            <v>0.98340000000000005</v>
          </cell>
        </row>
        <row r="698">
          <cell r="K698">
            <v>58.4</v>
          </cell>
          <cell r="Q698">
            <v>0.96340000000000003</v>
          </cell>
        </row>
        <row r="699">
          <cell r="K699">
            <v>58.74</v>
          </cell>
          <cell r="Q699">
            <v>0.96909999999999996</v>
          </cell>
        </row>
        <row r="700">
          <cell r="K700">
            <v>57.6</v>
          </cell>
          <cell r="Q700">
            <v>0.95030000000000003</v>
          </cell>
        </row>
        <row r="701">
          <cell r="K701">
            <v>57.07</v>
          </cell>
          <cell r="Q701">
            <v>0.9415</v>
          </cell>
        </row>
        <row r="702">
          <cell r="K702">
            <v>56.69</v>
          </cell>
          <cell r="Q702">
            <v>0.93520000000000003</v>
          </cell>
        </row>
        <row r="703">
          <cell r="K703">
            <v>54.43</v>
          </cell>
          <cell r="Q703">
            <v>0.89800000000000002</v>
          </cell>
        </row>
        <row r="704">
          <cell r="K704">
            <v>57.25</v>
          </cell>
          <cell r="Q704">
            <v>0.94450000000000001</v>
          </cell>
        </row>
        <row r="705">
          <cell r="K705">
            <v>55.06</v>
          </cell>
          <cell r="Q705">
            <v>0.9083</v>
          </cell>
        </row>
        <row r="706">
          <cell r="K706">
            <v>55.49</v>
          </cell>
          <cell r="Q706">
            <v>0.91539999999999999</v>
          </cell>
        </row>
        <row r="707">
          <cell r="K707">
            <v>56.46</v>
          </cell>
          <cell r="Q707">
            <v>0.93140000000000001</v>
          </cell>
        </row>
        <row r="708">
          <cell r="K708">
            <v>56.22</v>
          </cell>
          <cell r="Q708">
            <v>0.92749999999999999</v>
          </cell>
        </row>
        <row r="709">
          <cell r="K709">
            <v>57.99</v>
          </cell>
          <cell r="Q709">
            <v>0.95669999999999999</v>
          </cell>
        </row>
        <row r="710">
          <cell r="K710">
            <v>57.6</v>
          </cell>
          <cell r="Q710">
            <v>0.95030000000000003</v>
          </cell>
        </row>
        <row r="711">
          <cell r="K711">
            <v>60</v>
          </cell>
          <cell r="Q711">
            <v>0.98980000000000001</v>
          </cell>
        </row>
        <row r="712">
          <cell r="K712">
            <v>59.96</v>
          </cell>
          <cell r="Q712">
            <v>0.98919999999999997</v>
          </cell>
        </row>
        <row r="713">
          <cell r="K713">
            <v>60.06</v>
          </cell>
          <cell r="Q713">
            <v>0.99080000000000001</v>
          </cell>
        </row>
        <row r="714">
          <cell r="K714">
            <v>58.57</v>
          </cell>
          <cell r="Q714">
            <v>0.96630000000000005</v>
          </cell>
        </row>
        <row r="715">
          <cell r="K715">
            <v>58.78</v>
          </cell>
          <cell r="Q715">
            <v>0.96970000000000001</v>
          </cell>
        </row>
        <row r="716">
          <cell r="K716">
            <v>60.4</v>
          </cell>
          <cell r="Q716">
            <v>0.99639999999999995</v>
          </cell>
        </row>
        <row r="717">
          <cell r="K717">
            <v>59.88</v>
          </cell>
          <cell r="Q717">
            <v>0.9879</v>
          </cell>
        </row>
        <row r="718">
          <cell r="K718">
            <v>59.41</v>
          </cell>
          <cell r="Q718">
            <v>0.98009999999999997</v>
          </cell>
        </row>
        <row r="719">
          <cell r="K719">
            <v>58.61</v>
          </cell>
          <cell r="Q719">
            <v>0.96689999999999998</v>
          </cell>
        </row>
        <row r="720">
          <cell r="K720">
            <v>57.95</v>
          </cell>
          <cell r="Q720">
            <v>0.95599999999999996</v>
          </cell>
        </row>
        <row r="721">
          <cell r="K721">
            <v>58.14</v>
          </cell>
          <cell r="Q721">
            <v>0.95920000000000005</v>
          </cell>
        </row>
        <row r="722">
          <cell r="K722">
            <v>58</v>
          </cell>
          <cell r="Q722">
            <v>0.95679999999999998</v>
          </cell>
        </row>
        <row r="723">
          <cell r="K723">
            <v>59.04</v>
          </cell>
          <cell r="Q723">
            <v>0.97399999999999998</v>
          </cell>
        </row>
        <row r="724">
          <cell r="K724">
            <v>57.45</v>
          </cell>
          <cell r="Q724">
            <v>0.94779999999999998</v>
          </cell>
        </row>
        <row r="725">
          <cell r="K725">
            <v>58.39</v>
          </cell>
          <cell r="Q725">
            <v>0.96330000000000005</v>
          </cell>
        </row>
        <row r="726">
          <cell r="K726">
            <v>59.68</v>
          </cell>
          <cell r="Q726">
            <v>0.98460000000000003</v>
          </cell>
        </row>
        <row r="727">
          <cell r="K727">
            <v>58.94</v>
          </cell>
          <cell r="Q727">
            <v>0.97240000000000004</v>
          </cell>
        </row>
        <row r="728">
          <cell r="K728">
            <v>58.2</v>
          </cell>
          <cell r="Q728">
            <v>0.96020000000000005</v>
          </cell>
        </row>
        <row r="729">
          <cell r="K729">
            <v>58.3</v>
          </cell>
          <cell r="Q729">
            <v>0.96179999999999999</v>
          </cell>
        </row>
        <row r="730">
          <cell r="K730">
            <v>57.56</v>
          </cell>
          <cell r="Q730">
            <v>0.9496</v>
          </cell>
        </row>
        <row r="731">
          <cell r="K731">
            <v>56.38</v>
          </cell>
          <cell r="Q731">
            <v>0.93010000000000004</v>
          </cell>
        </row>
        <row r="732">
          <cell r="K732">
            <v>56.18</v>
          </cell>
          <cell r="Q732">
            <v>0.92679999999999996</v>
          </cell>
        </row>
        <row r="733">
          <cell r="K733">
            <v>56.94</v>
          </cell>
          <cell r="Q733">
            <v>0.93940000000000001</v>
          </cell>
        </row>
        <row r="734">
          <cell r="K734">
            <v>57.51</v>
          </cell>
          <cell r="Q734">
            <v>0.94879999999999998</v>
          </cell>
        </row>
        <row r="735">
          <cell r="K735">
            <v>58.3</v>
          </cell>
          <cell r="Q735">
            <v>0.96179999999999999</v>
          </cell>
        </row>
        <row r="736">
          <cell r="K736">
            <v>58.2</v>
          </cell>
          <cell r="Q736">
            <v>0.96020000000000005</v>
          </cell>
        </row>
        <row r="737">
          <cell r="K737">
            <v>58.23</v>
          </cell>
          <cell r="Q737">
            <v>0.96060000000000001</v>
          </cell>
        </row>
        <row r="738">
          <cell r="K738">
            <v>57.53</v>
          </cell>
          <cell r="Q738">
            <v>0.94910000000000005</v>
          </cell>
        </row>
        <row r="739">
          <cell r="K739">
            <v>57.19</v>
          </cell>
          <cell r="Q739">
            <v>0.94350000000000001</v>
          </cell>
        </row>
        <row r="740">
          <cell r="K740">
            <v>57.6</v>
          </cell>
          <cell r="Q740">
            <v>0.95030000000000003</v>
          </cell>
        </row>
        <row r="741">
          <cell r="K741">
            <v>57.89</v>
          </cell>
          <cell r="Q741">
            <v>0.95499999999999996</v>
          </cell>
        </row>
        <row r="742">
          <cell r="K742">
            <v>58.32</v>
          </cell>
          <cell r="Q742">
            <v>0.96209999999999996</v>
          </cell>
        </row>
        <row r="743">
          <cell r="K743">
            <v>58.33</v>
          </cell>
          <cell r="Q743">
            <v>0.96230000000000004</v>
          </cell>
        </row>
        <row r="744">
          <cell r="K744">
            <v>58.51</v>
          </cell>
          <cell r="Q744">
            <v>0.96530000000000005</v>
          </cell>
        </row>
        <row r="745">
          <cell r="K745">
            <v>58.18</v>
          </cell>
          <cell r="Q745">
            <v>0.95979999999999999</v>
          </cell>
        </row>
        <row r="746">
          <cell r="K746">
            <v>58.05</v>
          </cell>
          <cell r="Q746">
            <v>0.9577</v>
          </cell>
        </row>
        <row r="747">
          <cell r="K747">
            <v>56.99</v>
          </cell>
          <cell r="Q747">
            <v>1.0992999999999999</v>
          </cell>
        </row>
        <row r="748">
          <cell r="K748">
            <v>58.55</v>
          </cell>
          <cell r="Q748">
            <v>1.1294</v>
          </cell>
        </row>
        <row r="749">
          <cell r="K749">
            <v>59.25</v>
          </cell>
          <cell r="Q749">
            <v>1.1429</v>
          </cell>
        </row>
        <row r="750">
          <cell r="K750">
            <v>59.43</v>
          </cell>
          <cell r="Q750">
            <v>1.1464000000000001</v>
          </cell>
        </row>
        <row r="751">
          <cell r="K751">
            <v>59.67</v>
          </cell>
          <cell r="Q751">
            <v>1.151</v>
          </cell>
        </row>
        <row r="752">
          <cell r="K752">
            <v>60.34</v>
          </cell>
          <cell r="Q752">
            <v>1.1638999999999999</v>
          </cell>
        </row>
        <row r="753">
          <cell r="K753">
            <v>64.13</v>
          </cell>
          <cell r="Q753">
            <v>1.2370000000000001</v>
          </cell>
        </row>
        <row r="754">
          <cell r="K754">
            <v>62.24</v>
          </cell>
          <cell r="Q754">
            <v>1.2005999999999999</v>
          </cell>
        </row>
        <row r="755">
          <cell r="K755">
            <v>62.33</v>
          </cell>
          <cell r="Q755">
            <v>1.2022999999999999</v>
          </cell>
        </row>
        <row r="756">
          <cell r="K756">
            <v>61.98</v>
          </cell>
          <cell r="Q756">
            <v>1.1956</v>
          </cell>
        </row>
        <row r="757">
          <cell r="K757">
            <v>60.12</v>
          </cell>
          <cell r="Q757">
            <v>1.1597</v>
          </cell>
        </row>
        <row r="758">
          <cell r="K758">
            <v>60.93</v>
          </cell>
          <cell r="Q758">
            <v>1.1753</v>
          </cell>
        </row>
        <row r="759">
          <cell r="K759">
            <v>59.76</v>
          </cell>
          <cell r="Q759">
            <v>1.1527000000000001</v>
          </cell>
        </row>
        <row r="760">
          <cell r="K760">
            <v>56.85</v>
          </cell>
          <cell r="Q760">
            <v>1.0966</v>
          </cell>
        </row>
        <row r="761">
          <cell r="K761">
            <v>54.25</v>
          </cell>
          <cell r="Q761">
            <v>1.0465</v>
          </cell>
        </row>
        <row r="762">
          <cell r="K762">
            <v>55.14</v>
          </cell>
          <cell r="Q762">
            <v>1.0636000000000001</v>
          </cell>
        </row>
        <row r="763">
          <cell r="K763">
            <v>55.85</v>
          </cell>
          <cell r="Q763">
            <v>1.0772999999999999</v>
          </cell>
        </row>
        <row r="764">
          <cell r="K764">
            <v>53.44</v>
          </cell>
          <cell r="Q764">
            <v>1.0307999999999999</v>
          </cell>
        </row>
        <row r="765">
          <cell r="K765">
            <v>51.86</v>
          </cell>
          <cell r="Q765">
            <v>1.0003</v>
          </cell>
        </row>
        <row r="766">
          <cell r="K766">
            <v>52.24</v>
          </cell>
          <cell r="Q766">
            <v>1.0077</v>
          </cell>
        </row>
        <row r="767">
          <cell r="K767">
            <v>52.94</v>
          </cell>
          <cell r="Q767">
            <v>1.0212000000000001</v>
          </cell>
        </row>
        <row r="768">
          <cell r="K768">
            <v>53.55</v>
          </cell>
          <cell r="Q768">
            <v>1.0328999999999999</v>
          </cell>
        </row>
        <row r="769">
          <cell r="K769">
            <v>53.39</v>
          </cell>
          <cell r="Q769">
            <v>1.0299</v>
          </cell>
        </row>
        <row r="770">
          <cell r="K770">
            <v>51.4</v>
          </cell>
          <cell r="Q770">
            <v>0.99150000000000005</v>
          </cell>
        </row>
        <row r="771">
          <cell r="K771">
            <v>51.75</v>
          </cell>
          <cell r="Q771">
            <v>0.99819999999999998</v>
          </cell>
        </row>
        <row r="772">
          <cell r="K772">
            <v>50.78</v>
          </cell>
          <cell r="Q772">
            <v>0.97950000000000004</v>
          </cell>
        </row>
        <row r="773">
          <cell r="K773">
            <v>53.53</v>
          </cell>
          <cell r="Q773">
            <v>1.0326</v>
          </cell>
        </row>
        <row r="774">
          <cell r="K774">
            <v>53.15</v>
          </cell>
          <cell r="Q774">
            <v>1.0251999999999999</v>
          </cell>
        </row>
        <row r="775">
          <cell r="K775">
            <v>56.15</v>
          </cell>
          <cell r="Q775">
            <v>1.0831</v>
          </cell>
        </row>
        <row r="776">
          <cell r="K776">
            <v>56.2</v>
          </cell>
          <cell r="Q776">
            <v>1.0841000000000001</v>
          </cell>
        </row>
        <row r="777">
          <cell r="K777">
            <v>57.12</v>
          </cell>
          <cell r="Q777">
            <v>1.1017999999999999</v>
          </cell>
        </row>
        <row r="778">
          <cell r="K778">
            <v>57.5</v>
          </cell>
          <cell r="Q778">
            <v>1.1091</v>
          </cell>
        </row>
        <row r="779">
          <cell r="K779">
            <v>57.81</v>
          </cell>
          <cell r="Q779">
            <v>1.1151</v>
          </cell>
        </row>
        <row r="780">
          <cell r="K780">
            <v>58.25</v>
          </cell>
          <cell r="Q780">
            <v>1.1235999999999999</v>
          </cell>
        </row>
        <row r="781">
          <cell r="K781">
            <v>58.03</v>
          </cell>
          <cell r="Q781">
            <v>1.1194</v>
          </cell>
        </row>
        <row r="782">
          <cell r="K782">
            <v>56.66</v>
          </cell>
          <cell r="Q782">
            <v>1.0929</v>
          </cell>
        </row>
        <row r="783">
          <cell r="K783">
            <v>56.96</v>
          </cell>
          <cell r="Q783">
            <v>1.0987</v>
          </cell>
        </row>
        <row r="784">
          <cell r="K784">
            <v>56.79</v>
          </cell>
          <cell r="Q784">
            <v>1.0953999999999999</v>
          </cell>
        </row>
        <row r="785">
          <cell r="K785">
            <v>57.05</v>
          </cell>
          <cell r="Q785">
            <v>1.1005</v>
          </cell>
        </row>
        <row r="786">
          <cell r="K786">
            <v>57.85</v>
          </cell>
          <cell r="Q786">
            <v>1.1158999999999999</v>
          </cell>
        </row>
        <row r="787">
          <cell r="K787">
            <v>58.15</v>
          </cell>
          <cell r="Q787">
            <v>1.1216999999999999</v>
          </cell>
        </row>
        <row r="788">
          <cell r="K788">
            <v>58.57</v>
          </cell>
          <cell r="Q788">
            <v>1.1297999999999999</v>
          </cell>
        </row>
        <row r="789">
          <cell r="K789">
            <v>58.45</v>
          </cell>
          <cell r="Q789">
            <v>1.1274999999999999</v>
          </cell>
        </row>
        <row r="790">
          <cell r="K790">
            <v>59.23</v>
          </cell>
          <cell r="Q790">
            <v>1.1425000000000001</v>
          </cell>
        </row>
        <row r="791">
          <cell r="K791">
            <v>58.91</v>
          </cell>
          <cell r="Q791">
            <v>1.1363000000000001</v>
          </cell>
        </row>
        <row r="792">
          <cell r="K792">
            <v>59.18</v>
          </cell>
          <cell r="Q792">
            <v>1.1415</v>
          </cell>
        </row>
        <row r="793">
          <cell r="K793">
            <v>58.78</v>
          </cell>
          <cell r="Q793">
            <v>1.1337999999999999</v>
          </cell>
        </row>
        <row r="794">
          <cell r="K794">
            <v>58.9</v>
          </cell>
          <cell r="Q794">
            <v>1.1361000000000001</v>
          </cell>
        </row>
        <row r="795">
          <cell r="K795">
            <v>60.36</v>
          </cell>
          <cell r="Q795">
            <v>1.1642999999999999</v>
          </cell>
        </row>
        <row r="796">
          <cell r="K796">
            <v>59.47</v>
          </cell>
          <cell r="Q796">
            <v>1.1471</v>
          </cell>
        </row>
        <row r="797">
          <cell r="K797">
            <v>59.45</v>
          </cell>
          <cell r="Q797">
            <v>1.1468</v>
          </cell>
        </row>
        <row r="798">
          <cell r="K798">
            <v>60.22</v>
          </cell>
          <cell r="Q798">
            <v>1.1616</v>
          </cell>
        </row>
        <row r="799">
          <cell r="K799">
            <v>59.77</v>
          </cell>
          <cell r="Q799">
            <v>1.1529</v>
          </cell>
        </row>
        <row r="800">
          <cell r="K800">
            <v>59.37</v>
          </cell>
          <cell r="Q800">
            <v>1.1452</v>
          </cell>
        </row>
        <row r="801">
          <cell r="K801">
            <v>59.95</v>
          </cell>
          <cell r="Q801">
            <v>1.1564000000000001</v>
          </cell>
        </row>
        <row r="802">
          <cell r="K802">
            <v>62.41</v>
          </cell>
          <cell r="Q802">
            <v>1.2039</v>
          </cell>
        </row>
        <row r="803">
          <cell r="K803">
            <v>62.06</v>
          </cell>
          <cell r="Q803">
            <v>1.1971000000000001</v>
          </cell>
        </row>
        <row r="804">
          <cell r="K804">
            <v>62.14</v>
          </cell>
          <cell r="Q804">
            <v>1.1986000000000001</v>
          </cell>
        </row>
        <row r="805">
          <cell r="K805">
            <v>62.44</v>
          </cell>
          <cell r="Q805">
            <v>1.2043999999999999</v>
          </cell>
        </row>
        <row r="806">
          <cell r="K806">
            <v>63.48</v>
          </cell>
          <cell r="Q806">
            <v>1.2244999999999999</v>
          </cell>
        </row>
        <row r="807">
          <cell r="K807">
            <v>63.16</v>
          </cell>
          <cell r="Q807">
            <v>1.2182999999999999</v>
          </cell>
        </row>
        <row r="808">
          <cell r="K808">
            <v>62.85</v>
          </cell>
          <cell r="Q808">
            <v>1.2710999999999999</v>
          </cell>
        </row>
        <row r="809">
          <cell r="K809">
            <v>63.99</v>
          </cell>
          <cell r="Q809">
            <v>1.2942</v>
          </cell>
        </row>
        <row r="810">
          <cell r="K810">
            <v>64.989999999999995</v>
          </cell>
          <cell r="Q810">
            <v>1.3144</v>
          </cell>
        </row>
        <row r="811">
          <cell r="K811">
            <v>65.290000000000006</v>
          </cell>
          <cell r="Q811">
            <v>1.3205</v>
          </cell>
        </row>
        <row r="812">
          <cell r="K812">
            <v>64.47</v>
          </cell>
          <cell r="Q812">
            <v>1.3039000000000001</v>
          </cell>
        </row>
        <row r="813">
          <cell r="K813">
            <v>64.48</v>
          </cell>
          <cell r="Q813">
            <v>1.3041</v>
          </cell>
        </row>
        <row r="814">
          <cell r="K814">
            <v>65.27</v>
          </cell>
          <cell r="Q814">
            <v>1.3201000000000001</v>
          </cell>
        </row>
        <row r="815">
          <cell r="K815">
            <v>66.73</v>
          </cell>
          <cell r="Q815">
            <v>1.3495999999999999</v>
          </cell>
        </row>
        <row r="816">
          <cell r="K816">
            <v>66.19</v>
          </cell>
          <cell r="Q816">
            <v>1.3387</v>
          </cell>
        </row>
        <row r="817">
          <cell r="K817">
            <v>67.28</v>
          </cell>
          <cell r="Q817">
            <v>1.3607</v>
          </cell>
        </row>
        <row r="818">
          <cell r="K818">
            <v>68.22</v>
          </cell>
          <cell r="Q818">
            <v>1.3797999999999999</v>
          </cell>
        </row>
        <row r="819">
          <cell r="K819">
            <v>66.88</v>
          </cell>
          <cell r="Q819">
            <v>1.3527</v>
          </cell>
        </row>
        <row r="820">
          <cell r="K820">
            <v>66.989999999999995</v>
          </cell>
          <cell r="Q820">
            <v>1.3549</v>
          </cell>
        </row>
        <row r="821">
          <cell r="K821">
            <v>67.5</v>
          </cell>
          <cell r="Q821">
            <v>1.3652</v>
          </cell>
        </row>
        <row r="822">
          <cell r="K822">
            <v>67.75</v>
          </cell>
          <cell r="Q822">
            <v>1.3702000000000001</v>
          </cell>
        </row>
        <row r="823">
          <cell r="K823">
            <v>67.510000000000005</v>
          </cell>
          <cell r="Q823">
            <v>1.3653999999999999</v>
          </cell>
        </row>
        <row r="824">
          <cell r="K824">
            <v>68.78</v>
          </cell>
          <cell r="Q824">
            <v>1.3911</v>
          </cell>
        </row>
        <row r="825">
          <cell r="K825">
            <v>71.650000000000006</v>
          </cell>
          <cell r="Q825">
            <v>1.4491000000000001</v>
          </cell>
        </row>
        <row r="826">
          <cell r="K826">
            <v>68.53</v>
          </cell>
          <cell r="Q826">
            <v>1.3859999999999999</v>
          </cell>
        </row>
        <row r="827">
          <cell r="K827">
            <v>68.97</v>
          </cell>
          <cell r="Q827">
            <v>1.3949</v>
          </cell>
        </row>
        <row r="828">
          <cell r="K828">
            <v>70.75</v>
          </cell>
          <cell r="Q828">
            <v>1.4309000000000001</v>
          </cell>
        </row>
        <row r="829">
          <cell r="K829">
            <v>68.09</v>
          </cell>
          <cell r="Q829">
            <v>1.3771</v>
          </cell>
        </row>
        <row r="830">
          <cell r="K830">
            <v>69.94</v>
          </cell>
          <cell r="Q830">
            <v>1.4145000000000001</v>
          </cell>
        </row>
        <row r="831">
          <cell r="K831">
            <v>66.7</v>
          </cell>
          <cell r="Q831">
            <v>1.349</v>
          </cell>
        </row>
        <row r="832">
          <cell r="K832">
            <v>65.959999999999994</v>
          </cell>
          <cell r="Q832">
            <v>1.3340000000000001</v>
          </cell>
        </row>
        <row r="833">
          <cell r="K833">
            <v>63.5</v>
          </cell>
          <cell r="Q833">
            <v>1.2843</v>
          </cell>
        </row>
        <row r="834">
          <cell r="K834">
            <v>62.1</v>
          </cell>
          <cell r="Q834">
            <v>1.256</v>
          </cell>
        </row>
        <row r="835">
          <cell r="K835">
            <v>66.69</v>
          </cell>
          <cell r="Q835">
            <v>1.3488</v>
          </cell>
        </row>
        <row r="836">
          <cell r="K836">
            <v>66.069999999999993</v>
          </cell>
          <cell r="Q836">
            <v>1.3363</v>
          </cell>
        </row>
        <row r="837">
          <cell r="K837">
            <v>68.150000000000006</v>
          </cell>
          <cell r="Q837">
            <v>1.3783000000000001</v>
          </cell>
        </row>
        <row r="838">
          <cell r="K838">
            <v>66.91</v>
          </cell>
          <cell r="Q838">
            <v>1.3532999999999999</v>
          </cell>
        </row>
        <row r="839">
          <cell r="K839">
            <v>64.88</v>
          </cell>
          <cell r="Q839">
            <v>1.3122</v>
          </cell>
        </row>
        <row r="840">
          <cell r="K840">
            <v>63.78</v>
          </cell>
          <cell r="Q840">
            <v>1.29</v>
          </cell>
        </row>
        <row r="841">
          <cell r="K841">
            <v>63.19</v>
          </cell>
          <cell r="Q841">
            <v>1.278</v>
          </cell>
        </row>
        <row r="842">
          <cell r="K842">
            <v>61.44</v>
          </cell>
          <cell r="Q842">
            <v>1.2425999999999999</v>
          </cell>
        </row>
        <row r="843">
          <cell r="K843">
            <v>58.67</v>
          </cell>
          <cell r="Q843">
            <v>1.1866000000000001</v>
          </cell>
        </row>
        <row r="844">
          <cell r="K844">
            <v>60.09</v>
          </cell>
          <cell r="Q844">
            <v>1.2153</v>
          </cell>
        </row>
        <row r="845">
          <cell r="K845">
            <v>59.22</v>
          </cell>
          <cell r="Q845">
            <v>1.1977</v>
          </cell>
        </row>
        <row r="846">
          <cell r="K846">
            <v>59.21</v>
          </cell>
          <cell r="Q846">
            <v>1.1975</v>
          </cell>
        </row>
        <row r="847">
          <cell r="K847">
            <v>59.73</v>
          </cell>
          <cell r="Q847">
            <v>1.208</v>
          </cell>
        </row>
        <row r="848">
          <cell r="K848">
            <v>62.06</v>
          </cell>
          <cell r="Q848">
            <v>1.2552000000000001</v>
          </cell>
        </row>
        <row r="849">
          <cell r="K849">
            <v>60.76</v>
          </cell>
          <cell r="Q849">
            <v>1.2289000000000001</v>
          </cell>
        </row>
        <row r="850">
          <cell r="K850">
            <v>59.27</v>
          </cell>
          <cell r="Q850">
            <v>1.1987000000000001</v>
          </cell>
        </row>
        <row r="851">
          <cell r="K851">
            <v>60.86</v>
          </cell>
          <cell r="Q851">
            <v>1.2309000000000001</v>
          </cell>
        </row>
        <row r="852">
          <cell r="K852">
            <v>61.11</v>
          </cell>
          <cell r="Q852">
            <v>1.236</v>
          </cell>
        </row>
        <row r="853">
          <cell r="K853">
            <v>57.76</v>
          </cell>
          <cell r="Q853">
            <v>1.1681999999999999</v>
          </cell>
        </row>
        <row r="854">
          <cell r="K854">
            <v>55.83</v>
          </cell>
          <cell r="Q854">
            <v>1.1292</v>
          </cell>
        </row>
        <row r="855">
          <cell r="K855">
            <v>56.61</v>
          </cell>
          <cell r="Q855">
            <v>1.1449</v>
          </cell>
        </row>
        <row r="856">
          <cell r="K856">
            <v>56.81</v>
          </cell>
          <cell r="Q856">
            <v>1.149</v>
          </cell>
        </row>
        <row r="857">
          <cell r="K857">
            <v>59.95</v>
          </cell>
          <cell r="Q857">
            <v>1.2124999999999999</v>
          </cell>
        </row>
        <row r="858">
          <cell r="K858">
            <v>60.23</v>
          </cell>
          <cell r="Q858">
            <v>1.2181999999999999</v>
          </cell>
        </row>
        <row r="859">
          <cell r="K859">
            <v>61</v>
          </cell>
          <cell r="Q859">
            <v>1.2337</v>
          </cell>
        </row>
        <row r="860">
          <cell r="K860">
            <v>63.46</v>
          </cell>
          <cell r="Q860">
            <v>1.2835000000000001</v>
          </cell>
        </row>
        <row r="861">
          <cell r="K861">
            <v>64.39</v>
          </cell>
          <cell r="Q861">
            <v>1.3023</v>
          </cell>
        </row>
        <row r="862">
          <cell r="K862">
            <v>64.95</v>
          </cell>
          <cell r="Q862">
            <v>1.3136000000000001</v>
          </cell>
        </row>
        <row r="863">
          <cell r="K863">
            <v>65.849999999999994</v>
          </cell>
          <cell r="Q863">
            <v>1.3318000000000001</v>
          </cell>
        </row>
        <row r="864">
          <cell r="K864">
            <v>66.069999999999993</v>
          </cell>
          <cell r="Q864">
            <v>1.3363</v>
          </cell>
        </row>
        <row r="865">
          <cell r="K865">
            <v>64.11</v>
          </cell>
          <cell r="Q865">
            <v>1.2966</v>
          </cell>
        </row>
        <row r="866">
          <cell r="K866">
            <v>64.33</v>
          </cell>
          <cell r="Q866">
            <v>1.3010999999999999</v>
          </cell>
        </row>
        <row r="867">
          <cell r="K867">
            <v>63.37</v>
          </cell>
          <cell r="Q867">
            <v>1.2817000000000001</v>
          </cell>
        </row>
        <row r="868">
          <cell r="K868">
            <v>64.709999999999994</v>
          </cell>
          <cell r="Q868">
            <v>1.3088</v>
          </cell>
        </row>
        <row r="869">
          <cell r="K869">
            <v>64.400000000000006</v>
          </cell>
          <cell r="Q869">
            <v>1.3025</v>
          </cell>
        </row>
        <row r="870">
          <cell r="K870">
            <v>60.85</v>
          </cell>
          <cell r="Q870">
            <v>1.2306999999999999</v>
          </cell>
        </row>
        <row r="871">
          <cell r="K871">
            <v>60.07</v>
          </cell>
          <cell r="Q871">
            <v>1.1395999999999999</v>
          </cell>
        </row>
        <row r="872">
          <cell r="K872">
            <v>59.97</v>
          </cell>
          <cell r="Q872">
            <v>1.1376999999999999</v>
          </cell>
        </row>
        <row r="873">
          <cell r="K873">
            <v>59.18</v>
          </cell>
          <cell r="Q873">
            <v>1.1227</v>
          </cell>
        </row>
        <row r="874">
          <cell r="K874">
            <v>59.81</v>
          </cell>
          <cell r="Q874">
            <v>1.1347</v>
          </cell>
        </row>
        <row r="875">
          <cell r="K875">
            <v>62.18</v>
          </cell>
          <cell r="Q875">
            <v>1.1796</v>
          </cell>
        </row>
        <row r="876">
          <cell r="K876">
            <v>63.17</v>
          </cell>
          <cell r="Q876">
            <v>1.1983999999999999</v>
          </cell>
        </row>
        <row r="877">
          <cell r="K877">
            <v>64.72</v>
          </cell>
          <cell r="Q877">
            <v>1.2278</v>
          </cell>
        </row>
        <row r="878">
          <cell r="K878">
            <v>64.28</v>
          </cell>
          <cell r="Q878">
            <v>1.2195</v>
          </cell>
        </row>
        <row r="879">
          <cell r="K879">
            <v>66.790000000000006</v>
          </cell>
          <cell r="Q879">
            <v>1.2670999999999999</v>
          </cell>
        </row>
        <row r="880">
          <cell r="K880">
            <v>66.7</v>
          </cell>
          <cell r="Q880">
            <v>1.2654000000000001</v>
          </cell>
        </row>
        <row r="881">
          <cell r="K881">
            <v>66.510000000000005</v>
          </cell>
          <cell r="Q881">
            <v>1.2618</v>
          </cell>
        </row>
        <row r="882">
          <cell r="K882">
            <v>63.94</v>
          </cell>
          <cell r="Q882">
            <v>1.2130000000000001</v>
          </cell>
        </row>
        <row r="883">
          <cell r="K883">
            <v>64.8</v>
          </cell>
          <cell r="Q883">
            <v>1.2293000000000001</v>
          </cell>
        </row>
        <row r="884">
          <cell r="K884">
            <v>66.430000000000007</v>
          </cell>
          <cell r="Q884">
            <v>1.2603</v>
          </cell>
        </row>
        <row r="885">
          <cell r="K885">
            <v>66.87</v>
          </cell>
          <cell r="Q885">
            <v>1.2685999999999999</v>
          </cell>
        </row>
        <row r="886">
          <cell r="K886">
            <v>68</v>
          </cell>
          <cell r="Q886">
            <v>1.2901</v>
          </cell>
        </row>
        <row r="887">
          <cell r="K887">
            <v>69.31</v>
          </cell>
          <cell r="Q887">
            <v>1.3149</v>
          </cell>
        </row>
        <row r="888">
          <cell r="K888">
            <v>69.989999999999995</v>
          </cell>
          <cell r="Q888">
            <v>1.3278000000000001</v>
          </cell>
        </row>
        <row r="889">
          <cell r="K889">
            <v>69.180000000000007</v>
          </cell>
          <cell r="Q889">
            <v>1.3124</v>
          </cell>
        </row>
        <row r="890">
          <cell r="K890">
            <v>69.72</v>
          </cell>
          <cell r="Q890">
            <v>1.3227</v>
          </cell>
        </row>
        <row r="891">
          <cell r="K891">
            <v>69.400000000000006</v>
          </cell>
          <cell r="Q891">
            <v>1.3166</v>
          </cell>
        </row>
        <row r="892">
          <cell r="K892">
            <v>69.75</v>
          </cell>
          <cell r="Q892">
            <v>1.3232999999999999</v>
          </cell>
        </row>
        <row r="893">
          <cell r="K893">
            <v>71.05</v>
          </cell>
          <cell r="Q893">
            <v>1.3479000000000001</v>
          </cell>
        </row>
        <row r="894">
          <cell r="K894">
            <v>70.37</v>
          </cell>
          <cell r="Q894">
            <v>1.335</v>
          </cell>
        </row>
        <row r="895">
          <cell r="K895">
            <v>71.12</v>
          </cell>
          <cell r="Q895">
            <v>1.3492</v>
          </cell>
        </row>
        <row r="896">
          <cell r="K896">
            <v>71.959999999999994</v>
          </cell>
          <cell r="Q896">
            <v>1.3652</v>
          </cell>
        </row>
        <row r="897">
          <cell r="K897">
            <v>71.56</v>
          </cell>
          <cell r="Q897">
            <v>1.3575999999999999</v>
          </cell>
        </row>
        <row r="898">
          <cell r="K898">
            <v>72.069999999999993</v>
          </cell>
          <cell r="Q898">
            <v>1.3673</v>
          </cell>
        </row>
        <row r="899">
          <cell r="K899">
            <v>71.42</v>
          </cell>
          <cell r="Q899">
            <v>1.3549</v>
          </cell>
        </row>
        <row r="900">
          <cell r="K900">
            <v>68.709999999999994</v>
          </cell>
          <cell r="Q900">
            <v>1.3035000000000001</v>
          </cell>
        </row>
        <row r="901">
          <cell r="K901">
            <v>67.5</v>
          </cell>
          <cell r="Q901">
            <v>1.2806</v>
          </cell>
        </row>
        <row r="902">
          <cell r="K902">
            <v>68.010000000000005</v>
          </cell>
          <cell r="Q902">
            <v>1.2902</v>
          </cell>
        </row>
        <row r="903">
          <cell r="K903">
            <v>68.489999999999995</v>
          </cell>
          <cell r="Q903">
            <v>1.2994000000000001</v>
          </cell>
        </row>
        <row r="904">
          <cell r="K904">
            <v>69.739999999999995</v>
          </cell>
          <cell r="Q904">
            <v>1.3230999999999999</v>
          </cell>
        </row>
        <row r="905">
          <cell r="K905">
            <v>69.75</v>
          </cell>
          <cell r="Q905">
            <v>1.3232999999999999</v>
          </cell>
        </row>
        <row r="906">
          <cell r="K906">
            <v>69.290000000000006</v>
          </cell>
          <cell r="Q906">
            <v>1.3145</v>
          </cell>
        </row>
        <row r="907">
          <cell r="K907">
            <v>68.86</v>
          </cell>
          <cell r="Q907">
            <v>1.3064</v>
          </cell>
        </row>
        <row r="908">
          <cell r="K908">
            <v>66.84</v>
          </cell>
          <cell r="Q908">
            <v>1.268</v>
          </cell>
        </row>
        <row r="909">
          <cell r="K909">
            <v>65.040000000000006</v>
          </cell>
          <cell r="Q909">
            <v>1.2339</v>
          </cell>
        </row>
        <row r="910">
          <cell r="K910">
            <v>64.7</v>
          </cell>
          <cell r="Q910">
            <v>1.2275</v>
          </cell>
        </row>
        <row r="911">
          <cell r="K911">
            <v>63.95</v>
          </cell>
          <cell r="Q911">
            <v>1.2132000000000001</v>
          </cell>
        </row>
        <row r="912">
          <cell r="K912">
            <v>65.900000000000006</v>
          </cell>
          <cell r="Q912">
            <v>1.2502</v>
          </cell>
        </row>
        <row r="913">
          <cell r="K913">
            <v>64.47</v>
          </cell>
          <cell r="Q913">
            <v>1.2231000000000001</v>
          </cell>
        </row>
        <row r="914">
          <cell r="K914">
            <v>65.16</v>
          </cell>
          <cell r="Q914">
            <v>1.2362</v>
          </cell>
        </row>
        <row r="915">
          <cell r="K915">
            <v>68.16</v>
          </cell>
          <cell r="Q915">
            <v>1.2930999999999999</v>
          </cell>
        </row>
        <row r="916">
          <cell r="K916">
            <v>68.540000000000006</v>
          </cell>
          <cell r="Q916">
            <v>1.3003</v>
          </cell>
        </row>
        <row r="917">
          <cell r="K917">
            <v>70.08</v>
          </cell>
          <cell r="Q917">
            <v>1.3294999999999999</v>
          </cell>
        </row>
        <row r="918">
          <cell r="K918">
            <v>69.7</v>
          </cell>
          <cell r="Q918">
            <v>1.3223</v>
          </cell>
        </row>
        <row r="919">
          <cell r="K919">
            <v>70.739999999999995</v>
          </cell>
          <cell r="Q919">
            <v>1.3420000000000001</v>
          </cell>
        </row>
        <row r="920">
          <cell r="K920">
            <v>70.64</v>
          </cell>
          <cell r="Q920">
            <v>1.3401000000000001</v>
          </cell>
        </row>
        <row r="921">
          <cell r="K921">
            <v>71.260000000000005</v>
          </cell>
          <cell r="Q921">
            <v>1.3519000000000001</v>
          </cell>
        </row>
        <row r="922">
          <cell r="K922">
            <v>72.239999999999995</v>
          </cell>
          <cell r="Q922">
            <v>1.3705000000000001</v>
          </cell>
        </row>
        <row r="923">
          <cell r="K923">
            <v>71.83</v>
          </cell>
          <cell r="Q923">
            <v>1.3627</v>
          </cell>
        </row>
        <row r="924">
          <cell r="K924">
            <v>72.13</v>
          </cell>
          <cell r="Q924">
            <v>1.3684000000000001</v>
          </cell>
        </row>
        <row r="925">
          <cell r="K925">
            <v>72</v>
          </cell>
          <cell r="Q925">
            <v>1.3658999999999999</v>
          </cell>
        </row>
        <row r="926">
          <cell r="K926">
            <v>73.180000000000007</v>
          </cell>
          <cell r="Q926">
            <v>1.3883000000000001</v>
          </cell>
        </row>
        <row r="927">
          <cell r="K927">
            <v>74.75</v>
          </cell>
          <cell r="Q927">
            <v>1.4180999999999999</v>
          </cell>
        </row>
        <row r="928">
          <cell r="K928">
            <v>76.39</v>
          </cell>
          <cell r="Q928">
            <v>1.4492</v>
          </cell>
        </row>
        <row r="929">
          <cell r="K929">
            <v>76.180000000000007</v>
          </cell>
          <cell r="Q929">
            <v>1.4452</v>
          </cell>
        </row>
        <row r="930">
          <cell r="K930">
            <v>76.260000000000005</v>
          </cell>
          <cell r="Q930">
            <v>1.4468000000000001</v>
          </cell>
        </row>
        <row r="931">
          <cell r="K931">
            <v>79.73</v>
          </cell>
          <cell r="Q931">
            <v>1.5125999999999999</v>
          </cell>
        </row>
        <row r="932">
          <cell r="K932">
            <v>79.540000000000006</v>
          </cell>
          <cell r="Q932">
            <v>1.5089999999999999</v>
          </cell>
        </row>
        <row r="933">
          <cell r="K933">
            <v>79.67</v>
          </cell>
          <cell r="Q933">
            <v>1.5115000000000001</v>
          </cell>
        </row>
        <row r="934">
          <cell r="K934">
            <v>79.989999999999995</v>
          </cell>
          <cell r="Q934">
            <v>1.5175000000000001</v>
          </cell>
        </row>
        <row r="935">
          <cell r="K935">
            <v>78.680000000000007</v>
          </cell>
          <cell r="Q935">
            <v>1.3491</v>
          </cell>
        </row>
        <row r="936">
          <cell r="K936">
            <v>78.22</v>
          </cell>
          <cell r="Q936">
            <v>1.3411999999999999</v>
          </cell>
        </row>
        <row r="937">
          <cell r="K937">
            <v>77.27</v>
          </cell>
          <cell r="Q937">
            <v>1.3249</v>
          </cell>
        </row>
        <row r="938">
          <cell r="K938">
            <v>79.400000000000006</v>
          </cell>
          <cell r="Q938">
            <v>1.3614999999999999</v>
          </cell>
        </row>
        <row r="939">
          <cell r="K939">
            <v>78.864998</v>
          </cell>
          <cell r="Q939">
            <v>1.3523000000000001</v>
          </cell>
        </row>
        <row r="940">
          <cell r="K940">
            <v>78.739999999999995</v>
          </cell>
          <cell r="Q940">
            <v>1.3501000000000001</v>
          </cell>
        </row>
        <row r="941">
          <cell r="K941">
            <v>80.37</v>
          </cell>
          <cell r="Q941">
            <v>1.3781000000000001</v>
          </cell>
        </row>
        <row r="942">
          <cell r="K942">
            <v>79.98</v>
          </cell>
          <cell r="Q942">
            <v>1.3714</v>
          </cell>
        </row>
        <row r="943">
          <cell r="K943">
            <v>79.34</v>
          </cell>
          <cell r="Q943">
            <v>1.3604000000000001</v>
          </cell>
        </row>
        <row r="944">
          <cell r="K944">
            <v>80.290000000000006</v>
          </cell>
          <cell r="Q944">
            <v>1.3767</v>
          </cell>
        </row>
        <row r="945">
          <cell r="K945">
            <v>79.91</v>
          </cell>
          <cell r="Q945">
            <v>1.3702000000000001</v>
          </cell>
        </row>
        <row r="946">
          <cell r="K946">
            <v>79.75</v>
          </cell>
          <cell r="Q946">
            <v>1.3674999999999999</v>
          </cell>
        </row>
        <row r="947">
          <cell r="K947">
            <v>80.239999999999995</v>
          </cell>
          <cell r="Q947">
            <v>1.3758999999999999</v>
          </cell>
        </row>
        <row r="948">
          <cell r="K948">
            <v>78.55</v>
          </cell>
          <cell r="Q948">
            <v>1.3469</v>
          </cell>
        </row>
        <row r="949">
          <cell r="K949">
            <v>80.319999999999993</v>
          </cell>
          <cell r="Q949">
            <v>1.3772</v>
          </cell>
        </row>
        <row r="950">
          <cell r="K950">
            <v>78.89</v>
          </cell>
          <cell r="Q950">
            <v>1.3527</v>
          </cell>
        </row>
        <row r="951">
          <cell r="K951">
            <v>78.33</v>
          </cell>
          <cell r="Q951">
            <v>1.3431</v>
          </cell>
        </row>
        <row r="952">
          <cell r="K952">
            <v>79.05</v>
          </cell>
          <cell r="Q952">
            <v>1.3554999999999999</v>
          </cell>
        </row>
        <row r="953">
          <cell r="K953">
            <v>78.650000000000006</v>
          </cell>
          <cell r="Q953">
            <v>1.3486</v>
          </cell>
        </row>
        <row r="954">
          <cell r="K954">
            <v>78.22</v>
          </cell>
          <cell r="Q954">
            <v>1.3411999999999999</v>
          </cell>
        </row>
        <row r="955">
          <cell r="K955">
            <v>77.739999999999995</v>
          </cell>
          <cell r="Q955">
            <v>1.333</v>
          </cell>
        </row>
        <row r="956">
          <cell r="K956">
            <v>78.599999999999994</v>
          </cell>
          <cell r="Q956">
            <v>1.3476999999999999</v>
          </cell>
        </row>
        <row r="957">
          <cell r="K957">
            <v>79.27</v>
          </cell>
          <cell r="Q957">
            <v>1.3592</v>
          </cell>
        </row>
        <row r="958">
          <cell r="K958">
            <v>79.75</v>
          </cell>
          <cell r="Q958">
            <v>1.3674999999999999</v>
          </cell>
        </row>
        <row r="959">
          <cell r="K959">
            <v>79.88</v>
          </cell>
          <cell r="Q959">
            <v>1.3696999999999999</v>
          </cell>
        </row>
        <row r="960">
          <cell r="K960">
            <v>83.18</v>
          </cell>
          <cell r="Q960">
            <v>1.4262999999999999</v>
          </cell>
        </row>
        <row r="961">
          <cell r="K961">
            <v>83.54</v>
          </cell>
          <cell r="Q961">
            <v>1.4323999999999999</v>
          </cell>
        </row>
        <row r="962">
          <cell r="K962">
            <v>83.12</v>
          </cell>
          <cell r="Q962">
            <v>1.4252</v>
          </cell>
        </row>
        <row r="963">
          <cell r="K963">
            <v>81.91</v>
          </cell>
          <cell r="Q963">
            <v>1.4045000000000001</v>
          </cell>
        </row>
        <row r="964">
          <cell r="K964">
            <v>82.46</v>
          </cell>
          <cell r="Q964">
            <v>1.4138999999999999</v>
          </cell>
        </row>
        <row r="965">
          <cell r="K965">
            <v>82.44</v>
          </cell>
          <cell r="Q965">
            <v>1.4136</v>
          </cell>
        </row>
        <row r="966">
          <cell r="K966">
            <v>81.040000000000006</v>
          </cell>
          <cell r="Q966">
            <v>1.3895999999999999</v>
          </cell>
        </row>
        <row r="967">
          <cell r="K967">
            <v>81.819999999999993</v>
          </cell>
          <cell r="Q967">
            <v>1.403</v>
          </cell>
        </row>
        <row r="968">
          <cell r="K968">
            <v>80.37</v>
          </cell>
          <cell r="Q968">
            <v>1.3781000000000001</v>
          </cell>
        </row>
        <row r="969">
          <cell r="K969">
            <v>81.17</v>
          </cell>
          <cell r="Q969">
            <v>1.3917999999999999</v>
          </cell>
        </row>
        <row r="970">
          <cell r="K970">
            <v>83.11</v>
          </cell>
          <cell r="Q970">
            <v>1.4251</v>
          </cell>
        </row>
        <row r="971">
          <cell r="K971">
            <v>83.97</v>
          </cell>
          <cell r="Q971">
            <v>1.4398</v>
          </cell>
        </row>
        <row r="972">
          <cell r="K972">
            <v>84</v>
          </cell>
          <cell r="Q972">
            <v>1.4402999999999999</v>
          </cell>
        </row>
        <row r="973">
          <cell r="K973">
            <v>82.63</v>
          </cell>
          <cell r="Q973">
            <v>1.4168000000000001</v>
          </cell>
        </row>
        <row r="974">
          <cell r="K974">
            <v>84.69</v>
          </cell>
          <cell r="Q974">
            <v>1.4521999999999999</v>
          </cell>
        </row>
        <row r="975">
          <cell r="K975">
            <v>84.13</v>
          </cell>
          <cell r="Q975">
            <v>1.4426000000000001</v>
          </cell>
        </row>
        <row r="976">
          <cell r="K976">
            <v>83.67</v>
          </cell>
          <cell r="Q976">
            <v>1.4347000000000001</v>
          </cell>
        </row>
        <row r="977">
          <cell r="K977">
            <v>84.6</v>
          </cell>
          <cell r="Q977">
            <v>1.4505999999999999</v>
          </cell>
        </row>
        <row r="978">
          <cell r="K978">
            <v>87.45</v>
          </cell>
          <cell r="Q978">
            <v>1.4995000000000001</v>
          </cell>
        </row>
        <row r="979">
          <cell r="K979">
            <v>88.62</v>
          </cell>
          <cell r="Q979">
            <v>1.5196000000000001</v>
          </cell>
        </row>
        <row r="980">
          <cell r="K980">
            <v>89.38</v>
          </cell>
          <cell r="Q980">
            <v>1.5326</v>
          </cell>
        </row>
        <row r="981">
          <cell r="K981">
            <v>89.2</v>
          </cell>
          <cell r="Q981">
            <v>1.5295000000000001</v>
          </cell>
        </row>
        <row r="982">
          <cell r="K982">
            <v>90.35</v>
          </cell>
          <cell r="Q982">
            <v>1.5491999999999999</v>
          </cell>
        </row>
        <row r="983">
          <cell r="K983">
            <v>89.62</v>
          </cell>
          <cell r="Q983">
            <v>1.5367</v>
          </cell>
        </row>
        <row r="984">
          <cell r="K984">
            <v>89.67</v>
          </cell>
          <cell r="Q984">
            <v>1.5376000000000001</v>
          </cell>
        </row>
        <row r="985">
          <cell r="K985">
            <v>89.94</v>
          </cell>
          <cell r="Q985">
            <v>1.5422</v>
          </cell>
        </row>
        <row r="986">
          <cell r="K986">
            <v>91.63</v>
          </cell>
          <cell r="Q986">
            <v>1.5711999999999999</v>
          </cell>
        </row>
        <row r="987">
          <cell r="K987">
            <v>92.09</v>
          </cell>
          <cell r="Q987">
            <v>1.5790999999999999</v>
          </cell>
        </row>
        <row r="988">
          <cell r="K988">
            <v>93.12</v>
          </cell>
          <cell r="Q988">
            <v>1.5967</v>
          </cell>
        </row>
        <row r="989">
          <cell r="K989">
            <v>93.2</v>
          </cell>
          <cell r="Q989">
            <v>1.5981000000000001</v>
          </cell>
        </row>
        <row r="990">
          <cell r="K990">
            <v>92.59</v>
          </cell>
          <cell r="Q990">
            <v>1.5875999999999999</v>
          </cell>
        </row>
        <row r="991">
          <cell r="K991">
            <v>93.3</v>
          </cell>
          <cell r="Q991">
            <v>1.5998000000000001</v>
          </cell>
        </row>
        <row r="992">
          <cell r="K992">
            <v>94.63</v>
          </cell>
          <cell r="Q992">
            <v>1.6226</v>
          </cell>
        </row>
        <row r="993">
          <cell r="K993">
            <v>94.57</v>
          </cell>
          <cell r="Q993">
            <v>1.6215999999999999</v>
          </cell>
        </row>
        <row r="994">
          <cell r="K994">
            <v>94.45</v>
          </cell>
          <cell r="Q994">
            <v>1.6194999999999999</v>
          </cell>
        </row>
        <row r="995">
          <cell r="K995">
            <v>94.07</v>
          </cell>
          <cell r="Q995">
            <v>1.613</v>
          </cell>
        </row>
        <row r="996">
          <cell r="K996">
            <v>93.69</v>
          </cell>
          <cell r="Q996">
            <v>1.6065</v>
          </cell>
        </row>
        <row r="997">
          <cell r="K997">
            <v>93.78</v>
          </cell>
          <cell r="Q997">
            <v>1.6080000000000001</v>
          </cell>
        </row>
        <row r="998">
          <cell r="K998">
            <v>93.87</v>
          </cell>
          <cell r="Q998">
            <v>1.6095999999999999</v>
          </cell>
        </row>
        <row r="999">
          <cell r="K999">
            <v>93.66</v>
          </cell>
          <cell r="Q999">
            <v>1.431</v>
          </cell>
        </row>
        <row r="1000">
          <cell r="K1000">
            <v>94.15</v>
          </cell>
          <cell r="Q1000">
            <v>1.4384999999999999</v>
          </cell>
        </row>
        <row r="1001">
          <cell r="K1001">
            <v>93.71</v>
          </cell>
          <cell r="Q1001">
            <v>1.4317</v>
          </cell>
        </row>
        <row r="1002">
          <cell r="K1002">
            <v>94.52</v>
          </cell>
          <cell r="Q1002">
            <v>1.4440999999999999</v>
          </cell>
        </row>
        <row r="1003">
          <cell r="K1003">
            <v>93.54</v>
          </cell>
          <cell r="Q1003">
            <v>1.4291</v>
          </cell>
        </row>
        <row r="1004">
          <cell r="K1004">
            <v>93.73</v>
          </cell>
          <cell r="Q1004">
            <v>1.4319999999999999</v>
          </cell>
        </row>
        <row r="1005">
          <cell r="K1005">
            <v>93.39</v>
          </cell>
          <cell r="Q1005">
            <v>1.4268000000000001</v>
          </cell>
        </row>
        <row r="1006">
          <cell r="K1006">
            <v>93.95</v>
          </cell>
          <cell r="Q1006">
            <v>1.4354</v>
          </cell>
        </row>
        <row r="1007">
          <cell r="K1007">
            <v>93.49</v>
          </cell>
          <cell r="Q1007">
            <v>1.4283999999999999</v>
          </cell>
        </row>
        <row r="1008">
          <cell r="K1008">
            <v>94.14</v>
          </cell>
          <cell r="Q1008">
            <v>1.4382999999999999</v>
          </cell>
        </row>
        <row r="1009">
          <cell r="K1009">
            <v>94.01</v>
          </cell>
          <cell r="Q1009">
            <v>1.4362999999999999</v>
          </cell>
        </row>
        <row r="1010">
          <cell r="K1010">
            <v>96.23</v>
          </cell>
          <cell r="Q1010">
            <v>1.4702</v>
          </cell>
        </row>
        <row r="1011">
          <cell r="K1011">
            <v>95.54</v>
          </cell>
          <cell r="Q1011">
            <v>1.4597</v>
          </cell>
        </row>
        <row r="1012">
          <cell r="K1012">
            <v>93.61</v>
          </cell>
          <cell r="Q1012">
            <v>1.4301999999999999</v>
          </cell>
        </row>
        <row r="1013">
          <cell r="K1013">
            <v>92.75</v>
          </cell>
          <cell r="Q1013">
            <v>1.4171</v>
          </cell>
        </row>
        <row r="1014">
          <cell r="K1014">
            <v>94.57</v>
          </cell>
          <cell r="Q1014">
            <v>1.4449000000000001</v>
          </cell>
        </row>
        <row r="1015">
          <cell r="K1015">
            <v>94.39</v>
          </cell>
          <cell r="Q1015">
            <v>1.4420999999999999</v>
          </cell>
        </row>
        <row r="1016">
          <cell r="K1016">
            <v>95.75</v>
          </cell>
          <cell r="Q1016">
            <v>1.4629000000000001</v>
          </cell>
        </row>
        <row r="1017">
          <cell r="K1017">
            <v>96.63</v>
          </cell>
          <cell r="Q1017">
            <v>1.4762999999999999</v>
          </cell>
        </row>
        <row r="1018">
          <cell r="K1018">
            <v>95.68</v>
          </cell>
          <cell r="Q1018">
            <v>1.4618</v>
          </cell>
        </row>
        <row r="1019">
          <cell r="K1019">
            <v>97.01</v>
          </cell>
          <cell r="Q1019">
            <v>1.4822</v>
          </cell>
        </row>
        <row r="1020">
          <cell r="K1020">
            <v>98.01</v>
          </cell>
          <cell r="Q1020">
            <v>1.4974000000000001</v>
          </cell>
        </row>
        <row r="1021">
          <cell r="K1021">
            <v>99.09</v>
          </cell>
          <cell r="Q1021">
            <v>1.5139</v>
          </cell>
        </row>
        <row r="1022">
          <cell r="K1022">
            <v>98.93</v>
          </cell>
          <cell r="Q1022">
            <v>1.5115000000000001</v>
          </cell>
        </row>
        <row r="1023">
          <cell r="K1023">
            <v>99.59</v>
          </cell>
          <cell r="Q1023">
            <v>1.5216000000000001</v>
          </cell>
        </row>
        <row r="1024">
          <cell r="K1024">
            <v>100.47</v>
          </cell>
          <cell r="Q1024">
            <v>1.5349999999999999</v>
          </cell>
        </row>
        <row r="1025">
          <cell r="K1025">
            <v>100.61</v>
          </cell>
          <cell r="Q1025">
            <v>1.5371999999999999</v>
          </cell>
        </row>
        <row r="1026">
          <cell r="K1026">
            <v>99.79</v>
          </cell>
          <cell r="Q1026">
            <v>1.5246</v>
          </cell>
        </row>
        <row r="1027">
          <cell r="K1027">
            <v>100.6</v>
          </cell>
          <cell r="Q1027">
            <v>1.5369999999999999</v>
          </cell>
        </row>
        <row r="1028">
          <cell r="K1028">
            <v>103.54</v>
          </cell>
          <cell r="Q1028">
            <v>1.5819000000000001</v>
          </cell>
        </row>
        <row r="1029">
          <cell r="K1029">
            <v>103.26</v>
          </cell>
          <cell r="Q1029">
            <v>1.5775999999999999</v>
          </cell>
        </row>
        <row r="1030">
          <cell r="K1030">
            <v>103</v>
          </cell>
          <cell r="Q1030">
            <v>1.5737000000000001</v>
          </cell>
        </row>
        <row r="1031">
          <cell r="K1031">
            <v>103.55</v>
          </cell>
          <cell r="Q1031">
            <v>1.5821000000000001</v>
          </cell>
        </row>
        <row r="1032">
          <cell r="K1032">
            <v>103.36</v>
          </cell>
          <cell r="Q1032">
            <v>1.5791999999999999</v>
          </cell>
        </row>
        <row r="1033">
          <cell r="K1033">
            <v>105.86</v>
          </cell>
          <cell r="Q1033">
            <v>1.6173999999999999</v>
          </cell>
        </row>
        <row r="1034">
          <cell r="K1034">
            <v>102.01</v>
          </cell>
          <cell r="Q1034">
            <v>1.5585</v>
          </cell>
        </row>
        <row r="1035">
          <cell r="K1035">
            <v>100.02</v>
          </cell>
          <cell r="Q1035">
            <v>1.5281</v>
          </cell>
        </row>
        <row r="1036">
          <cell r="K1036">
            <v>100.57</v>
          </cell>
          <cell r="Q1036">
            <v>1.5365</v>
          </cell>
        </row>
        <row r="1037">
          <cell r="K1037">
            <v>102</v>
          </cell>
          <cell r="Q1037">
            <v>1.5584</v>
          </cell>
        </row>
        <row r="1038">
          <cell r="K1038">
            <v>102.93</v>
          </cell>
          <cell r="Q1038">
            <v>1.5726</v>
          </cell>
        </row>
        <row r="1039">
          <cell r="K1039">
            <v>99.86</v>
          </cell>
          <cell r="Q1039">
            <v>1.5257000000000001</v>
          </cell>
        </row>
        <row r="1040">
          <cell r="K1040">
            <v>100.97</v>
          </cell>
          <cell r="Q1040">
            <v>1.5427</v>
          </cell>
        </row>
        <row r="1041">
          <cell r="K1041">
            <v>104.25</v>
          </cell>
          <cell r="Q1041">
            <v>1.5928</v>
          </cell>
        </row>
        <row r="1042">
          <cell r="K1042">
            <v>103.04</v>
          </cell>
          <cell r="Q1042">
            <v>1.5743</v>
          </cell>
        </row>
        <row r="1043">
          <cell r="K1043">
            <v>102.13</v>
          </cell>
          <cell r="Q1043">
            <v>1.5604</v>
          </cell>
        </row>
        <row r="1044">
          <cell r="K1044">
            <v>104.13</v>
          </cell>
          <cell r="Q1044">
            <v>1.5909</v>
          </cell>
        </row>
        <row r="1045">
          <cell r="K1045">
            <v>102.36</v>
          </cell>
          <cell r="Q1045">
            <v>1.5639000000000001</v>
          </cell>
        </row>
        <row r="1046">
          <cell r="K1046">
            <v>98.39</v>
          </cell>
          <cell r="Q1046">
            <v>1.5032000000000001</v>
          </cell>
        </row>
        <row r="1047">
          <cell r="K1047">
            <v>100.02</v>
          </cell>
          <cell r="Q1047">
            <v>1.5281</v>
          </cell>
        </row>
        <row r="1048">
          <cell r="K1048">
            <v>102.1</v>
          </cell>
          <cell r="Q1048">
            <v>1.5599000000000001</v>
          </cell>
        </row>
        <row r="1049">
          <cell r="K1049">
            <v>100.75</v>
          </cell>
          <cell r="Q1049">
            <v>1.5392999999999999</v>
          </cell>
        </row>
        <row r="1050">
          <cell r="K1050">
            <v>100.4</v>
          </cell>
          <cell r="Q1050">
            <v>1.5339</v>
          </cell>
        </row>
        <row r="1051">
          <cell r="K1051">
            <v>103.12</v>
          </cell>
          <cell r="Q1051">
            <v>1.5754999999999999</v>
          </cell>
        </row>
        <row r="1052">
          <cell r="K1052">
            <v>105.06</v>
          </cell>
          <cell r="Q1052">
            <v>1.6051</v>
          </cell>
        </row>
        <row r="1053">
          <cell r="K1053">
            <v>107.59</v>
          </cell>
          <cell r="Q1053">
            <v>1.6437999999999999</v>
          </cell>
        </row>
        <row r="1054">
          <cell r="K1054">
            <v>106.79</v>
          </cell>
          <cell r="Q1054">
            <v>1.6315999999999999</v>
          </cell>
        </row>
        <row r="1055">
          <cell r="K1055">
            <v>106.76</v>
          </cell>
          <cell r="Q1055">
            <v>1.6311</v>
          </cell>
        </row>
        <row r="1056">
          <cell r="K1056">
            <v>108.37</v>
          </cell>
          <cell r="Q1056">
            <v>1.6556999999999999</v>
          </cell>
        </row>
        <row r="1057">
          <cell r="K1057">
            <v>109.09</v>
          </cell>
          <cell r="Q1057">
            <v>1.6667000000000001</v>
          </cell>
        </row>
        <row r="1058">
          <cell r="K1058">
            <v>109.4</v>
          </cell>
          <cell r="Q1058">
            <v>1.6715</v>
          </cell>
        </row>
        <row r="1059">
          <cell r="K1059">
            <v>110.54</v>
          </cell>
          <cell r="Q1059">
            <v>1.6889000000000001</v>
          </cell>
        </row>
        <row r="1060">
          <cell r="K1060">
            <v>111.53</v>
          </cell>
          <cell r="Q1060">
            <v>1.704</v>
          </cell>
        </row>
        <row r="1061">
          <cell r="K1061">
            <v>111.35</v>
          </cell>
          <cell r="Q1061">
            <v>1.5444</v>
          </cell>
        </row>
        <row r="1062">
          <cell r="K1062">
            <v>113.12</v>
          </cell>
          <cell r="Q1062">
            <v>1.5689</v>
          </cell>
        </row>
        <row r="1063">
          <cell r="K1063">
            <v>113.38</v>
          </cell>
          <cell r="Q1063">
            <v>1.5726</v>
          </cell>
        </row>
        <row r="1064">
          <cell r="K1064">
            <v>112.31</v>
          </cell>
          <cell r="Q1064">
            <v>1.5577000000000001</v>
          </cell>
        </row>
        <row r="1065">
          <cell r="K1065">
            <v>111</v>
          </cell>
          <cell r="Q1065">
            <v>1.5395000000000001</v>
          </cell>
        </row>
        <row r="1066">
          <cell r="K1066">
            <v>109.85</v>
          </cell>
          <cell r="Q1066">
            <v>1.5236000000000001</v>
          </cell>
        </row>
        <row r="1067">
          <cell r="K1067">
            <v>109.82</v>
          </cell>
          <cell r="Q1067">
            <v>1.5232000000000001</v>
          </cell>
        </row>
        <row r="1068">
          <cell r="K1068">
            <v>109.07</v>
          </cell>
          <cell r="Q1068">
            <v>1.5127999999999999</v>
          </cell>
        </row>
        <row r="1069">
          <cell r="K1069">
            <v>106.57</v>
          </cell>
          <cell r="Q1069">
            <v>1.4781</v>
          </cell>
        </row>
        <row r="1070">
          <cell r="K1070">
            <v>107.63</v>
          </cell>
          <cell r="Q1070">
            <v>1.4927999999999999</v>
          </cell>
        </row>
        <row r="1071">
          <cell r="K1071">
            <v>107.58</v>
          </cell>
          <cell r="Q1071">
            <v>1.4921</v>
          </cell>
        </row>
        <row r="1072">
          <cell r="K1072">
            <v>107.21</v>
          </cell>
          <cell r="Q1072">
            <v>1.4870000000000001</v>
          </cell>
        </row>
        <row r="1073">
          <cell r="K1073">
            <v>103.9</v>
          </cell>
          <cell r="Q1073">
            <v>1.4411</v>
          </cell>
        </row>
        <row r="1074">
          <cell r="K1074">
            <v>106.1</v>
          </cell>
          <cell r="Q1074">
            <v>1.4716</v>
          </cell>
        </row>
        <row r="1075">
          <cell r="K1075">
            <v>108.28</v>
          </cell>
          <cell r="Q1075">
            <v>1.5018</v>
          </cell>
        </row>
        <row r="1076">
          <cell r="K1076">
            <v>109.42</v>
          </cell>
          <cell r="Q1076">
            <v>1.5176000000000001</v>
          </cell>
        </row>
        <row r="1077">
          <cell r="K1077">
            <v>108.85</v>
          </cell>
          <cell r="Q1077">
            <v>1.5097</v>
          </cell>
        </row>
        <row r="1078">
          <cell r="K1078">
            <v>111.94</v>
          </cell>
          <cell r="Q1078">
            <v>1.5526</v>
          </cell>
        </row>
        <row r="1079">
          <cell r="K1079">
            <v>112.61</v>
          </cell>
          <cell r="Q1079">
            <v>1.5619000000000001</v>
          </cell>
        </row>
        <row r="1080">
          <cell r="K1080">
            <v>112.64</v>
          </cell>
          <cell r="Q1080">
            <v>1.5623</v>
          </cell>
        </row>
        <row r="1081">
          <cell r="K1081">
            <v>115.41</v>
          </cell>
          <cell r="Q1081">
            <v>1.6007</v>
          </cell>
        </row>
        <row r="1082">
          <cell r="K1082">
            <v>114.37</v>
          </cell>
          <cell r="Q1082">
            <v>1.5863</v>
          </cell>
        </row>
        <row r="1083">
          <cell r="K1083">
            <v>113.27</v>
          </cell>
          <cell r="Q1083">
            <v>1.571</v>
          </cell>
        </row>
        <row r="1084">
          <cell r="K1084">
            <v>110.77</v>
          </cell>
          <cell r="Q1084">
            <v>1.5364</v>
          </cell>
        </row>
        <row r="1085">
          <cell r="K1085">
            <v>109.39</v>
          </cell>
          <cell r="Q1085">
            <v>1.5172000000000001</v>
          </cell>
        </row>
        <row r="1086">
          <cell r="K1086">
            <v>110.34</v>
          </cell>
          <cell r="Q1086">
            <v>1.5304</v>
          </cell>
        </row>
        <row r="1087">
          <cell r="K1087">
            <v>111.66</v>
          </cell>
          <cell r="Q1087">
            <v>1.5487</v>
          </cell>
        </row>
        <row r="1088">
          <cell r="K1088">
            <v>112.87</v>
          </cell>
          <cell r="Q1088">
            <v>1.5654999999999999</v>
          </cell>
        </row>
        <row r="1089">
          <cell r="K1089">
            <v>109.98</v>
          </cell>
          <cell r="Q1089">
            <v>1.5254000000000001</v>
          </cell>
        </row>
        <row r="1090">
          <cell r="K1090">
            <v>108.63</v>
          </cell>
          <cell r="Q1090">
            <v>1.5066999999999999</v>
          </cell>
        </row>
        <row r="1091">
          <cell r="K1091">
            <v>106.33</v>
          </cell>
          <cell r="Q1091">
            <v>1.4748000000000001</v>
          </cell>
        </row>
        <row r="1092">
          <cell r="K1092">
            <v>106.09</v>
          </cell>
          <cell r="Q1092">
            <v>1.4714</v>
          </cell>
        </row>
        <row r="1093">
          <cell r="K1093">
            <v>102.08</v>
          </cell>
          <cell r="Q1093">
            <v>1.4157999999999999</v>
          </cell>
        </row>
        <row r="1094">
          <cell r="K1094">
            <v>105.25</v>
          </cell>
          <cell r="Q1094">
            <v>1.4598</v>
          </cell>
        </row>
        <row r="1095">
          <cell r="K1095">
            <v>105.3</v>
          </cell>
          <cell r="Q1095">
            <v>1.4604999999999999</v>
          </cell>
        </row>
        <row r="1096">
          <cell r="K1096">
            <v>104.33</v>
          </cell>
          <cell r="Q1096">
            <v>1.4470000000000001</v>
          </cell>
        </row>
        <row r="1097">
          <cell r="K1097">
            <v>101.89</v>
          </cell>
          <cell r="Q1097">
            <v>1.4132</v>
          </cell>
        </row>
        <row r="1098">
          <cell r="K1098">
            <v>101.55</v>
          </cell>
          <cell r="Q1098">
            <v>1.4085000000000001</v>
          </cell>
        </row>
        <row r="1099">
          <cell r="K1099">
            <v>103.25</v>
          </cell>
          <cell r="Q1099">
            <v>1.4320999999999999</v>
          </cell>
        </row>
        <row r="1100">
          <cell r="K1100">
            <v>104.19</v>
          </cell>
          <cell r="Q1100">
            <v>1.4451000000000001</v>
          </cell>
        </row>
        <row r="1101">
          <cell r="K1101">
            <v>104.6</v>
          </cell>
          <cell r="Q1101">
            <v>1.4508000000000001</v>
          </cell>
        </row>
        <row r="1102">
          <cell r="K1102">
            <v>105.8</v>
          </cell>
          <cell r="Q1102">
            <v>1.4674</v>
          </cell>
        </row>
        <row r="1103">
          <cell r="K1103">
            <v>101.24</v>
          </cell>
          <cell r="Q1103">
            <v>1.4041999999999999</v>
          </cell>
        </row>
        <row r="1104">
          <cell r="K1104">
            <v>102.19</v>
          </cell>
          <cell r="Q1104">
            <v>1.4173</v>
          </cell>
        </row>
        <row r="1105">
          <cell r="K1105">
            <v>101.1</v>
          </cell>
          <cell r="Q1105">
            <v>1.4021999999999999</v>
          </cell>
        </row>
        <row r="1106">
          <cell r="K1106">
            <v>99.86</v>
          </cell>
          <cell r="Q1106">
            <v>1.385</v>
          </cell>
        </row>
        <row r="1107">
          <cell r="K1107">
            <v>99.88</v>
          </cell>
          <cell r="Q1107">
            <v>1.3853</v>
          </cell>
        </row>
        <row r="1108">
          <cell r="K1108">
            <v>98.04</v>
          </cell>
          <cell r="Q1108">
            <v>1.3597999999999999</v>
          </cell>
        </row>
        <row r="1109">
          <cell r="K1109">
            <v>99.26</v>
          </cell>
          <cell r="Q1109">
            <v>1.3767</v>
          </cell>
        </row>
        <row r="1110">
          <cell r="K1110">
            <v>96.79</v>
          </cell>
          <cell r="Q1110">
            <v>1.3425</v>
          </cell>
        </row>
        <row r="1111">
          <cell r="K1111">
            <v>95.44</v>
          </cell>
          <cell r="Q1111">
            <v>1.3237000000000001</v>
          </cell>
        </row>
        <row r="1112">
          <cell r="K1112">
            <v>97.86</v>
          </cell>
          <cell r="Q1112">
            <v>1.3573</v>
          </cell>
        </row>
        <row r="1113">
          <cell r="K1113">
            <v>95.65</v>
          </cell>
          <cell r="Q1113">
            <v>1.3266</v>
          </cell>
        </row>
        <row r="1114">
          <cell r="K1114">
            <v>95.46</v>
          </cell>
          <cell r="Q1114">
            <v>1.3240000000000001</v>
          </cell>
        </row>
        <row r="1115">
          <cell r="K1115">
            <v>95.95</v>
          </cell>
          <cell r="Q1115">
            <v>1.3308</v>
          </cell>
        </row>
        <row r="1116">
          <cell r="K1116">
            <v>98.18</v>
          </cell>
          <cell r="Q1116">
            <v>1.3616999999999999</v>
          </cell>
        </row>
        <row r="1117">
          <cell r="K1117">
            <v>101.39</v>
          </cell>
          <cell r="Q1117">
            <v>1.4063000000000001</v>
          </cell>
        </row>
        <row r="1118">
          <cell r="K1118">
            <v>100.15</v>
          </cell>
          <cell r="Q1118">
            <v>1.3891</v>
          </cell>
        </row>
        <row r="1119">
          <cell r="K1119">
            <v>100.55</v>
          </cell>
          <cell r="Q1119">
            <v>1.3946000000000001</v>
          </cell>
        </row>
        <row r="1120">
          <cell r="K1120">
            <v>100.01</v>
          </cell>
          <cell r="Q1120">
            <v>1.3871</v>
          </cell>
        </row>
        <row r="1121">
          <cell r="K1121">
            <v>100.8</v>
          </cell>
          <cell r="Q1121">
            <v>1.3980999999999999</v>
          </cell>
        </row>
        <row r="1122">
          <cell r="K1122">
            <v>103.84</v>
          </cell>
          <cell r="Q1122">
            <v>1.4401999999999999</v>
          </cell>
        </row>
        <row r="1123">
          <cell r="K1123">
            <v>103.36</v>
          </cell>
          <cell r="Q1123">
            <v>1.4336</v>
          </cell>
        </row>
        <row r="1124">
          <cell r="K1124">
            <v>106.46</v>
          </cell>
          <cell r="Q1124">
            <v>1.3767</v>
          </cell>
        </row>
        <row r="1125">
          <cell r="K1125">
            <v>108.62</v>
          </cell>
          <cell r="Q1125">
            <v>1.4047000000000001</v>
          </cell>
        </row>
        <row r="1126">
          <cell r="K1126">
            <v>108.43</v>
          </cell>
          <cell r="Q1126">
            <v>1.4021999999999999</v>
          </cell>
        </row>
        <row r="1127">
          <cell r="K1127">
            <v>110.08</v>
          </cell>
          <cell r="Q1127">
            <v>1.4235</v>
          </cell>
        </row>
        <row r="1128">
          <cell r="K1128">
            <v>111.63</v>
          </cell>
          <cell r="Q1128">
            <v>1.4436</v>
          </cell>
        </row>
        <row r="1129">
          <cell r="K1129">
            <v>110.41</v>
          </cell>
          <cell r="Q1129">
            <v>1.4278</v>
          </cell>
        </row>
        <row r="1130">
          <cell r="K1130">
            <v>108.16</v>
          </cell>
          <cell r="Q1130">
            <v>1.3987000000000001</v>
          </cell>
        </row>
        <row r="1131">
          <cell r="K1131">
            <v>106.93</v>
          </cell>
          <cell r="Q1131">
            <v>1.3828</v>
          </cell>
        </row>
        <row r="1132">
          <cell r="K1132">
            <v>108.64</v>
          </cell>
          <cell r="Q1132">
            <v>1.4049</v>
          </cell>
        </row>
        <row r="1133">
          <cell r="K1133">
            <v>107.58</v>
          </cell>
          <cell r="Q1133">
            <v>1.3912</v>
          </cell>
        </row>
        <row r="1134">
          <cell r="K1134">
            <v>109.36</v>
          </cell>
          <cell r="Q1134">
            <v>1.4141999999999999</v>
          </cell>
        </row>
        <row r="1135">
          <cell r="K1135">
            <v>107.8</v>
          </cell>
          <cell r="Q1135">
            <v>1.3940999999999999</v>
          </cell>
        </row>
        <row r="1136">
          <cell r="K1136">
            <v>109.64</v>
          </cell>
          <cell r="Q1136">
            <v>1.4177999999999999</v>
          </cell>
        </row>
        <row r="1137">
          <cell r="K1137">
            <v>110.31</v>
          </cell>
          <cell r="Q1137">
            <v>1.4265000000000001</v>
          </cell>
        </row>
        <row r="1138">
          <cell r="K1138">
            <v>111.6</v>
          </cell>
          <cell r="Q1138">
            <v>1.4432</v>
          </cell>
        </row>
        <row r="1139">
          <cell r="K1139">
            <v>105.15</v>
          </cell>
          <cell r="Q1139">
            <v>1.3597999999999999</v>
          </cell>
        </row>
        <row r="1140">
          <cell r="K1140">
            <v>105.66</v>
          </cell>
          <cell r="Q1140">
            <v>1.3664000000000001</v>
          </cell>
        </row>
        <row r="1141">
          <cell r="K1141">
            <v>105.2</v>
          </cell>
          <cell r="Q1141">
            <v>1.3604000000000001</v>
          </cell>
        </row>
        <row r="1142">
          <cell r="K1142">
            <v>101.34</v>
          </cell>
          <cell r="Q1142">
            <v>1.3105</v>
          </cell>
        </row>
        <row r="1143">
          <cell r="K1143">
            <v>99.64</v>
          </cell>
          <cell r="Q1143">
            <v>1.2885</v>
          </cell>
        </row>
        <row r="1144">
          <cell r="K1144">
            <v>98.79</v>
          </cell>
          <cell r="Q1144">
            <v>1.2775000000000001</v>
          </cell>
        </row>
        <row r="1145">
          <cell r="K1145">
            <v>100.72</v>
          </cell>
          <cell r="Q1145">
            <v>1.3025</v>
          </cell>
        </row>
        <row r="1146">
          <cell r="K1146">
            <v>97.18</v>
          </cell>
          <cell r="Q1146">
            <v>1.2566999999999999</v>
          </cell>
        </row>
        <row r="1147">
          <cell r="K1147">
            <v>96.28</v>
          </cell>
          <cell r="Q1147">
            <v>1.2451000000000001</v>
          </cell>
        </row>
        <row r="1148">
          <cell r="K1148">
            <v>89.55</v>
          </cell>
          <cell r="Q1148">
            <v>1.1579999999999999</v>
          </cell>
        </row>
        <row r="1149">
          <cell r="K1149">
            <v>90.99</v>
          </cell>
          <cell r="Q1149">
            <v>1.1767000000000001</v>
          </cell>
        </row>
        <row r="1150">
          <cell r="K1150">
            <v>82.6</v>
          </cell>
          <cell r="Q1150">
            <v>1.0682</v>
          </cell>
        </row>
        <row r="1151">
          <cell r="K1151">
            <v>87.48</v>
          </cell>
          <cell r="Q1151">
            <v>1.1313</v>
          </cell>
        </row>
        <row r="1152">
          <cell r="K1152">
            <v>83.51</v>
          </cell>
          <cell r="Q1152">
            <v>1.0799000000000001</v>
          </cell>
        </row>
        <row r="1153">
          <cell r="K1153">
            <v>87.25</v>
          </cell>
          <cell r="Q1153">
            <v>1.1283000000000001</v>
          </cell>
        </row>
        <row r="1154">
          <cell r="K1154">
            <v>89.81</v>
          </cell>
          <cell r="Q1154">
            <v>1.1614</v>
          </cell>
        </row>
        <row r="1155">
          <cell r="K1155">
            <v>91.37</v>
          </cell>
          <cell r="Q1155">
            <v>1.1816</v>
          </cell>
        </row>
        <row r="1156">
          <cell r="K1156">
            <v>89.35</v>
          </cell>
          <cell r="Q1156">
            <v>1.1555</v>
          </cell>
        </row>
        <row r="1157">
          <cell r="K1157">
            <v>87.64</v>
          </cell>
          <cell r="Q1157">
            <v>1.1333</v>
          </cell>
        </row>
        <row r="1158">
          <cell r="K1158">
            <v>83.33</v>
          </cell>
          <cell r="Q1158">
            <v>1.0775999999999999</v>
          </cell>
        </row>
        <row r="1159">
          <cell r="K1159">
            <v>79.97</v>
          </cell>
          <cell r="Q1159">
            <v>1.0342</v>
          </cell>
        </row>
        <row r="1160">
          <cell r="K1160">
            <v>79.89</v>
          </cell>
          <cell r="Q1160">
            <v>1.0330999999999999</v>
          </cell>
        </row>
        <row r="1161">
          <cell r="K1161">
            <v>82.98</v>
          </cell>
          <cell r="Q1161">
            <v>1.0730999999999999</v>
          </cell>
        </row>
        <row r="1162">
          <cell r="K1162">
            <v>85.4</v>
          </cell>
          <cell r="Q1162">
            <v>1.1044</v>
          </cell>
        </row>
        <row r="1163">
          <cell r="K1163">
            <v>83.25</v>
          </cell>
          <cell r="Q1163">
            <v>1.0766</v>
          </cell>
        </row>
        <row r="1164">
          <cell r="K1164">
            <v>85.16</v>
          </cell>
          <cell r="Q1164">
            <v>1.1012999999999999</v>
          </cell>
        </row>
        <row r="1165">
          <cell r="K1165">
            <v>88.15</v>
          </cell>
          <cell r="Q1165">
            <v>1.1398999999999999</v>
          </cell>
        </row>
        <row r="1166">
          <cell r="K1166">
            <v>89.83</v>
          </cell>
          <cell r="Q1166">
            <v>1.1617</v>
          </cell>
        </row>
        <row r="1167">
          <cell r="K1167">
            <v>91</v>
          </cell>
          <cell r="Q1167">
            <v>1.1768000000000001</v>
          </cell>
        </row>
        <row r="1168">
          <cell r="K1168">
            <v>88.55</v>
          </cell>
          <cell r="Q1168">
            <v>1.1451</v>
          </cell>
        </row>
        <row r="1169">
          <cell r="K1169">
            <v>85.38</v>
          </cell>
          <cell r="Q1169">
            <v>1.1041000000000001</v>
          </cell>
        </row>
        <row r="1170">
          <cell r="K1170">
            <v>85.7</v>
          </cell>
          <cell r="Q1170">
            <v>1.1083000000000001</v>
          </cell>
        </row>
        <row r="1171">
          <cell r="K1171">
            <v>88.69</v>
          </cell>
          <cell r="Q1171">
            <v>1.1469</v>
          </cell>
        </row>
        <row r="1172">
          <cell r="K1172">
            <v>87.04</v>
          </cell>
          <cell r="Q1172">
            <v>1.1255999999999999</v>
          </cell>
        </row>
        <row r="1173">
          <cell r="K1173">
            <v>83.96</v>
          </cell>
          <cell r="Q1173">
            <v>1.0858000000000001</v>
          </cell>
        </row>
        <row r="1174">
          <cell r="K1174">
            <v>83.87</v>
          </cell>
          <cell r="Q1174">
            <v>1.0846</v>
          </cell>
        </row>
        <row r="1175">
          <cell r="K1175">
            <v>85.02</v>
          </cell>
          <cell r="Q1175">
            <v>1.0994999999999999</v>
          </cell>
        </row>
        <row r="1176">
          <cell r="K1176">
            <v>85.45</v>
          </cell>
          <cell r="Q1176">
            <v>1.105</v>
          </cell>
        </row>
        <row r="1177">
          <cell r="K1177">
            <v>86.6</v>
          </cell>
          <cell r="Q1177">
            <v>1.1198999999999999</v>
          </cell>
        </row>
        <row r="1178">
          <cell r="K1178">
            <v>85.9</v>
          </cell>
          <cell r="Q1178">
            <v>1.1108</v>
          </cell>
        </row>
        <row r="1179">
          <cell r="K1179">
            <v>84.6</v>
          </cell>
          <cell r="Q1179">
            <v>1.0940000000000001</v>
          </cell>
        </row>
        <row r="1180">
          <cell r="K1180">
            <v>83.66</v>
          </cell>
          <cell r="Q1180">
            <v>1.0819000000000001</v>
          </cell>
        </row>
        <row r="1181">
          <cell r="K1181">
            <v>79.36</v>
          </cell>
          <cell r="Q1181">
            <v>1.0263</v>
          </cell>
        </row>
        <row r="1182">
          <cell r="K1182">
            <v>73.900000000000006</v>
          </cell>
          <cell r="Q1182">
            <v>0.95569999999999999</v>
          </cell>
        </row>
        <row r="1183">
          <cell r="K1183">
            <v>73.86</v>
          </cell>
          <cell r="Q1183">
            <v>0.95509999999999995</v>
          </cell>
        </row>
        <row r="1184">
          <cell r="K1184">
            <v>76.849999999999994</v>
          </cell>
          <cell r="Q1184">
            <v>0.99380000000000002</v>
          </cell>
        </row>
        <row r="1185">
          <cell r="K1185">
            <v>77.67</v>
          </cell>
          <cell r="Q1185">
            <v>1.0044</v>
          </cell>
        </row>
        <row r="1186">
          <cell r="K1186">
            <v>75.08</v>
          </cell>
          <cell r="Q1186">
            <v>0.97089999999999999</v>
          </cell>
        </row>
        <row r="1187">
          <cell r="K1187">
            <v>75.39</v>
          </cell>
          <cell r="Q1187">
            <v>0.97489999999999999</v>
          </cell>
        </row>
        <row r="1188">
          <cell r="K1188">
            <v>73.84</v>
          </cell>
          <cell r="Q1188">
            <v>0.88109999999999999</v>
          </cell>
        </row>
        <row r="1189">
          <cell r="K1189">
            <v>70.55</v>
          </cell>
          <cell r="Q1189">
            <v>0.84189999999999998</v>
          </cell>
        </row>
        <row r="1190">
          <cell r="K1190">
            <v>72.540000000000006</v>
          </cell>
          <cell r="Q1190">
            <v>0.86560000000000004</v>
          </cell>
        </row>
        <row r="1191">
          <cell r="K1191">
            <v>74.260000000000005</v>
          </cell>
          <cell r="Q1191">
            <v>0.8861</v>
          </cell>
        </row>
        <row r="1192">
          <cell r="K1192">
            <v>77.09</v>
          </cell>
          <cell r="Q1192">
            <v>0.91990000000000005</v>
          </cell>
        </row>
        <row r="1193">
          <cell r="K1193">
            <v>75.52</v>
          </cell>
          <cell r="Q1193">
            <v>0.9012</v>
          </cell>
        </row>
        <row r="1194">
          <cell r="K1194">
            <v>79.13</v>
          </cell>
          <cell r="Q1194">
            <v>0.94420000000000004</v>
          </cell>
        </row>
        <row r="1195">
          <cell r="K1195">
            <v>80.66</v>
          </cell>
          <cell r="Q1195">
            <v>0.96250000000000002</v>
          </cell>
        </row>
        <row r="1196">
          <cell r="K1196">
            <v>81.7</v>
          </cell>
          <cell r="Q1196">
            <v>0.97489999999999999</v>
          </cell>
        </row>
        <row r="1197">
          <cell r="K1197">
            <v>81.44</v>
          </cell>
          <cell r="Q1197">
            <v>0.9718</v>
          </cell>
        </row>
        <row r="1198">
          <cell r="K1198">
            <v>84.09</v>
          </cell>
          <cell r="Q1198">
            <v>1.0034000000000001</v>
          </cell>
        </row>
        <row r="1199">
          <cell r="K1199">
            <v>81.52</v>
          </cell>
          <cell r="Q1199">
            <v>0.9728</v>
          </cell>
        </row>
        <row r="1200">
          <cell r="K1200">
            <v>84.72</v>
          </cell>
          <cell r="Q1200">
            <v>1.0108999999999999</v>
          </cell>
        </row>
        <row r="1201">
          <cell r="K1201">
            <v>83.56</v>
          </cell>
          <cell r="Q1201">
            <v>0.99709999999999999</v>
          </cell>
        </row>
        <row r="1202">
          <cell r="K1202">
            <v>84.26</v>
          </cell>
          <cell r="Q1202">
            <v>1.0054000000000001</v>
          </cell>
        </row>
        <row r="1203">
          <cell r="K1203">
            <v>87.39</v>
          </cell>
          <cell r="Q1203">
            <v>1.0427999999999999</v>
          </cell>
        </row>
        <row r="1204">
          <cell r="K1204">
            <v>91.77</v>
          </cell>
          <cell r="Q1204">
            <v>1.0951</v>
          </cell>
        </row>
        <row r="1205">
          <cell r="K1205">
            <v>89.89</v>
          </cell>
          <cell r="Q1205">
            <v>1.0726</v>
          </cell>
        </row>
        <row r="1206">
          <cell r="K1206">
            <v>91.57</v>
          </cell>
          <cell r="Q1206">
            <v>1.0927</v>
          </cell>
        </row>
        <row r="1207">
          <cell r="K1207">
            <v>96.27</v>
          </cell>
          <cell r="Q1207">
            <v>1.1488</v>
          </cell>
        </row>
        <row r="1208">
          <cell r="K1208">
            <v>96.85</v>
          </cell>
          <cell r="Q1208">
            <v>1.1556999999999999</v>
          </cell>
        </row>
        <row r="1209">
          <cell r="K1209">
            <v>94.46</v>
          </cell>
          <cell r="Q1209">
            <v>1.1272</v>
          </cell>
        </row>
        <row r="1210">
          <cell r="K1210">
            <v>91.63</v>
          </cell>
          <cell r="Q1210">
            <v>1.0933999999999999</v>
          </cell>
        </row>
        <row r="1211">
          <cell r="K1211">
            <v>93.94</v>
          </cell>
          <cell r="Q1211">
            <v>1.121</v>
          </cell>
        </row>
        <row r="1212">
          <cell r="K1212">
            <v>96</v>
          </cell>
          <cell r="Q1212">
            <v>1.1455</v>
          </cell>
        </row>
        <row r="1213">
          <cell r="K1213">
            <v>95.74</v>
          </cell>
          <cell r="Q1213">
            <v>1.1424000000000001</v>
          </cell>
        </row>
        <row r="1214">
          <cell r="K1214">
            <v>95</v>
          </cell>
          <cell r="Q1214">
            <v>1.1335999999999999</v>
          </cell>
        </row>
        <row r="1215">
          <cell r="K1215">
            <v>95.89</v>
          </cell>
          <cell r="Q1215">
            <v>1.1442000000000001</v>
          </cell>
        </row>
        <row r="1216">
          <cell r="K1216">
            <v>91.64</v>
          </cell>
          <cell r="Q1216">
            <v>1.0934999999999999</v>
          </cell>
        </row>
        <row r="1217">
          <cell r="K1217">
            <v>92.2</v>
          </cell>
          <cell r="Q1217">
            <v>1.1002000000000001</v>
          </cell>
        </row>
        <row r="1218">
          <cell r="K1218">
            <v>96.13</v>
          </cell>
          <cell r="Q1218">
            <v>1.1471</v>
          </cell>
        </row>
        <row r="1219">
          <cell r="K1219">
            <v>96.53</v>
          </cell>
          <cell r="Q1219">
            <v>1.1518999999999999</v>
          </cell>
        </row>
        <row r="1220">
          <cell r="K1220">
            <v>97.07</v>
          </cell>
          <cell r="Q1220">
            <v>1.1583000000000001</v>
          </cell>
        </row>
        <row r="1221">
          <cell r="K1221">
            <v>95.75</v>
          </cell>
          <cell r="Q1221">
            <v>1.1426000000000001</v>
          </cell>
        </row>
        <row r="1222">
          <cell r="K1222">
            <v>93.81</v>
          </cell>
          <cell r="Q1222">
            <v>1.1194</v>
          </cell>
        </row>
        <row r="1223">
          <cell r="K1223">
            <v>93.93</v>
          </cell>
          <cell r="Q1223">
            <v>1.1208</v>
          </cell>
        </row>
        <row r="1224">
          <cell r="K1224">
            <v>91.12</v>
          </cell>
          <cell r="Q1224">
            <v>1.0872999999999999</v>
          </cell>
        </row>
        <row r="1225">
          <cell r="K1225">
            <v>89.99</v>
          </cell>
          <cell r="Q1225">
            <v>1.0738000000000001</v>
          </cell>
        </row>
        <row r="1226">
          <cell r="K1226">
            <v>87.76</v>
          </cell>
          <cell r="Q1226">
            <v>1.0471999999999999</v>
          </cell>
        </row>
        <row r="1227">
          <cell r="K1227">
            <v>86.72</v>
          </cell>
          <cell r="Q1227">
            <v>1.0347999999999999</v>
          </cell>
        </row>
        <row r="1228">
          <cell r="K1228">
            <v>91.48</v>
          </cell>
          <cell r="Q1228">
            <v>1.0915999999999999</v>
          </cell>
        </row>
        <row r="1229">
          <cell r="K1229">
            <v>90.54</v>
          </cell>
          <cell r="Q1229">
            <v>1.0804</v>
          </cell>
        </row>
        <row r="1230">
          <cell r="K1230">
            <v>97.88</v>
          </cell>
          <cell r="Q1230">
            <v>1.1679999999999999</v>
          </cell>
        </row>
        <row r="1231">
          <cell r="K1231">
            <v>96.82</v>
          </cell>
          <cell r="Q1231">
            <v>1.1553</v>
          </cell>
        </row>
        <row r="1232">
          <cell r="K1232">
            <v>96.29</v>
          </cell>
          <cell r="Q1232">
            <v>1.149</v>
          </cell>
        </row>
        <row r="1233">
          <cell r="K1233">
            <v>96.85</v>
          </cell>
          <cell r="Q1233">
            <v>1.1556999999999999</v>
          </cell>
        </row>
        <row r="1234">
          <cell r="K1234">
            <v>95.96</v>
          </cell>
          <cell r="Q1234">
            <v>1.1451</v>
          </cell>
        </row>
        <row r="1235">
          <cell r="K1235">
            <v>94.89</v>
          </cell>
          <cell r="Q1235">
            <v>1.1323000000000001</v>
          </cell>
        </row>
        <row r="1236">
          <cell r="K1236">
            <v>92.92</v>
          </cell>
          <cell r="Q1236">
            <v>1.1088</v>
          </cell>
        </row>
        <row r="1237">
          <cell r="K1237">
            <v>95.97</v>
          </cell>
          <cell r="Q1237">
            <v>1.1452</v>
          </cell>
        </row>
        <row r="1238">
          <cell r="K1238">
            <v>93.24</v>
          </cell>
          <cell r="Q1238">
            <v>1.1126</v>
          </cell>
        </row>
        <row r="1239">
          <cell r="K1239">
            <v>90.98</v>
          </cell>
          <cell r="Q1239">
            <v>1.0855999999999999</v>
          </cell>
        </row>
        <row r="1240">
          <cell r="K1240">
            <v>87</v>
          </cell>
          <cell r="Q1240">
            <v>1.0381</v>
          </cell>
        </row>
        <row r="1241">
          <cell r="K1241">
            <v>87.7</v>
          </cell>
          <cell r="Q1241">
            <v>1.0465</v>
          </cell>
        </row>
        <row r="1242">
          <cell r="K1242">
            <v>87.2</v>
          </cell>
          <cell r="Q1242">
            <v>1.0405</v>
          </cell>
        </row>
        <row r="1243">
          <cell r="K1243">
            <v>87.25</v>
          </cell>
          <cell r="Q1243">
            <v>1.0410999999999999</v>
          </cell>
        </row>
        <row r="1244">
          <cell r="K1244">
            <v>91.73</v>
          </cell>
          <cell r="Q1244">
            <v>1.0946</v>
          </cell>
        </row>
        <row r="1245">
          <cell r="K1245">
            <v>91.63</v>
          </cell>
          <cell r="Q1245">
            <v>1.0933999999999999</v>
          </cell>
        </row>
        <row r="1246">
          <cell r="K1246">
            <v>91.81</v>
          </cell>
          <cell r="Q1246">
            <v>1.0954999999999999</v>
          </cell>
        </row>
        <row r="1247">
          <cell r="K1247">
            <v>92.25</v>
          </cell>
          <cell r="Q1247">
            <v>1.1008</v>
          </cell>
        </row>
        <row r="1248">
          <cell r="K1248">
            <v>91.55</v>
          </cell>
          <cell r="Q1248">
            <v>1.0924</v>
          </cell>
        </row>
        <row r="1249">
          <cell r="K1249">
            <v>89.37</v>
          </cell>
          <cell r="Q1249">
            <v>1.0664</v>
          </cell>
        </row>
        <row r="1250">
          <cell r="K1250">
            <v>90.58</v>
          </cell>
          <cell r="Q1250">
            <v>1.0809</v>
          </cell>
        </row>
        <row r="1251">
          <cell r="K1251">
            <v>90.6</v>
          </cell>
          <cell r="Q1251">
            <v>1.0810999999999999</v>
          </cell>
        </row>
        <row r="1252">
          <cell r="K1252">
            <v>93.98</v>
          </cell>
          <cell r="Q1252">
            <v>1.0408999999999999</v>
          </cell>
        </row>
        <row r="1253">
          <cell r="K1253">
            <v>94.85</v>
          </cell>
          <cell r="Q1253">
            <v>1.0505</v>
          </cell>
        </row>
        <row r="1254">
          <cell r="K1254">
            <v>95.52</v>
          </cell>
          <cell r="Q1254">
            <v>1.0579000000000001</v>
          </cell>
        </row>
        <row r="1255">
          <cell r="K1255">
            <v>95.76</v>
          </cell>
          <cell r="Q1255">
            <v>1.0606</v>
          </cell>
        </row>
        <row r="1256">
          <cell r="K1256">
            <v>97.1</v>
          </cell>
          <cell r="Q1256">
            <v>1.0753999999999999</v>
          </cell>
        </row>
        <row r="1257">
          <cell r="K1257">
            <v>99.96</v>
          </cell>
          <cell r="Q1257">
            <v>1.1071</v>
          </cell>
        </row>
        <row r="1258">
          <cell r="K1258">
            <v>99.64</v>
          </cell>
          <cell r="Q1258">
            <v>1.1034999999999999</v>
          </cell>
        </row>
        <row r="1259">
          <cell r="K1259">
            <v>101.94</v>
          </cell>
          <cell r="Q1259">
            <v>1.129</v>
          </cell>
        </row>
        <row r="1260">
          <cell r="K1260">
            <v>102.48</v>
          </cell>
          <cell r="Q1260">
            <v>1.135</v>
          </cell>
        </row>
        <row r="1261">
          <cell r="K1261">
            <v>103.37</v>
          </cell>
          <cell r="Q1261">
            <v>1.1449</v>
          </cell>
        </row>
        <row r="1262">
          <cell r="K1262">
            <v>104.26</v>
          </cell>
          <cell r="Q1262">
            <v>1.1547000000000001</v>
          </cell>
        </row>
        <row r="1263">
          <cell r="K1263">
            <v>105.75</v>
          </cell>
          <cell r="Q1263">
            <v>1.1712</v>
          </cell>
        </row>
        <row r="1264">
          <cell r="K1264">
            <v>105.64</v>
          </cell>
          <cell r="Q1264">
            <v>1.17</v>
          </cell>
        </row>
        <row r="1265">
          <cell r="K1265">
            <v>106.37</v>
          </cell>
          <cell r="Q1265">
            <v>1.1780999999999999</v>
          </cell>
        </row>
        <row r="1266">
          <cell r="K1266">
            <v>106.29</v>
          </cell>
          <cell r="Q1266">
            <v>1.1772</v>
          </cell>
        </row>
        <row r="1267">
          <cell r="K1267">
            <v>109.05</v>
          </cell>
          <cell r="Q1267">
            <v>1.2078</v>
          </cell>
        </row>
        <row r="1268">
          <cell r="K1268">
            <v>111.31</v>
          </cell>
          <cell r="Q1268">
            <v>1.2327999999999999</v>
          </cell>
        </row>
        <row r="1269">
          <cell r="K1269">
            <v>111.28</v>
          </cell>
          <cell r="Q1269">
            <v>1.2324999999999999</v>
          </cell>
        </row>
        <row r="1270">
          <cell r="K1270">
            <v>110.41</v>
          </cell>
          <cell r="Q1270">
            <v>1.2228000000000001</v>
          </cell>
        </row>
        <row r="1271">
          <cell r="K1271">
            <v>109.12</v>
          </cell>
          <cell r="Q1271">
            <v>1.2084999999999999</v>
          </cell>
        </row>
        <row r="1272">
          <cell r="K1272">
            <v>110.52</v>
          </cell>
          <cell r="Q1272">
            <v>1.224</v>
          </cell>
        </row>
        <row r="1273">
          <cell r="K1273">
            <v>110.33</v>
          </cell>
          <cell r="Q1273">
            <v>1.2219</v>
          </cell>
        </row>
        <row r="1274">
          <cell r="K1274">
            <v>113.94</v>
          </cell>
          <cell r="Q1274">
            <v>1.2619</v>
          </cell>
        </row>
        <row r="1275">
          <cell r="K1275">
            <v>113.78</v>
          </cell>
          <cell r="Q1275">
            <v>1.2602</v>
          </cell>
        </row>
        <row r="1276">
          <cell r="K1276">
            <v>113.81</v>
          </cell>
          <cell r="Q1276">
            <v>1.2605</v>
          </cell>
        </row>
        <row r="1277">
          <cell r="K1277">
            <v>114.04</v>
          </cell>
          <cell r="Q1277">
            <v>1.2629999999999999</v>
          </cell>
        </row>
        <row r="1278">
          <cell r="K1278">
            <v>112.83</v>
          </cell>
          <cell r="Q1278">
            <v>1.2496</v>
          </cell>
        </row>
        <row r="1279">
          <cell r="K1279">
            <v>111.75</v>
          </cell>
          <cell r="Q1279">
            <v>1.2377</v>
          </cell>
        </row>
        <row r="1280">
          <cell r="K1280">
            <v>113.7</v>
          </cell>
          <cell r="Q1280">
            <v>1.2593000000000001</v>
          </cell>
        </row>
        <row r="1281">
          <cell r="K1281">
            <v>114.45</v>
          </cell>
          <cell r="Q1281">
            <v>1.2676000000000001</v>
          </cell>
        </row>
        <row r="1282">
          <cell r="K1282">
            <v>112.53</v>
          </cell>
          <cell r="Q1282">
            <v>1.2463</v>
          </cell>
        </row>
        <row r="1283">
          <cell r="K1283">
            <v>113.96</v>
          </cell>
          <cell r="Q1283">
            <v>1.2621</v>
          </cell>
        </row>
        <row r="1284">
          <cell r="K1284">
            <v>113.95</v>
          </cell>
          <cell r="Q1284">
            <v>1.262</v>
          </cell>
        </row>
        <row r="1285">
          <cell r="K1285">
            <v>115</v>
          </cell>
          <cell r="Q1285">
            <v>1.2737000000000001</v>
          </cell>
        </row>
        <row r="1286">
          <cell r="K1286">
            <v>115.81</v>
          </cell>
          <cell r="Q1286">
            <v>1.2826</v>
          </cell>
        </row>
        <row r="1287">
          <cell r="K1287">
            <v>116.2</v>
          </cell>
          <cell r="Q1287">
            <v>1.2869999999999999</v>
          </cell>
        </row>
        <row r="1288">
          <cell r="K1288">
            <v>116</v>
          </cell>
          <cell r="Q1288">
            <v>1.2847</v>
          </cell>
        </row>
        <row r="1289">
          <cell r="K1289">
            <v>115.63</v>
          </cell>
          <cell r="Q1289">
            <v>1.2806</v>
          </cell>
        </row>
        <row r="1290">
          <cell r="K1290">
            <v>115.76</v>
          </cell>
          <cell r="Q1290">
            <v>1.2821</v>
          </cell>
        </row>
        <row r="1291">
          <cell r="K1291">
            <v>114.21</v>
          </cell>
          <cell r="Q1291">
            <v>1.2648999999999999</v>
          </cell>
        </row>
        <row r="1292">
          <cell r="K1292">
            <v>113.39</v>
          </cell>
          <cell r="Q1292">
            <v>1.2558</v>
          </cell>
        </row>
        <row r="1293">
          <cell r="K1293">
            <v>112.49</v>
          </cell>
          <cell r="Q1293">
            <v>1.2459</v>
          </cell>
        </row>
        <row r="1294">
          <cell r="K1294">
            <v>110.09</v>
          </cell>
          <cell r="Q1294">
            <v>1.2193000000000001</v>
          </cell>
        </row>
        <row r="1295">
          <cell r="K1295">
            <v>105.93</v>
          </cell>
          <cell r="Q1295">
            <v>1.1732</v>
          </cell>
        </row>
        <row r="1296">
          <cell r="K1296">
            <v>108.28</v>
          </cell>
          <cell r="Q1296">
            <v>1.1992</v>
          </cell>
        </row>
        <row r="1297">
          <cell r="K1297">
            <v>110.28</v>
          </cell>
          <cell r="Q1297">
            <v>1.2214</v>
          </cell>
        </row>
        <row r="1298">
          <cell r="K1298">
            <v>110.22</v>
          </cell>
          <cell r="Q1298">
            <v>1.2206999999999999</v>
          </cell>
        </row>
        <row r="1299">
          <cell r="K1299">
            <v>108.94</v>
          </cell>
          <cell r="Q1299">
            <v>1.2065999999999999</v>
          </cell>
        </row>
        <row r="1300">
          <cell r="K1300">
            <v>113.3</v>
          </cell>
          <cell r="Q1300">
            <v>1.2547999999999999</v>
          </cell>
        </row>
        <row r="1301">
          <cell r="K1301">
            <v>112.27</v>
          </cell>
          <cell r="Q1301">
            <v>1.2434000000000001</v>
          </cell>
        </row>
        <row r="1302">
          <cell r="K1302">
            <v>113.45</v>
          </cell>
          <cell r="Q1302">
            <v>1.2565</v>
          </cell>
        </row>
        <row r="1303">
          <cell r="K1303">
            <v>113.58</v>
          </cell>
          <cell r="Q1303">
            <v>1.2579</v>
          </cell>
        </row>
        <row r="1304">
          <cell r="K1304">
            <v>113.73</v>
          </cell>
          <cell r="Q1304">
            <v>1.2596000000000001</v>
          </cell>
        </row>
        <row r="1305">
          <cell r="K1305">
            <v>110.76</v>
          </cell>
          <cell r="Q1305">
            <v>1.2266999999999999</v>
          </cell>
        </row>
        <row r="1306">
          <cell r="K1306">
            <v>109</v>
          </cell>
          <cell r="Q1306">
            <v>1.2072000000000001</v>
          </cell>
        </row>
        <row r="1307">
          <cell r="K1307">
            <v>106.43</v>
          </cell>
          <cell r="Q1307">
            <v>1.1788000000000001</v>
          </cell>
        </row>
        <row r="1308">
          <cell r="K1308">
            <v>107.83</v>
          </cell>
          <cell r="Q1308">
            <v>1.1942999999999999</v>
          </cell>
        </row>
        <row r="1309">
          <cell r="K1309">
            <v>108.75</v>
          </cell>
          <cell r="Q1309">
            <v>1.2043999999999999</v>
          </cell>
        </row>
        <row r="1310">
          <cell r="K1310">
            <v>108.06</v>
          </cell>
          <cell r="Q1310">
            <v>1.1968000000000001</v>
          </cell>
        </row>
        <row r="1311">
          <cell r="K1311">
            <v>104.26</v>
          </cell>
          <cell r="Q1311">
            <v>1.1547000000000001</v>
          </cell>
        </row>
        <row r="1312">
          <cell r="K1312">
            <v>106.02</v>
          </cell>
          <cell r="Q1312">
            <v>1.1741999999999999</v>
          </cell>
        </row>
        <row r="1313">
          <cell r="K1313">
            <v>106.52</v>
          </cell>
          <cell r="Q1313">
            <v>1.1797</v>
          </cell>
        </row>
        <row r="1314">
          <cell r="K1314">
            <v>107.25</v>
          </cell>
          <cell r="Q1314">
            <v>1.1331</v>
          </cell>
        </row>
        <row r="1315">
          <cell r="K1315">
            <v>106.21</v>
          </cell>
          <cell r="Q1315">
            <v>1.1221000000000001</v>
          </cell>
        </row>
        <row r="1316">
          <cell r="K1316">
            <v>106.26</v>
          </cell>
          <cell r="Q1316">
            <v>1.1226</v>
          </cell>
        </row>
        <row r="1317">
          <cell r="K1317">
            <v>105.87</v>
          </cell>
          <cell r="Q1317">
            <v>1.1185</v>
          </cell>
        </row>
        <row r="1318">
          <cell r="K1318">
            <v>103.57</v>
          </cell>
          <cell r="Q1318">
            <v>1.0942000000000001</v>
          </cell>
        </row>
        <row r="1319">
          <cell r="K1319">
            <v>100.43</v>
          </cell>
          <cell r="Q1319">
            <v>1.0609999999999999</v>
          </cell>
        </row>
        <row r="1320">
          <cell r="K1320">
            <v>101.75</v>
          </cell>
          <cell r="Q1320">
            <v>1.075</v>
          </cell>
        </row>
        <row r="1321">
          <cell r="K1321">
            <v>106.44</v>
          </cell>
          <cell r="Q1321">
            <v>1.1245000000000001</v>
          </cell>
        </row>
        <row r="1322">
          <cell r="K1322">
            <v>105.89</v>
          </cell>
          <cell r="Q1322">
            <v>1.1187</v>
          </cell>
        </row>
        <row r="1323">
          <cell r="K1323">
            <v>106.74</v>
          </cell>
          <cell r="Q1323">
            <v>1.1276999999999999</v>
          </cell>
        </row>
        <row r="1324">
          <cell r="K1324">
            <v>108.41</v>
          </cell>
          <cell r="Q1324">
            <v>1.1453</v>
          </cell>
        </row>
        <row r="1325">
          <cell r="K1325">
            <v>109.21</v>
          </cell>
          <cell r="Q1325">
            <v>1.1537999999999999</v>
          </cell>
        </row>
        <row r="1326">
          <cell r="K1326">
            <v>107.36</v>
          </cell>
          <cell r="Q1326">
            <v>1.1342000000000001</v>
          </cell>
        </row>
        <row r="1327">
          <cell r="K1327">
            <v>107.73</v>
          </cell>
          <cell r="Q1327">
            <v>1.1380999999999999</v>
          </cell>
        </row>
        <row r="1328">
          <cell r="K1328">
            <v>106.9</v>
          </cell>
          <cell r="Q1328">
            <v>1.1294</v>
          </cell>
        </row>
        <row r="1329">
          <cell r="K1329">
            <v>108.4</v>
          </cell>
          <cell r="Q1329">
            <v>1.1452</v>
          </cell>
        </row>
        <row r="1330">
          <cell r="K1330">
            <v>103.44</v>
          </cell>
          <cell r="Q1330">
            <v>1.0928</v>
          </cell>
        </row>
        <row r="1331">
          <cell r="K1331">
            <v>104.39</v>
          </cell>
          <cell r="Q1331">
            <v>1.1029</v>
          </cell>
        </row>
        <row r="1332">
          <cell r="K1332">
            <v>104.56</v>
          </cell>
          <cell r="Q1332">
            <v>1.1046</v>
          </cell>
        </row>
        <row r="1333">
          <cell r="K1333">
            <v>102.77</v>
          </cell>
          <cell r="Q1333">
            <v>1.0857000000000001</v>
          </cell>
        </row>
        <row r="1334">
          <cell r="K1334">
            <v>102.11</v>
          </cell>
          <cell r="Q1334">
            <v>1.0788</v>
          </cell>
        </row>
        <row r="1335">
          <cell r="K1335">
            <v>102.63</v>
          </cell>
          <cell r="Q1335">
            <v>1.0843</v>
          </cell>
        </row>
        <row r="1336">
          <cell r="K1336">
            <v>100.67</v>
          </cell>
          <cell r="Q1336">
            <v>1.0636000000000001</v>
          </cell>
        </row>
        <row r="1337">
          <cell r="K1337">
            <v>98.44</v>
          </cell>
          <cell r="Q1337">
            <v>1.04</v>
          </cell>
        </row>
        <row r="1338">
          <cell r="K1338">
            <v>97.19</v>
          </cell>
          <cell r="Q1338">
            <v>1.0267999999999999</v>
          </cell>
        </row>
        <row r="1339">
          <cell r="K1339">
            <v>96.49</v>
          </cell>
          <cell r="Q1339">
            <v>1.0194000000000001</v>
          </cell>
        </row>
        <row r="1340">
          <cell r="K1340">
            <v>95.99</v>
          </cell>
          <cell r="Q1340">
            <v>1.0141</v>
          </cell>
        </row>
        <row r="1341">
          <cell r="K1341">
            <v>95.44</v>
          </cell>
          <cell r="Q1341">
            <v>1.0083</v>
          </cell>
        </row>
        <row r="1342">
          <cell r="K1342">
            <v>95.5</v>
          </cell>
          <cell r="Q1342">
            <v>1.0088999999999999</v>
          </cell>
        </row>
        <row r="1343">
          <cell r="K1343">
            <v>93.6</v>
          </cell>
          <cell r="Q1343">
            <v>0.9889</v>
          </cell>
        </row>
        <row r="1344">
          <cell r="K1344">
            <v>92.68</v>
          </cell>
          <cell r="Q1344">
            <v>0.97909999999999997</v>
          </cell>
        </row>
        <row r="1345">
          <cell r="K1345">
            <v>91.86</v>
          </cell>
          <cell r="Q1345">
            <v>0.97050000000000003</v>
          </cell>
        </row>
        <row r="1346">
          <cell r="K1346">
            <v>87.8</v>
          </cell>
          <cell r="Q1346">
            <v>0.92759999999999998</v>
          </cell>
        </row>
        <row r="1347">
          <cell r="K1347">
            <v>88.68</v>
          </cell>
          <cell r="Q1347">
            <v>0.93689999999999996</v>
          </cell>
        </row>
        <row r="1348">
          <cell r="K1348">
            <v>91.98</v>
          </cell>
          <cell r="Q1348">
            <v>0.97170000000000001</v>
          </cell>
        </row>
        <row r="1349">
          <cell r="K1349">
            <v>91.49</v>
          </cell>
          <cell r="Q1349">
            <v>0.96660000000000001</v>
          </cell>
        </row>
        <row r="1350">
          <cell r="K1350">
            <v>91.49</v>
          </cell>
          <cell r="Q1350">
            <v>0.96660000000000001</v>
          </cell>
        </row>
        <row r="1351">
          <cell r="K1351">
            <v>91.42</v>
          </cell>
          <cell r="Q1351">
            <v>0.96579999999999999</v>
          </cell>
        </row>
        <row r="1352">
          <cell r="K1352">
            <v>89.94</v>
          </cell>
          <cell r="Q1352">
            <v>0.95020000000000004</v>
          </cell>
        </row>
        <row r="1353">
          <cell r="K1353">
            <v>92.52</v>
          </cell>
          <cell r="Q1353">
            <v>0.97740000000000005</v>
          </cell>
        </row>
        <row r="1354">
          <cell r="K1354">
            <v>90.18</v>
          </cell>
          <cell r="Q1354">
            <v>0.95269999999999999</v>
          </cell>
        </row>
        <row r="1355">
          <cell r="K1355">
            <v>87.62</v>
          </cell>
          <cell r="Q1355">
            <v>0.92569999999999997</v>
          </cell>
        </row>
        <row r="1356">
          <cell r="K1356">
            <v>85.52</v>
          </cell>
          <cell r="Q1356">
            <v>0.90349999999999997</v>
          </cell>
        </row>
        <row r="1357">
          <cell r="K1357">
            <v>83.26</v>
          </cell>
          <cell r="Q1357">
            <v>0.87960000000000005</v>
          </cell>
        </row>
        <row r="1358">
          <cell r="K1358">
            <v>83.65</v>
          </cell>
          <cell r="Q1358">
            <v>0.88370000000000004</v>
          </cell>
        </row>
        <row r="1359">
          <cell r="K1359">
            <v>86.66</v>
          </cell>
          <cell r="Q1359">
            <v>0.91549999999999998</v>
          </cell>
        </row>
        <row r="1360">
          <cell r="K1360">
            <v>87.14</v>
          </cell>
          <cell r="Q1360">
            <v>0.92059999999999997</v>
          </cell>
        </row>
        <row r="1361">
          <cell r="K1361">
            <v>87.6</v>
          </cell>
          <cell r="Q1361">
            <v>0.92549999999999999</v>
          </cell>
        </row>
        <row r="1362">
          <cell r="K1362">
            <v>85.19</v>
          </cell>
          <cell r="Q1362">
            <v>0.9</v>
          </cell>
        </row>
        <row r="1363">
          <cell r="K1363">
            <v>87.05</v>
          </cell>
          <cell r="Q1363">
            <v>0.91969999999999996</v>
          </cell>
        </row>
        <row r="1364">
          <cell r="K1364">
            <v>85.29</v>
          </cell>
          <cell r="Q1364">
            <v>0.90110000000000001</v>
          </cell>
        </row>
        <row r="1365">
          <cell r="K1365">
            <v>85.89</v>
          </cell>
          <cell r="Q1365">
            <v>0.90739999999999998</v>
          </cell>
        </row>
        <row r="1366">
          <cell r="K1366">
            <v>86.93</v>
          </cell>
          <cell r="Q1366">
            <v>0.91839999999999999</v>
          </cell>
        </row>
        <row r="1367">
          <cell r="K1367">
            <v>86.74</v>
          </cell>
          <cell r="Q1367">
            <v>0.91639999999999999</v>
          </cell>
        </row>
        <row r="1368">
          <cell r="K1368">
            <v>88.84</v>
          </cell>
          <cell r="Q1368">
            <v>0.93859999999999999</v>
          </cell>
        </row>
        <row r="1369">
          <cell r="K1369">
            <v>87.17</v>
          </cell>
          <cell r="Q1369">
            <v>0.92090000000000005</v>
          </cell>
        </row>
        <row r="1370">
          <cell r="K1370">
            <v>84.98</v>
          </cell>
          <cell r="Q1370">
            <v>0.89780000000000004</v>
          </cell>
        </row>
        <row r="1371">
          <cell r="K1371">
            <v>84.96</v>
          </cell>
          <cell r="Q1371">
            <v>0.89759999999999995</v>
          </cell>
        </row>
        <row r="1372">
          <cell r="K1372">
            <v>82.89</v>
          </cell>
          <cell r="Q1372">
            <v>0.87570000000000003</v>
          </cell>
        </row>
        <row r="1373">
          <cell r="K1373">
            <v>82.73</v>
          </cell>
          <cell r="Q1373">
            <v>0.874</v>
          </cell>
        </row>
        <row r="1374">
          <cell r="K1374">
            <v>82.25</v>
          </cell>
          <cell r="Q1374">
            <v>0.86899999999999999</v>
          </cell>
        </row>
        <row r="1375">
          <cell r="K1375">
            <v>82.63</v>
          </cell>
          <cell r="Q1375">
            <v>0.873</v>
          </cell>
        </row>
        <row r="1376">
          <cell r="K1376">
            <v>84.91</v>
          </cell>
          <cell r="Q1376">
            <v>0.89710000000000001</v>
          </cell>
        </row>
        <row r="1377">
          <cell r="K1377">
            <v>83.68</v>
          </cell>
          <cell r="Q1377">
            <v>0.84289999999999998</v>
          </cell>
        </row>
        <row r="1378">
          <cell r="K1378">
            <v>86.46</v>
          </cell>
          <cell r="Q1378">
            <v>0.87090000000000001</v>
          </cell>
        </row>
        <row r="1379">
          <cell r="K1379">
            <v>86.79</v>
          </cell>
          <cell r="Q1379">
            <v>0.87419999999999998</v>
          </cell>
        </row>
        <row r="1380">
          <cell r="K1380">
            <v>84.61</v>
          </cell>
          <cell r="Q1380">
            <v>0.85229999999999995</v>
          </cell>
        </row>
        <row r="1381">
          <cell r="K1381">
            <v>83.14</v>
          </cell>
          <cell r="Q1381">
            <v>0.83750000000000002</v>
          </cell>
        </row>
        <row r="1382">
          <cell r="K1382">
            <v>80.27</v>
          </cell>
          <cell r="Q1382">
            <v>0.80859999999999999</v>
          </cell>
        </row>
        <row r="1383">
          <cell r="K1383">
            <v>79.739999999999995</v>
          </cell>
          <cell r="Q1383">
            <v>0.80320000000000003</v>
          </cell>
        </row>
        <row r="1384">
          <cell r="K1384">
            <v>79.64</v>
          </cell>
          <cell r="Q1384">
            <v>0.80220000000000002</v>
          </cell>
        </row>
        <row r="1385">
          <cell r="K1385">
            <v>82.07</v>
          </cell>
          <cell r="Q1385">
            <v>0.82669999999999999</v>
          </cell>
        </row>
        <row r="1386">
          <cell r="K1386">
            <v>81.150000000000006</v>
          </cell>
          <cell r="Q1386">
            <v>0.81740000000000002</v>
          </cell>
        </row>
        <row r="1387">
          <cell r="K1387">
            <v>81.91</v>
          </cell>
          <cell r="Q1387">
            <v>0.82509999999999994</v>
          </cell>
        </row>
        <row r="1388">
          <cell r="K1388">
            <v>82.52</v>
          </cell>
          <cell r="Q1388">
            <v>0.83120000000000005</v>
          </cell>
        </row>
        <row r="1389">
          <cell r="K1389">
            <v>82.63</v>
          </cell>
          <cell r="Q1389">
            <v>0.83230000000000004</v>
          </cell>
        </row>
        <row r="1390">
          <cell r="K1390">
            <v>80.95</v>
          </cell>
          <cell r="Q1390">
            <v>0.81540000000000001</v>
          </cell>
        </row>
        <row r="1391">
          <cell r="K1391">
            <v>81.58</v>
          </cell>
          <cell r="Q1391">
            <v>0.82169999999999999</v>
          </cell>
        </row>
        <row r="1392">
          <cell r="K1392">
            <v>81.430000000000007</v>
          </cell>
          <cell r="Q1392">
            <v>0.82020000000000004</v>
          </cell>
        </row>
        <row r="1393">
          <cell r="K1393">
            <v>82.6</v>
          </cell>
          <cell r="Q1393">
            <v>0.83199999999999996</v>
          </cell>
        </row>
        <row r="1394">
          <cell r="K1394">
            <v>83.3</v>
          </cell>
          <cell r="Q1394">
            <v>0.83909999999999996</v>
          </cell>
        </row>
        <row r="1395">
          <cell r="K1395">
            <v>86.16</v>
          </cell>
          <cell r="Q1395">
            <v>0.8679</v>
          </cell>
        </row>
        <row r="1396">
          <cell r="K1396">
            <v>85.69</v>
          </cell>
          <cell r="Q1396">
            <v>0.86309999999999998</v>
          </cell>
        </row>
        <row r="1397">
          <cell r="K1397">
            <v>84.21</v>
          </cell>
          <cell r="Q1397">
            <v>0.84819999999999995</v>
          </cell>
        </row>
        <row r="1398">
          <cell r="K1398">
            <v>82.65</v>
          </cell>
          <cell r="Q1398">
            <v>0.83250000000000002</v>
          </cell>
        </row>
        <row r="1399">
          <cell r="K1399">
            <v>83.12</v>
          </cell>
          <cell r="Q1399">
            <v>0.83730000000000004</v>
          </cell>
        </row>
        <row r="1400">
          <cell r="K1400">
            <v>85.02</v>
          </cell>
          <cell r="Q1400">
            <v>0.85640000000000005</v>
          </cell>
        </row>
        <row r="1401">
          <cell r="K1401">
            <v>86.35</v>
          </cell>
          <cell r="Q1401">
            <v>0.86980000000000002</v>
          </cell>
        </row>
        <row r="1402">
          <cell r="K1402">
            <v>87.22</v>
          </cell>
          <cell r="Q1402">
            <v>0.87860000000000005</v>
          </cell>
        </row>
        <row r="1403">
          <cell r="K1403">
            <v>87.22</v>
          </cell>
          <cell r="Q1403">
            <v>0.87860000000000005</v>
          </cell>
        </row>
        <row r="1404">
          <cell r="K1404">
            <v>88.4</v>
          </cell>
          <cell r="Q1404">
            <v>0.89039999999999997</v>
          </cell>
        </row>
        <row r="1405">
          <cell r="K1405">
            <v>88.94</v>
          </cell>
          <cell r="Q1405">
            <v>0.89590000000000003</v>
          </cell>
        </row>
        <row r="1406">
          <cell r="K1406">
            <v>88.61</v>
          </cell>
          <cell r="Q1406">
            <v>0.89259999999999995</v>
          </cell>
        </row>
        <row r="1407">
          <cell r="K1407">
            <v>87.87</v>
          </cell>
          <cell r="Q1407">
            <v>0.8851</v>
          </cell>
        </row>
        <row r="1408">
          <cell r="K1408">
            <v>87.61</v>
          </cell>
          <cell r="Q1408">
            <v>0.88249999999999995</v>
          </cell>
        </row>
        <row r="1409">
          <cell r="K1409">
            <v>88.59</v>
          </cell>
          <cell r="Q1409">
            <v>0.89239999999999997</v>
          </cell>
        </row>
        <row r="1410">
          <cell r="K1410">
            <v>90.01</v>
          </cell>
          <cell r="Q1410">
            <v>0.90669999999999995</v>
          </cell>
        </row>
        <row r="1411">
          <cell r="K1411">
            <v>90.44</v>
          </cell>
          <cell r="Q1411">
            <v>0.91100000000000003</v>
          </cell>
        </row>
        <row r="1412">
          <cell r="K1412">
            <v>90.29</v>
          </cell>
          <cell r="Q1412">
            <v>0.90949999999999998</v>
          </cell>
        </row>
        <row r="1413">
          <cell r="K1413">
            <v>88.72</v>
          </cell>
          <cell r="Q1413">
            <v>0.89370000000000005</v>
          </cell>
        </row>
        <row r="1414">
          <cell r="K1414">
            <v>87.63</v>
          </cell>
          <cell r="Q1414">
            <v>0.88270000000000004</v>
          </cell>
        </row>
        <row r="1415">
          <cell r="K1415">
            <v>87.47</v>
          </cell>
          <cell r="Q1415">
            <v>0.88109999999999999</v>
          </cell>
        </row>
        <row r="1416">
          <cell r="K1416">
            <v>86.63</v>
          </cell>
          <cell r="Q1416">
            <v>0.87260000000000004</v>
          </cell>
        </row>
        <row r="1417">
          <cell r="K1417">
            <v>86.01</v>
          </cell>
          <cell r="Q1417">
            <v>0.86639999999999995</v>
          </cell>
        </row>
        <row r="1418">
          <cell r="K1418">
            <v>86.09</v>
          </cell>
          <cell r="Q1418">
            <v>0.86719999999999997</v>
          </cell>
        </row>
        <row r="1419">
          <cell r="K1419">
            <v>84.47</v>
          </cell>
          <cell r="Q1419">
            <v>0.85089999999999999</v>
          </cell>
        </row>
        <row r="1420">
          <cell r="K1420">
            <v>85.33</v>
          </cell>
          <cell r="Q1420">
            <v>0.85950000000000004</v>
          </cell>
        </row>
        <row r="1421">
          <cell r="K1421">
            <v>82.66</v>
          </cell>
          <cell r="Q1421">
            <v>0.83260000000000001</v>
          </cell>
        </row>
        <row r="1422">
          <cell r="K1422">
            <v>82.75</v>
          </cell>
          <cell r="Q1422">
            <v>0.83350000000000002</v>
          </cell>
        </row>
        <row r="1423">
          <cell r="K1423">
            <v>84.79</v>
          </cell>
          <cell r="Q1423">
            <v>0.85409999999999997</v>
          </cell>
        </row>
        <row r="1424">
          <cell r="K1424">
            <v>88.1</v>
          </cell>
          <cell r="Q1424">
            <v>0.88739999999999997</v>
          </cell>
        </row>
        <row r="1425">
          <cell r="K1425">
            <v>87.1</v>
          </cell>
          <cell r="Q1425">
            <v>0.87739999999999996</v>
          </cell>
        </row>
        <row r="1426">
          <cell r="K1426">
            <v>88.6</v>
          </cell>
          <cell r="Q1426">
            <v>0.89249999999999996</v>
          </cell>
        </row>
        <row r="1427">
          <cell r="K1427">
            <v>89.12</v>
          </cell>
          <cell r="Q1427">
            <v>0.89770000000000005</v>
          </cell>
        </row>
        <row r="1428">
          <cell r="K1428">
            <v>90.68</v>
          </cell>
          <cell r="Q1428">
            <v>0.91339999999999999</v>
          </cell>
        </row>
        <row r="1429">
          <cell r="K1429">
            <v>93.17</v>
          </cell>
          <cell r="Q1429">
            <v>0.9385</v>
          </cell>
        </row>
        <row r="1430">
          <cell r="K1430">
            <v>91.99</v>
          </cell>
          <cell r="Q1430">
            <v>0.92659999999999998</v>
          </cell>
        </row>
        <row r="1431">
          <cell r="K1431">
            <v>93.07</v>
          </cell>
          <cell r="Q1431">
            <v>0.9375</v>
          </cell>
        </row>
        <row r="1432">
          <cell r="K1432">
            <v>93.94</v>
          </cell>
          <cell r="Q1432">
            <v>0.94620000000000004</v>
          </cell>
        </row>
        <row r="1433">
          <cell r="K1433">
            <v>92.54</v>
          </cell>
          <cell r="Q1433">
            <v>0.93210000000000004</v>
          </cell>
        </row>
        <row r="1434">
          <cell r="K1434">
            <v>91.72</v>
          </cell>
          <cell r="Q1434">
            <v>0.92390000000000005</v>
          </cell>
        </row>
        <row r="1435">
          <cell r="K1435">
            <v>90.87</v>
          </cell>
          <cell r="Q1435">
            <v>0.9153</v>
          </cell>
        </row>
        <row r="1436">
          <cell r="K1436">
            <v>87.01</v>
          </cell>
          <cell r="Q1436">
            <v>0.87639999999999996</v>
          </cell>
        </row>
        <row r="1437">
          <cell r="K1437">
            <v>86.95</v>
          </cell>
          <cell r="Q1437">
            <v>0.87580000000000002</v>
          </cell>
        </row>
        <row r="1438">
          <cell r="K1438">
            <v>86.92</v>
          </cell>
          <cell r="Q1438">
            <v>0.87549999999999994</v>
          </cell>
        </row>
        <row r="1439">
          <cell r="K1439">
            <v>86.04</v>
          </cell>
          <cell r="Q1439">
            <v>0.86670000000000003</v>
          </cell>
        </row>
        <row r="1440">
          <cell r="K1440">
            <v>85.47</v>
          </cell>
          <cell r="Q1440">
            <v>0.85240000000000005</v>
          </cell>
        </row>
        <row r="1441">
          <cell r="K1441">
            <v>85.47</v>
          </cell>
          <cell r="Q1441">
            <v>0.85240000000000005</v>
          </cell>
        </row>
        <row r="1442">
          <cell r="K1442">
            <v>85.28</v>
          </cell>
          <cell r="Q1442">
            <v>0.85050000000000003</v>
          </cell>
        </row>
        <row r="1443">
          <cell r="K1443">
            <v>85.96</v>
          </cell>
          <cell r="Q1443">
            <v>0.85729999999999995</v>
          </cell>
        </row>
        <row r="1444">
          <cell r="K1444">
            <v>85.43</v>
          </cell>
          <cell r="Q1444">
            <v>0.85199999999999998</v>
          </cell>
        </row>
        <row r="1445">
          <cell r="K1445">
            <v>85.44</v>
          </cell>
          <cell r="Q1445">
            <v>0.85209999999999997</v>
          </cell>
        </row>
        <row r="1446">
          <cell r="K1446">
            <v>84.75</v>
          </cell>
          <cell r="Q1446">
            <v>0.84519999999999995</v>
          </cell>
        </row>
        <row r="1447">
          <cell r="K1447">
            <v>83.16</v>
          </cell>
          <cell r="Q1447">
            <v>0.82940000000000003</v>
          </cell>
        </row>
        <row r="1448">
          <cell r="K1448">
            <v>82.85</v>
          </cell>
          <cell r="Q1448">
            <v>0.82630000000000003</v>
          </cell>
        </row>
        <row r="1449">
          <cell r="K1449">
            <v>82.82</v>
          </cell>
          <cell r="Q1449">
            <v>0.82599999999999996</v>
          </cell>
        </row>
        <row r="1450">
          <cell r="K1450">
            <v>82.81</v>
          </cell>
          <cell r="Q1450">
            <v>0.82589999999999997</v>
          </cell>
        </row>
        <row r="1451">
          <cell r="K1451">
            <v>84.96</v>
          </cell>
          <cell r="Q1451">
            <v>0.84730000000000005</v>
          </cell>
        </row>
        <row r="1452">
          <cell r="K1452">
            <v>86.63</v>
          </cell>
          <cell r="Q1452">
            <v>0.86399999999999999</v>
          </cell>
        </row>
        <row r="1453">
          <cell r="K1453">
            <v>86.62</v>
          </cell>
          <cell r="Q1453">
            <v>0.8639</v>
          </cell>
        </row>
        <row r="1454">
          <cell r="K1454">
            <v>83.86</v>
          </cell>
          <cell r="Q1454">
            <v>0.83640000000000003</v>
          </cell>
        </row>
        <row r="1455">
          <cell r="K1455">
            <v>85.08</v>
          </cell>
          <cell r="Q1455">
            <v>0.84850000000000003</v>
          </cell>
        </row>
        <row r="1456">
          <cell r="K1456">
            <v>83.58</v>
          </cell>
          <cell r="Q1456">
            <v>0.83360000000000001</v>
          </cell>
        </row>
        <row r="1457">
          <cell r="K1457">
            <v>82.73</v>
          </cell>
          <cell r="Q1457">
            <v>0.82509999999999994</v>
          </cell>
        </row>
        <row r="1458">
          <cell r="K1458">
            <v>83.53</v>
          </cell>
          <cell r="Q1458">
            <v>0.83309999999999995</v>
          </cell>
        </row>
        <row r="1459">
          <cell r="K1459">
            <v>84.25</v>
          </cell>
          <cell r="Q1459">
            <v>0.84030000000000005</v>
          </cell>
        </row>
        <row r="1460">
          <cell r="K1460">
            <v>84.81</v>
          </cell>
          <cell r="Q1460">
            <v>0.8458</v>
          </cell>
        </row>
        <row r="1461">
          <cell r="K1461">
            <v>87.65</v>
          </cell>
          <cell r="Q1461">
            <v>0.87419999999999998</v>
          </cell>
        </row>
        <row r="1462">
          <cell r="K1462">
            <v>85.79</v>
          </cell>
          <cell r="Q1462">
            <v>0.85560000000000003</v>
          </cell>
        </row>
        <row r="1463">
          <cell r="K1463">
            <v>86.77</v>
          </cell>
          <cell r="Q1463">
            <v>0.86539999999999995</v>
          </cell>
        </row>
        <row r="1464">
          <cell r="K1464">
            <v>88.08</v>
          </cell>
          <cell r="Q1464">
            <v>0.87849999999999995</v>
          </cell>
        </row>
        <row r="1465">
          <cell r="K1465">
            <v>85.02</v>
          </cell>
          <cell r="Q1465">
            <v>0.84789999999999999</v>
          </cell>
        </row>
        <row r="1466">
          <cell r="K1466">
            <v>83.66</v>
          </cell>
          <cell r="Q1466">
            <v>0.83440000000000003</v>
          </cell>
        </row>
        <row r="1467">
          <cell r="K1467">
            <v>84.95</v>
          </cell>
          <cell r="Q1467">
            <v>0.84719999999999995</v>
          </cell>
        </row>
        <row r="1468">
          <cell r="K1468">
            <v>85.18</v>
          </cell>
          <cell r="Q1468">
            <v>0.84950000000000003</v>
          </cell>
        </row>
        <row r="1469">
          <cell r="K1469">
            <v>83.26</v>
          </cell>
          <cell r="Q1469">
            <v>0.83040000000000003</v>
          </cell>
        </row>
        <row r="1470">
          <cell r="K1470">
            <v>81.099999999999994</v>
          </cell>
          <cell r="Q1470">
            <v>0.80879999999999996</v>
          </cell>
        </row>
        <row r="1471">
          <cell r="K1471">
            <v>81.3</v>
          </cell>
          <cell r="Q1471">
            <v>0.81079999999999997</v>
          </cell>
        </row>
        <row r="1472">
          <cell r="K1472">
            <v>81.93</v>
          </cell>
          <cell r="Q1472">
            <v>0.81710000000000005</v>
          </cell>
        </row>
        <row r="1473">
          <cell r="K1473">
            <v>83.62</v>
          </cell>
          <cell r="Q1473">
            <v>0.83399999999999996</v>
          </cell>
        </row>
        <row r="1474">
          <cell r="K1474">
            <v>83.33</v>
          </cell>
          <cell r="Q1474">
            <v>0.83109999999999995</v>
          </cell>
        </row>
        <row r="1475">
          <cell r="K1475">
            <v>83.05</v>
          </cell>
          <cell r="Q1475">
            <v>0.82830000000000004</v>
          </cell>
        </row>
        <row r="1476">
          <cell r="K1476">
            <v>84.16</v>
          </cell>
          <cell r="Q1476">
            <v>0.83940000000000003</v>
          </cell>
        </row>
        <row r="1477">
          <cell r="K1477">
            <v>84.65</v>
          </cell>
          <cell r="Q1477">
            <v>0.84430000000000005</v>
          </cell>
        </row>
        <row r="1478">
          <cell r="K1478">
            <v>84.01</v>
          </cell>
          <cell r="Q1478">
            <v>0.83789999999999998</v>
          </cell>
        </row>
        <row r="1479">
          <cell r="K1479">
            <v>84.94</v>
          </cell>
          <cell r="Q1479">
            <v>0.84709999999999996</v>
          </cell>
        </row>
        <row r="1480">
          <cell r="K1480">
            <v>86.25</v>
          </cell>
          <cell r="Q1480">
            <v>0.86019999999999996</v>
          </cell>
        </row>
        <row r="1481">
          <cell r="K1481">
            <v>85.24</v>
          </cell>
          <cell r="Q1481">
            <v>0.85009999999999997</v>
          </cell>
        </row>
        <row r="1482">
          <cell r="K1482">
            <v>84.49</v>
          </cell>
          <cell r="Q1482">
            <v>0.8427</v>
          </cell>
        </row>
        <row r="1483">
          <cell r="K1483">
            <v>84.16</v>
          </cell>
          <cell r="Q1483">
            <v>0.83940000000000003</v>
          </cell>
        </row>
        <row r="1484">
          <cell r="K1484">
            <v>86.05</v>
          </cell>
          <cell r="Q1484">
            <v>0.85819999999999996</v>
          </cell>
        </row>
        <row r="1485">
          <cell r="K1485">
            <v>85.95</v>
          </cell>
          <cell r="Q1485">
            <v>0.85719999999999996</v>
          </cell>
        </row>
        <row r="1486">
          <cell r="K1486">
            <v>86.99</v>
          </cell>
          <cell r="Q1486">
            <v>0.86760000000000004</v>
          </cell>
        </row>
        <row r="1487">
          <cell r="K1487">
            <v>87.23</v>
          </cell>
          <cell r="Q1487">
            <v>0.87</v>
          </cell>
        </row>
        <row r="1488">
          <cell r="K1488">
            <v>87.33</v>
          </cell>
          <cell r="Q1488">
            <v>0.871</v>
          </cell>
        </row>
        <row r="1489">
          <cell r="K1489">
            <v>87.95</v>
          </cell>
          <cell r="Q1489">
            <v>0.87719999999999998</v>
          </cell>
        </row>
        <row r="1490">
          <cell r="K1490">
            <v>88.36</v>
          </cell>
          <cell r="Q1490">
            <v>0.88129999999999997</v>
          </cell>
        </row>
        <row r="1491">
          <cell r="K1491">
            <v>89</v>
          </cell>
          <cell r="Q1491">
            <v>0.88759999999999994</v>
          </cell>
        </row>
        <row r="1492">
          <cell r="K1492">
            <v>89.64</v>
          </cell>
          <cell r="Q1492">
            <v>0.89400000000000002</v>
          </cell>
        </row>
        <row r="1493">
          <cell r="K1493">
            <v>90.77</v>
          </cell>
          <cell r="Q1493">
            <v>0.90529999999999999</v>
          </cell>
        </row>
        <row r="1494">
          <cell r="K1494">
            <v>90.79</v>
          </cell>
          <cell r="Q1494">
            <v>0.90549999999999997</v>
          </cell>
        </row>
        <row r="1495">
          <cell r="K1495">
            <v>89.5</v>
          </cell>
          <cell r="Q1495">
            <v>0.89259999999999995</v>
          </cell>
        </row>
        <row r="1496">
          <cell r="K1496">
            <v>87.9</v>
          </cell>
          <cell r="Q1496">
            <v>0.87670000000000003</v>
          </cell>
        </row>
        <row r="1497">
          <cell r="K1497">
            <v>87.48</v>
          </cell>
          <cell r="Q1497">
            <v>0.87250000000000005</v>
          </cell>
        </row>
        <row r="1498">
          <cell r="K1498">
            <v>87.67</v>
          </cell>
          <cell r="Q1498">
            <v>0.87439999999999996</v>
          </cell>
        </row>
        <row r="1499">
          <cell r="K1499">
            <v>87.66</v>
          </cell>
          <cell r="Q1499">
            <v>0.87429999999999997</v>
          </cell>
        </row>
        <row r="1500">
          <cell r="K1500">
            <v>86.81</v>
          </cell>
          <cell r="Q1500">
            <v>0.86580000000000001</v>
          </cell>
        </row>
        <row r="1501">
          <cell r="K1501">
            <v>89.608497999999997</v>
          </cell>
          <cell r="Q1501">
            <v>0.91059999999999997</v>
          </cell>
        </row>
        <row r="1502">
          <cell r="K1502">
            <v>93.5</v>
          </cell>
          <cell r="Q1502">
            <v>0.95020000000000004</v>
          </cell>
        </row>
        <row r="1503">
          <cell r="K1503">
            <v>94.4</v>
          </cell>
          <cell r="Q1503">
            <v>0.95930000000000004</v>
          </cell>
        </row>
        <row r="1504">
          <cell r="K1504">
            <v>94.92</v>
          </cell>
          <cell r="Q1504">
            <v>0.96460000000000001</v>
          </cell>
        </row>
        <row r="1505">
          <cell r="K1505">
            <v>95.21</v>
          </cell>
          <cell r="Q1505">
            <v>0.96760000000000002</v>
          </cell>
        </row>
        <row r="1506">
          <cell r="K1506">
            <v>94</v>
          </cell>
          <cell r="Q1506">
            <v>0.95530000000000004</v>
          </cell>
        </row>
        <row r="1507">
          <cell r="K1507">
            <v>94.44</v>
          </cell>
          <cell r="Q1507">
            <v>0.9597</v>
          </cell>
        </row>
        <row r="1508">
          <cell r="K1508">
            <v>95.08</v>
          </cell>
          <cell r="Q1508">
            <v>0.96619999999999995</v>
          </cell>
        </row>
        <row r="1509">
          <cell r="K1509">
            <v>95.19</v>
          </cell>
          <cell r="Q1509">
            <v>0.96740000000000004</v>
          </cell>
        </row>
        <row r="1510">
          <cell r="K1510">
            <v>94.63</v>
          </cell>
          <cell r="Q1510">
            <v>0.9617</v>
          </cell>
        </row>
        <row r="1511">
          <cell r="K1511">
            <v>95.67</v>
          </cell>
          <cell r="Q1511">
            <v>0.97219999999999995</v>
          </cell>
        </row>
        <row r="1512">
          <cell r="K1512">
            <v>95.19</v>
          </cell>
          <cell r="Q1512">
            <v>0.96740000000000004</v>
          </cell>
        </row>
        <row r="1513">
          <cell r="K1513">
            <v>95.7</v>
          </cell>
          <cell r="Q1513">
            <v>0.97250000000000003</v>
          </cell>
        </row>
        <row r="1514">
          <cell r="K1514">
            <v>97.62</v>
          </cell>
          <cell r="Q1514">
            <v>0.99209999999999998</v>
          </cell>
        </row>
        <row r="1515">
          <cell r="K1515">
            <v>97.72</v>
          </cell>
          <cell r="Q1515">
            <v>0.99309999999999998</v>
          </cell>
        </row>
        <row r="1516">
          <cell r="K1516">
            <v>96.85</v>
          </cell>
          <cell r="Q1516">
            <v>0.98419999999999996</v>
          </cell>
        </row>
        <row r="1517">
          <cell r="K1517">
            <v>96.6</v>
          </cell>
          <cell r="Q1517">
            <v>0.98170000000000002</v>
          </cell>
        </row>
        <row r="1518">
          <cell r="K1518">
            <v>95.58</v>
          </cell>
          <cell r="Q1518">
            <v>0.97130000000000005</v>
          </cell>
        </row>
        <row r="1519">
          <cell r="K1519">
            <v>97.45</v>
          </cell>
          <cell r="Q1519">
            <v>0.99029999999999996</v>
          </cell>
        </row>
        <row r="1520">
          <cell r="K1520">
            <v>98.6</v>
          </cell>
          <cell r="Q1520">
            <v>1.002</v>
          </cell>
        </row>
        <row r="1521">
          <cell r="K1521">
            <v>98.65</v>
          </cell>
          <cell r="Q1521">
            <v>1.0024999999999999</v>
          </cell>
        </row>
        <row r="1522">
          <cell r="K1522">
            <v>98.39</v>
          </cell>
          <cell r="Q1522">
            <v>0.99990000000000001</v>
          </cell>
        </row>
        <row r="1523">
          <cell r="K1523">
            <v>99.49</v>
          </cell>
          <cell r="Q1523">
            <v>1.0111000000000001</v>
          </cell>
        </row>
        <row r="1524">
          <cell r="K1524">
            <v>98.26</v>
          </cell>
          <cell r="Q1524">
            <v>0.99860000000000004</v>
          </cell>
        </row>
        <row r="1525">
          <cell r="K1525">
            <v>98.44</v>
          </cell>
          <cell r="Q1525">
            <v>1.0004</v>
          </cell>
        </row>
        <row r="1526">
          <cell r="K1526">
            <v>97.7</v>
          </cell>
          <cell r="Q1526">
            <v>0.9929</v>
          </cell>
        </row>
        <row r="1527">
          <cell r="K1527">
            <v>96.11</v>
          </cell>
          <cell r="Q1527">
            <v>0.97670000000000001</v>
          </cell>
        </row>
        <row r="1528">
          <cell r="K1528">
            <v>96.85</v>
          </cell>
          <cell r="Q1528">
            <v>0.98419999999999996</v>
          </cell>
        </row>
        <row r="1529">
          <cell r="K1529">
            <v>96.6</v>
          </cell>
          <cell r="Q1529">
            <v>0.98170000000000002</v>
          </cell>
        </row>
        <row r="1530">
          <cell r="K1530">
            <v>97.22</v>
          </cell>
          <cell r="Q1530">
            <v>0.98799999999999999</v>
          </cell>
        </row>
        <row r="1531">
          <cell r="K1531">
            <v>96.38</v>
          </cell>
          <cell r="Q1531">
            <v>0.97950000000000004</v>
          </cell>
        </row>
        <row r="1532">
          <cell r="K1532">
            <v>96.07</v>
          </cell>
          <cell r="Q1532">
            <v>0.97629999999999995</v>
          </cell>
        </row>
        <row r="1533">
          <cell r="K1533">
            <v>95.61</v>
          </cell>
          <cell r="Q1533">
            <v>0.97160000000000002</v>
          </cell>
        </row>
        <row r="1534">
          <cell r="K1534">
            <v>95.6</v>
          </cell>
          <cell r="Q1534">
            <v>0.97150000000000003</v>
          </cell>
        </row>
        <row r="1535">
          <cell r="K1535">
            <v>93.22</v>
          </cell>
          <cell r="Q1535">
            <v>0.94730000000000003</v>
          </cell>
        </row>
        <row r="1536">
          <cell r="K1536">
            <v>91.53</v>
          </cell>
          <cell r="Q1536">
            <v>0.93020000000000003</v>
          </cell>
        </row>
        <row r="1537">
          <cell r="K1537">
            <v>91.54</v>
          </cell>
          <cell r="Q1537">
            <v>0.93030000000000002</v>
          </cell>
        </row>
        <row r="1538">
          <cell r="K1538">
            <v>89.16</v>
          </cell>
          <cell r="Q1538">
            <v>0.90610000000000002</v>
          </cell>
        </row>
        <row r="1539">
          <cell r="K1539">
            <v>89.95</v>
          </cell>
          <cell r="Q1539">
            <v>0.91410000000000002</v>
          </cell>
        </row>
        <row r="1540">
          <cell r="K1540">
            <v>92.25</v>
          </cell>
          <cell r="Q1540">
            <v>0.9375</v>
          </cell>
        </row>
        <row r="1541">
          <cell r="K1541">
            <v>92.37</v>
          </cell>
          <cell r="Q1541">
            <v>0.93869999999999998</v>
          </cell>
        </row>
        <row r="1542">
          <cell r="K1542">
            <v>91.36</v>
          </cell>
          <cell r="Q1542">
            <v>0.9284</v>
          </cell>
        </row>
        <row r="1543">
          <cell r="K1543">
            <v>89.75</v>
          </cell>
          <cell r="Q1543">
            <v>0.91210000000000002</v>
          </cell>
        </row>
        <row r="1544">
          <cell r="K1544">
            <v>90.21</v>
          </cell>
          <cell r="Q1544">
            <v>0.91679999999999995</v>
          </cell>
        </row>
        <row r="1545">
          <cell r="K1545">
            <v>89.64</v>
          </cell>
          <cell r="Q1545">
            <v>0.91100000000000003</v>
          </cell>
        </row>
        <row r="1546">
          <cell r="K1546">
            <v>89.65</v>
          </cell>
          <cell r="Q1546">
            <v>0.91110000000000002</v>
          </cell>
        </row>
        <row r="1547">
          <cell r="K1547">
            <v>90.51</v>
          </cell>
          <cell r="Q1547">
            <v>0.91979999999999995</v>
          </cell>
        </row>
        <row r="1548">
          <cell r="K1548">
            <v>91.18</v>
          </cell>
          <cell r="Q1548">
            <v>0.92659999999999998</v>
          </cell>
        </row>
        <row r="1549">
          <cell r="K1549">
            <v>89.74</v>
          </cell>
          <cell r="Q1549">
            <v>0.91200000000000003</v>
          </cell>
        </row>
        <row r="1550">
          <cell r="K1550">
            <v>89.28</v>
          </cell>
          <cell r="Q1550">
            <v>0.9073</v>
          </cell>
        </row>
        <row r="1551">
          <cell r="K1551">
            <v>88.7</v>
          </cell>
          <cell r="Q1551">
            <v>0.90139999999999998</v>
          </cell>
        </row>
        <row r="1552">
          <cell r="K1552">
            <v>88.83</v>
          </cell>
          <cell r="Q1552">
            <v>0.90269999999999995</v>
          </cell>
        </row>
        <row r="1553">
          <cell r="K1553">
            <v>89.36</v>
          </cell>
          <cell r="Q1553">
            <v>0.90810000000000002</v>
          </cell>
        </row>
        <row r="1554">
          <cell r="K1554">
            <v>88.27</v>
          </cell>
          <cell r="Q1554">
            <v>0.89700000000000002</v>
          </cell>
        </row>
        <row r="1555">
          <cell r="K1555">
            <v>86.94</v>
          </cell>
          <cell r="Q1555">
            <v>0.88349999999999995</v>
          </cell>
        </row>
        <row r="1556">
          <cell r="K1556">
            <v>86.83</v>
          </cell>
          <cell r="Q1556">
            <v>0.88239999999999996</v>
          </cell>
        </row>
        <row r="1557">
          <cell r="K1557">
            <v>87.48</v>
          </cell>
          <cell r="Q1557">
            <v>0.88900000000000001</v>
          </cell>
        </row>
        <row r="1558">
          <cell r="K1558">
            <v>86.64</v>
          </cell>
          <cell r="Q1558">
            <v>0.88049999999999995</v>
          </cell>
        </row>
        <row r="1559">
          <cell r="K1559">
            <v>87</v>
          </cell>
          <cell r="Q1559">
            <v>0.8841</v>
          </cell>
        </row>
        <row r="1560">
          <cell r="K1560">
            <v>86.9</v>
          </cell>
          <cell r="Q1560">
            <v>0.8831</v>
          </cell>
        </row>
        <row r="1561">
          <cell r="K1561">
            <v>86.97</v>
          </cell>
          <cell r="Q1561">
            <v>0.88380000000000003</v>
          </cell>
        </row>
        <row r="1562">
          <cell r="K1562">
            <v>85.64</v>
          </cell>
          <cell r="Q1562">
            <v>0.90900000000000003</v>
          </cell>
        </row>
        <row r="1563">
          <cell r="K1563">
            <v>84.88</v>
          </cell>
          <cell r="Q1563">
            <v>0.90090000000000003</v>
          </cell>
        </row>
        <row r="1564">
          <cell r="K1564">
            <v>84.12</v>
          </cell>
          <cell r="Q1564">
            <v>0.89290000000000003</v>
          </cell>
        </row>
        <row r="1565">
          <cell r="K1565">
            <v>84.63</v>
          </cell>
          <cell r="Q1565">
            <v>0.89829999999999999</v>
          </cell>
        </row>
        <row r="1566">
          <cell r="K1566">
            <v>84.6</v>
          </cell>
          <cell r="Q1566">
            <v>0.89800000000000002</v>
          </cell>
        </row>
        <row r="1567">
          <cell r="K1567">
            <v>84.19</v>
          </cell>
          <cell r="Q1567">
            <v>0.89359999999999995</v>
          </cell>
        </row>
        <row r="1568">
          <cell r="K1568">
            <v>85.9</v>
          </cell>
          <cell r="Q1568">
            <v>0.91180000000000005</v>
          </cell>
        </row>
        <row r="1569">
          <cell r="K1569">
            <v>86.57</v>
          </cell>
          <cell r="Q1569">
            <v>0.91890000000000005</v>
          </cell>
        </row>
        <row r="1570">
          <cell r="K1570">
            <v>85.7</v>
          </cell>
          <cell r="Q1570">
            <v>0.90959999999999996</v>
          </cell>
        </row>
        <row r="1571">
          <cell r="K1571">
            <v>85.05</v>
          </cell>
          <cell r="Q1571">
            <v>0.90269999999999995</v>
          </cell>
        </row>
        <row r="1572">
          <cell r="K1572">
            <v>82.27</v>
          </cell>
          <cell r="Q1572">
            <v>0.87319999999999998</v>
          </cell>
        </row>
        <row r="1573">
          <cell r="K1573">
            <v>82.61</v>
          </cell>
          <cell r="Q1573">
            <v>0.87680000000000002</v>
          </cell>
        </row>
        <row r="1574">
          <cell r="K1574">
            <v>81.47</v>
          </cell>
          <cell r="Q1574">
            <v>0.86470000000000002</v>
          </cell>
        </row>
        <row r="1575">
          <cell r="K1575">
            <v>80.459999999999994</v>
          </cell>
          <cell r="Q1575">
            <v>0.85399999999999998</v>
          </cell>
        </row>
        <row r="1576">
          <cell r="K1576">
            <v>80.430000000000007</v>
          </cell>
          <cell r="Q1576">
            <v>0.85370000000000001</v>
          </cell>
        </row>
        <row r="1577">
          <cell r="K1577">
            <v>82.71</v>
          </cell>
          <cell r="Q1577">
            <v>0.87790000000000001</v>
          </cell>
        </row>
        <row r="1578">
          <cell r="K1578">
            <v>84.1</v>
          </cell>
          <cell r="Q1578">
            <v>0.89270000000000005</v>
          </cell>
        </row>
        <row r="1579">
          <cell r="K1579">
            <v>83.78</v>
          </cell>
          <cell r="Q1579">
            <v>0.88929999999999998</v>
          </cell>
        </row>
        <row r="1580">
          <cell r="K1580">
            <v>84.51</v>
          </cell>
          <cell r="Q1580">
            <v>0.89700000000000002</v>
          </cell>
        </row>
        <row r="1581">
          <cell r="K1581">
            <v>84.68</v>
          </cell>
          <cell r="Q1581">
            <v>0.89880000000000004</v>
          </cell>
        </row>
        <row r="1582">
          <cell r="K1582">
            <v>84.8</v>
          </cell>
          <cell r="Q1582">
            <v>0.90010000000000001</v>
          </cell>
        </row>
        <row r="1583">
          <cell r="K1583">
            <v>84.67</v>
          </cell>
          <cell r="Q1583">
            <v>0.89870000000000005</v>
          </cell>
        </row>
        <row r="1584">
          <cell r="K1584">
            <v>83.08</v>
          </cell>
          <cell r="Q1584">
            <v>0.88180000000000003</v>
          </cell>
        </row>
        <row r="1585">
          <cell r="K1585">
            <v>84.26</v>
          </cell>
          <cell r="Q1585">
            <v>0.89439999999999997</v>
          </cell>
        </row>
        <row r="1586">
          <cell r="K1586">
            <v>86.98</v>
          </cell>
          <cell r="Q1586">
            <v>0.92320000000000002</v>
          </cell>
        </row>
        <row r="1587">
          <cell r="K1587">
            <v>87.59</v>
          </cell>
          <cell r="Q1587">
            <v>0.92969999999999997</v>
          </cell>
        </row>
        <row r="1588">
          <cell r="K1588">
            <v>89.79</v>
          </cell>
          <cell r="Q1588">
            <v>0.95309999999999995</v>
          </cell>
        </row>
        <row r="1589">
          <cell r="K1589">
            <v>90.31</v>
          </cell>
          <cell r="Q1589">
            <v>0.95860000000000001</v>
          </cell>
        </row>
        <row r="1590">
          <cell r="K1590">
            <v>89.95</v>
          </cell>
          <cell r="Q1590">
            <v>0.95469999999999999</v>
          </cell>
        </row>
        <row r="1591">
          <cell r="K1591">
            <v>88.62</v>
          </cell>
          <cell r="Q1591">
            <v>0.94059999999999999</v>
          </cell>
        </row>
        <row r="1592">
          <cell r="K1592">
            <v>88.07</v>
          </cell>
          <cell r="Q1592">
            <v>0.93479999999999996</v>
          </cell>
        </row>
        <row r="1593">
          <cell r="K1593">
            <v>87.55</v>
          </cell>
          <cell r="Q1593">
            <v>0.92930000000000001</v>
          </cell>
        </row>
        <row r="1594">
          <cell r="K1594">
            <v>87</v>
          </cell>
          <cell r="Q1594">
            <v>0.9234</v>
          </cell>
        </row>
        <row r="1595">
          <cell r="K1595">
            <v>86.78</v>
          </cell>
          <cell r="Q1595">
            <v>0.92110000000000003</v>
          </cell>
        </row>
        <row r="1596">
          <cell r="K1596">
            <v>87.67</v>
          </cell>
          <cell r="Q1596">
            <v>0.93049999999999999</v>
          </cell>
        </row>
        <row r="1597">
          <cell r="K1597">
            <v>88.33</v>
          </cell>
          <cell r="Q1597">
            <v>0.93759999999999999</v>
          </cell>
        </row>
        <row r="1598">
          <cell r="K1598">
            <v>88.1</v>
          </cell>
          <cell r="Q1598">
            <v>0.93510000000000004</v>
          </cell>
        </row>
        <row r="1599">
          <cell r="K1599">
            <v>87.7</v>
          </cell>
          <cell r="Q1599">
            <v>0.93089999999999995</v>
          </cell>
        </row>
        <row r="1600">
          <cell r="K1600">
            <v>86.95</v>
          </cell>
          <cell r="Q1600">
            <v>0.92290000000000005</v>
          </cell>
        </row>
        <row r="1601">
          <cell r="K1601">
            <v>86.21</v>
          </cell>
          <cell r="Q1601">
            <v>0.91510000000000002</v>
          </cell>
        </row>
        <row r="1602">
          <cell r="K1602">
            <v>86.19</v>
          </cell>
          <cell r="Q1602">
            <v>0.91479999999999995</v>
          </cell>
        </row>
        <row r="1603">
          <cell r="K1603">
            <v>86.49</v>
          </cell>
          <cell r="Q1603">
            <v>0.91800000000000004</v>
          </cell>
        </row>
        <row r="1604">
          <cell r="K1604">
            <v>86.41</v>
          </cell>
          <cell r="Q1604">
            <v>0.91720000000000002</v>
          </cell>
        </row>
        <row r="1605">
          <cell r="K1605">
            <v>85.8</v>
          </cell>
          <cell r="Q1605">
            <v>0.91069999999999995</v>
          </cell>
        </row>
        <row r="1606">
          <cell r="K1606">
            <v>86.13</v>
          </cell>
          <cell r="Q1606">
            <v>0.91420000000000001</v>
          </cell>
        </row>
        <row r="1607">
          <cell r="K1607">
            <v>85.92</v>
          </cell>
          <cell r="Q1607">
            <v>0.91200000000000003</v>
          </cell>
        </row>
        <row r="1608">
          <cell r="K1608">
            <v>84.42</v>
          </cell>
          <cell r="Q1608">
            <v>0.89610000000000001</v>
          </cell>
        </row>
        <row r="1609">
          <cell r="K1609">
            <v>84</v>
          </cell>
          <cell r="Q1609">
            <v>0.89159999999999995</v>
          </cell>
        </row>
        <row r="1610">
          <cell r="K1610">
            <v>84.65</v>
          </cell>
          <cell r="Q1610">
            <v>0.89849999999999997</v>
          </cell>
        </row>
        <row r="1611">
          <cell r="K1611">
            <v>83.8</v>
          </cell>
          <cell r="Q1611">
            <v>0.88949999999999996</v>
          </cell>
        </row>
        <row r="1612">
          <cell r="K1612">
            <v>83.52</v>
          </cell>
          <cell r="Q1612">
            <v>0.88649999999999995</v>
          </cell>
        </row>
        <row r="1613">
          <cell r="K1613">
            <v>83.21</v>
          </cell>
          <cell r="Q1613">
            <v>0.88319999999999999</v>
          </cell>
        </row>
        <row r="1614">
          <cell r="K1614">
            <v>85.14</v>
          </cell>
          <cell r="Q1614">
            <v>0.90369999999999995</v>
          </cell>
        </row>
        <row r="1615">
          <cell r="K1615">
            <v>83.87</v>
          </cell>
          <cell r="Q1615">
            <v>0.89019999999999999</v>
          </cell>
        </row>
        <row r="1616">
          <cell r="K1616">
            <v>83.92</v>
          </cell>
          <cell r="Q1616">
            <v>0.89070000000000005</v>
          </cell>
        </row>
        <row r="1617">
          <cell r="K1617">
            <v>84.55</v>
          </cell>
          <cell r="Q1617">
            <v>0.89739999999999998</v>
          </cell>
        </row>
        <row r="1618">
          <cell r="K1618">
            <v>84.25</v>
          </cell>
          <cell r="Q1618">
            <v>0.89419999999999999</v>
          </cell>
        </row>
        <row r="1619">
          <cell r="K1619">
            <v>83.2</v>
          </cell>
          <cell r="Q1619">
            <v>0.8831</v>
          </cell>
        </row>
        <row r="1620">
          <cell r="K1620">
            <v>83.12</v>
          </cell>
          <cell r="Q1620">
            <v>0.88229999999999997</v>
          </cell>
        </row>
        <row r="1621">
          <cell r="K1621">
            <v>81.52</v>
          </cell>
          <cell r="Q1621">
            <v>0.86529999999999996</v>
          </cell>
        </row>
        <row r="1622">
          <cell r="K1622">
            <v>82.33</v>
          </cell>
          <cell r="Q1622">
            <v>0.87390000000000001</v>
          </cell>
        </row>
        <row r="1623">
          <cell r="K1623">
            <v>82.1</v>
          </cell>
          <cell r="Q1623">
            <v>0.87139999999999995</v>
          </cell>
        </row>
        <row r="1624">
          <cell r="K1624">
            <v>82.96</v>
          </cell>
          <cell r="Q1624">
            <v>0.88060000000000005</v>
          </cell>
        </row>
        <row r="1625">
          <cell r="K1625">
            <v>82.49</v>
          </cell>
          <cell r="Q1625">
            <v>0.87560000000000004</v>
          </cell>
        </row>
        <row r="1626">
          <cell r="K1626">
            <v>82.72</v>
          </cell>
          <cell r="Q1626">
            <v>0.91569999999999996</v>
          </cell>
        </row>
        <row r="1627">
          <cell r="K1627">
            <v>82.48</v>
          </cell>
          <cell r="Q1627">
            <v>0.91300000000000003</v>
          </cell>
        </row>
        <row r="1628">
          <cell r="K1628">
            <v>81.849999999999994</v>
          </cell>
          <cell r="Q1628">
            <v>0.90610000000000002</v>
          </cell>
        </row>
        <row r="1629">
          <cell r="K1629">
            <v>82.14</v>
          </cell>
          <cell r="Q1629">
            <v>0.9093</v>
          </cell>
        </row>
        <row r="1630">
          <cell r="K1630">
            <v>83.2</v>
          </cell>
          <cell r="Q1630">
            <v>0.92100000000000004</v>
          </cell>
        </row>
        <row r="1631">
          <cell r="K1631">
            <v>85.33</v>
          </cell>
          <cell r="Q1631">
            <v>0.9446</v>
          </cell>
        </row>
        <row r="1632">
          <cell r="K1632">
            <v>84.96</v>
          </cell>
          <cell r="Q1632">
            <v>0.9405</v>
          </cell>
        </row>
        <row r="1633">
          <cell r="K1633">
            <v>86.7</v>
          </cell>
          <cell r="Q1633">
            <v>0.95979999999999999</v>
          </cell>
        </row>
        <row r="1634">
          <cell r="K1634">
            <v>87.17</v>
          </cell>
          <cell r="Q1634">
            <v>0.96499999999999997</v>
          </cell>
        </row>
        <row r="1635">
          <cell r="K1635">
            <v>87.4</v>
          </cell>
          <cell r="Q1635">
            <v>0.96750000000000003</v>
          </cell>
        </row>
        <row r="1636">
          <cell r="K1636">
            <v>88.17</v>
          </cell>
          <cell r="Q1636">
            <v>0.97599999999999998</v>
          </cell>
        </row>
        <row r="1637">
          <cell r="K1637">
            <v>86.67</v>
          </cell>
          <cell r="Q1637">
            <v>0.95940000000000003</v>
          </cell>
        </row>
        <row r="1638">
          <cell r="K1638">
            <v>85.72</v>
          </cell>
          <cell r="Q1638">
            <v>0.94889999999999997</v>
          </cell>
        </row>
        <row r="1639">
          <cell r="K1639">
            <v>85.65</v>
          </cell>
          <cell r="Q1639">
            <v>0.94810000000000005</v>
          </cell>
        </row>
        <row r="1640">
          <cell r="K1640">
            <v>86</v>
          </cell>
          <cell r="Q1640">
            <v>0.95199999999999996</v>
          </cell>
        </row>
        <row r="1641">
          <cell r="K1641">
            <v>85.52</v>
          </cell>
          <cell r="Q1641">
            <v>0.94669999999999999</v>
          </cell>
        </row>
        <row r="1642">
          <cell r="K1642">
            <v>83.44</v>
          </cell>
          <cell r="Q1642">
            <v>0.92369999999999997</v>
          </cell>
        </row>
        <row r="1643">
          <cell r="K1643">
            <v>82.14</v>
          </cell>
          <cell r="Q1643">
            <v>0.9093</v>
          </cell>
        </row>
        <row r="1644">
          <cell r="K1644">
            <v>82.06</v>
          </cell>
          <cell r="Q1644">
            <v>0.90839999999999999</v>
          </cell>
        </row>
        <row r="1645">
          <cell r="K1645">
            <v>83.02</v>
          </cell>
          <cell r="Q1645">
            <v>0.91900000000000004</v>
          </cell>
        </row>
        <row r="1646">
          <cell r="K1646">
            <v>83.19</v>
          </cell>
          <cell r="Q1646">
            <v>0.92090000000000005</v>
          </cell>
        </row>
        <row r="1647">
          <cell r="K1647">
            <v>82.91</v>
          </cell>
          <cell r="Q1647">
            <v>0.91779999999999995</v>
          </cell>
        </row>
        <row r="1648">
          <cell r="K1648">
            <v>84.44</v>
          </cell>
          <cell r="Q1648">
            <v>0.93469999999999998</v>
          </cell>
        </row>
        <row r="1649">
          <cell r="K1649">
            <v>84.3</v>
          </cell>
          <cell r="Q1649">
            <v>0.93320000000000003</v>
          </cell>
        </row>
        <row r="1650">
          <cell r="K1650">
            <v>83.56</v>
          </cell>
          <cell r="Q1650">
            <v>0.92500000000000004</v>
          </cell>
        </row>
        <row r="1651">
          <cell r="K1651">
            <v>82.53</v>
          </cell>
          <cell r="Q1651">
            <v>0.91359999999999997</v>
          </cell>
        </row>
        <row r="1652">
          <cell r="K1652">
            <v>82.43</v>
          </cell>
          <cell r="Q1652">
            <v>0.91249999999999998</v>
          </cell>
        </row>
        <row r="1653">
          <cell r="K1653">
            <v>83.96</v>
          </cell>
          <cell r="Q1653">
            <v>0.9294</v>
          </cell>
        </row>
        <row r="1654">
          <cell r="K1654">
            <v>84.51</v>
          </cell>
          <cell r="Q1654">
            <v>0.9355</v>
          </cell>
        </row>
        <row r="1655">
          <cell r="K1655">
            <v>86.32</v>
          </cell>
          <cell r="Q1655">
            <v>0.95550000000000002</v>
          </cell>
        </row>
        <row r="1656">
          <cell r="K1656">
            <v>86.57</v>
          </cell>
          <cell r="Q1656">
            <v>0.95830000000000004</v>
          </cell>
        </row>
        <row r="1657">
          <cell r="K1657">
            <v>85.82</v>
          </cell>
          <cell r="Q1657">
            <v>0.95</v>
          </cell>
        </row>
        <row r="1658">
          <cell r="K1658">
            <v>85.86</v>
          </cell>
          <cell r="Q1658">
            <v>0.95050000000000001</v>
          </cell>
        </row>
        <row r="1659">
          <cell r="K1659">
            <v>85.16</v>
          </cell>
          <cell r="Q1659">
            <v>0.94269999999999998</v>
          </cell>
        </row>
        <row r="1660">
          <cell r="K1660">
            <v>84.2</v>
          </cell>
          <cell r="Q1660">
            <v>0.93210000000000004</v>
          </cell>
        </row>
        <row r="1661">
          <cell r="K1661">
            <v>83.86</v>
          </cell>
          <cell r="Q1661">
            <v>0.92830000000000001</v>
          </cell>
        </row>
        <row r="1662">
          <cell r="K1662">
            <v>82.94</v>
          </cell>
          <cell r="Q1662">
            <v>0.91810000000000003</v>
          </cell>
        </row>
        <row r="1663">
          <cell r="K1663">
            <v>84.17</v>
          </cell>
          <cell r="Q1663">
            <v>0.93169999999999997</v>
          </cell>
        </row>
        <row r="1664">
          <cell r="K1664">
            <v>83.89</v>
          </cell>
          <cell r="Q1664">
            <v>0.92859999999999998</v>
          </cell>
        </row>
        <row r="1665">
          <cell r="K1665">
            <v>83.56</v>
          </cell>
          <cell r="Q1665">
            <v>0.92500000000000004</v>
          </cell>
        </row>
        <row r="1666">
          <cell r="K1666">
            <v>82.7</v>
          </cell>
          <cell r="Q1666">
            <v>0.91549999999999998</v>
          </cell>
        </row>
        <row r="1667">
          <cell r="K1667">
            <v>82.45</v>
          </cell>
          <cell r="Q1667">
            <v>0.91269999999999996</v>
          </cell>
        </row>
        <row r="1668">
          <cell r="K1668">
            <v>82.53</v>
          </cell>
          <cell r="Q1668">
            <v>0.91359999999999997</v>
          </cell>
        </row>
        <row r="1669">
          <cell r="K1669">
            <v>82.54</v>
          </cell>
          <cell r="Q1669">
            <v>0.91369999999999996</v>
          </cell>
        </row>
        <row r="1670">
          <cell r="K1670">
            <v>82.51</v>
          </cell>
          <cell r="Q1670">
            <v>0.91339999999999999</v>
          </cell>
        </row>
        <row r="1671">
          <cell r="K1671">
            <v>83.54</v>
          </cell>
          <cell r="Q1671">
            <v>0.92479999999999996</v>
          </cell>
        </row>
        <row r="1672">
          <cell r="K1672">
            <v>82.95</v>
          </cell>
          <cell r="Q1672">
            <v>0.91820000000000002</v>
          </cell>
        </row>
        <row r="1673">
          <cell r="K1673">
            <v>83.39</v>
          </cell>
          <cell r="Q1673">
            <v>0.92310000000000003</v>
          </cell>
        </row>
        <row r="1674">
          <cell r="K1674">
            <v>85.59</v>
          </cell>
          <cell r="Q1674">
            <v>0.94750000000000001</v>
          </cell>
        </row>
        <row r="1675">
          <cell r="K1675">
            <v>86.61</v>
          </cell>
          <cell r="Q1675">
            <v>0.95879999999999999</v>
          </cell>
        </row>
        <row r="1676">
          <cell r="K1676">
            <v>87.13</v>
          </cell>
          <cell r="Q1676">
            <v>0.96450000000000002</v>
          </cell>
        </row>
        <row r="1677">
          <cell r="K1677">
            <v>86.84</v>
          </cell>
          <cell r="Q1677">
            <v>0.96130000000000004</v>
          </cell>
        </row>
        <row r="1678">
          <cell r="K1678">
            <v>87.01</v>
          </cell>
          <cell r="Q1678">
            <v>0.96319999999999995</v>
          </cell>
        </row>
        <row r="1679">
          <cell r="K1679">
            <v>87.18</v>
          </cell>
          <cell r="Q1679">
            <v>0.96509999999999996</v>
          </cell>
        </row>
        <row r="1680">
          <cell r="K1680">
            <v>87.07</v>
          </cell>
          <cell r="Q1680">
            <v>0.96379999999999999</v>
          </cell>
        </row>
        <row r="1681">
          <cell r="K1681">
            <v>87.84</v>
          </cell>
          <cell r="Q1681">
            <v>0.97240000000000004</v>
          </cell>
        </row>
        <row r="1682">
          <cell r="K1682">
            <v>87.75</v>
          </cell>
          <cell r="Q1682">
            <v>0.97140000000000004</v>
          </cell>
        </row>
        <row r="1683">
          <cell r="K1683">
            <v>84.75</v>
          </cell>
          <cell r="Q1683">
            <v>0.93820000000000003</v>
          </cell>
        </row>
        <row r="1684">
          <cell r="K1684">
            <v>85.03</v>
          </cell>
          <cell r="Q1684">
            <v>0.94130000000000003</v>
          </cell>
        </row>
        <row r="1685">
          <cell r="K1685">
            <v>85.11</v>
          </cell>
          <cell r="Q1685">
            <v>0.94220000000000004</v>
          </cell>
        </row>
        <row r="1686">
          <cell r="K1686">
            <v>84.5</v>
          </cell>
          <cell r="Q1686">
            <v>0.93540000000000001</v>
          </cell>
        </row>
        <row r="1687">
          <cell r="K1687">
            <v>84.2</v>
          </cell>
          <cell r="Q1687">
            <v>0.93210000000000004</v>
          </cell>
        </row>
        <row r="1688">
          <cell r="K1688">
            <v>83.8</v>
          </cell>
          <cell r="Q1688">
            <v>0.92769999999999997</v>
          </cell>
        </row>
        <row r="1689">
          <cell r="K1689">
            <v>83.4</v>
          </cell>
          <cell r="Q1689">
            <v>0.96579999999999999</v>
          </cell>
        </row>
        <row r="1690">
          <cell r="K1690">
            <v>83.76</v>
          </cell>
          <cell r="Q1690">
            <v>0.96989999999999998</v>
          </cell>
        </row>
        <row r="1691">
          <cell r="K1691">
            <v>84.07</v>
          </cell>
          <cell r="Q1691">
            <v>0.97350000000000003</v>
          </cell>
        </row>
        <row r="1692">
          <cell r="K1692">
            <v>83.97</v>
          </cell>
          <cell r="Q1692">
            <v>0.97240000000000004</v>
          </cell>
        </row>
        <row r="1693">
          <cell r="K1693">
            <v>84.2</v>
          </cell>
          <cell r="Q1693">
            <v>0.97499999999999998</v>
          </cell>
        </row>
        <row r="1694">
          <cell r="K1694">
            <v>83.53</v>
          </cell>
          <cell r="Q1694">
            <v>0.96730000000000005</v>
          </cell>
        </row>
        <row r="1695">
          <cell r="K1695">
            <v>82.85</v>
          </cell>
          <cell r="Q1695">
            <v>0.95940000000000003</v>
          </cell>
        </row>
        <row r="1696">
          <cell r="K1696">
            <v>83.52</v>
          </cell>
          <cell r="Q1696">
            <v>0.96719999999999995</v>
          </cell>
        </row>
        <row r="1697">
          <cell r="K1697">
            <v>84.73</v>
          </cell>
          <cell r="Q1697">
            <v>0.98119999999999996</v>
          </cell>
        </row>
        <row r="1698">
          <cell r="K1698">
            <v>85.61</v>
          </cell>
          <cell r="Q1698">
            <v>0.99139999999999995</v>
          </cell>
        </row>
        <row r="1699">
          <cell r="K1699">
            <v>86.24</v>
          </cell>
          <cell r="Q1699">
            <v>0.99870000000000003</v>
          </cell>
        </row>
        <row r="1700">
          <cell r="K1700">
            <v>85.75</v>
          </cell>
          <cell r="Q1700">
            <v>0.99299999999999999</v>
          </cell>
        </row>
        <row r="1701">
          <cell r="K1701">
            <v>86.27</v>
          </cell>
          <cell r="Q1701">
            <v>0.999</v>
          </cell>
        </row>
        <row r="1702">
          <cell r="K1702">
            <v>85.85</v>
          </cell>
          <cell r="Q1702">
            <v>0.99419999999999997</v>
          </cell>
        </row>
        <row r="1703">
          <cell r="K1703">
            <v>87.34</v>
          </cell>
          <cell r="Q1703">
            <v>1.0114000000000001</v>
          </cell>
        </row>
        <row r="1704">
          <cell r="K1704">
            <v>87.7</v>
          </cell>
          <cell r="Q1704">
            <v>1.0156000000000001</v>
          </cell>
        </row>
        <row r="1705">
          <cell r="K1705">
            <v>89.17</v>
          </cell>
          <cell r="Q1705">
            <v>1.0326</v>
          </cell>
        </row>
        <row r="1706">
          <cell r="K1706">
            <v>83.76</v>
          </cell>
          <cell r="Q1706">
            <v>0.96989999999999998</v>
          </cell>
        </row>
        <row r="1707">
          <cell r="K1707">
            <v>84.53</v>
          </cell>
          <cell r="Q1707">
            <v>0.97889999999999999</v>
          </cell>
        </row>
        <row r="1708">
          <cell r="K1708">
            <v>84.77</v>
          </cell>
          <cell r="Q1708">
            <v>0.98160000000000003</v>
          </cell>
        </row>
        <row r="1709">
          <cell r="K1709">
            <v>84.28</v>
          </cell>
          <cell r="Q1709">
            <v>0.97599999999999998</v>
          </cell>
        </row>
        <row r="1710">
          <cell r="K1710">
            <v>84.07</v>
          </cell>
          <cell r="Q1710">
            <v>0.97350000000000003</v>
          </cell>
        </row>
        <row r="1711">
          <cell r="K1711">
            <v>83.49</v>
          </cell>
          <cell r="Q1711">
            <v>0.96679999999999999</v>
          </cell>
        </row>
        <row r="1712">
          <cell r="K1712">
            <v>83.36</v>
          </cell>
          <cell r="Q1712">
            <v>0.96530000000000005</v>
          </cell>
        </row>
        <row r="1713">
          <cell r="K1713">
            <v>83.59</v>
          </cell>
          <cell r="Q1713">
            <v>0.96799999999999997</v>
          </cell>
        </row>
        <row r="1714">
          <cell r="K1714">
            <v>83.89</v>
          </cell>
          <cell r="Q1714">
            <v>0.97150000000000003</v>
          </cell>
        </row>
        <row r="1715">
          <cell r="K1715">
            <v>84.05</v>
          </cell>
          <cell r="Q1715">
            <v>0.97330000000000005</v>
          </cell>
        </row>
        <row r="1716">
          <cell r="K1716">
            <v>84.22</v>
          </cell>
          <cell r="Q1716">
            <v>0.97529999999999994</v>
          </cell>
        </row>
        <row r="1717">
          <cell r="K1717">
            <v>83.65</v>
          </cell>
          <cell r="Q1717">
            <v>0.96870000000000001</v>
          </cell>
        </row>
        <row r="1718">
          <cell r="K1718">
            <v>84.24</v>
          </cell>
          <cell r="Q1718">
            <v>0.97550000000000003</v>
          </cell>
        </row>
        <row r="1719">
          <cell r="K1719">
            <v>84.15</v>
          </cell>
          <cell r="Q1719">
            <v>0.97450000000000003</v>
          </cell>
        </row>
        <row r="1720">
          <cell r="K1720">
            <v>83.85</v>
          </cell>
          <cell r="Q1720">
            <v>0.97099999999999997</v>
          </cell>
        </row>
        <row r="1721">
          <cell r="K1721">
            <v>84.2</v>
          </cell>
          <cell r="Q1721">
            <v>0.97499999999999998</v>
          </cell>
        </row>
        <row r="1722">
          <cell r="K1722">
            <v>83.76</v>
          </cell>
          <cell r="Q1722">
            <v>0.96989999999999998</v>
          </cell>
        </row>
        <row r="1723">
          <cell r="K1723">
            <v>83.74</v>
          </cell>
          <cell r="Q1723">
            <v>0.96970000000000001</v>
          </cell>
        </row>
        <row r="1724">
          <cell r="K1724">
            <v>84.04</v>
          </cell>
          <cell r="Q1724">
            <v>0.97319999999999995</v>
          </cell>
        </row>
        <row r="1725">
          <cell r="K1725">
            <v>83.67</v>
          </cell>
          <cell r="Q1725">
            <v>0.96889999999999998</v>
          </cell>
        </row>
        <row r="1726">
          <cell r="K1726">
            <v>82.68</v>
          </cell>
          <cell r="Q1726">
            <v>0.95740000000000003</v>
          </cell>
        </row>
        <row r="1727">
          <cell r="K1727">
            <v>82.12</v>
          </cell>
          <cell r="Q1727">
            <v>0.95099999999999996</v>
          </cell>
        </row>
        <row r="1728">
          <cell r="K1728">
            <v>82.88</v>
          </cell>
          <cell r="Q1728">
            <v>0.95979999999999999</v>
          </cell>
        </row>
        <row r="1729">
          <cell r="K1729">
            <v>84.4</v>
          </cell>
          <cell r="Q1729">
            <v>0.97740000000000005</v>
          </cell>
        </row>
        <row r="1730">
          <cell r="K1730">
            <v>84.36</v>
          </cell>
          <cell r="Q1730">
            <v>0.97689999999999999</v>
          </cell>
        </row>
        <row r="1731">
          <cell r="K1731">
            <v>84.67</v>
          </cell>
          <cell r="Q1731">
            <v>0.98050000000000004</v>
          </cell>
        </row>
        <row r="1732">
          <cell r="K1732">
            <v>84.6</v>
          </cell>
          <cell r="Q1732">
            <v>0.97970000000000002</v>
          </cell>
        </row>
        <row r="1733">
          <cell r="K1733">
            <v>84.25</v>
          </cell>
          <cell r="Q1733">
            <v>0.97560000000000002</v>
          </cell>
        </row>
        <row r="1734">
          <cell r="K1734">
            <v>83.87</v>
          </cell>
          <cell r="Q1734">
            <v>0.97119999999999995</v>
          </cell>
        </row>
        <row r="1735">
          <cell r="K1735">
            <v>83.97</v>
          </cell>
          <cell r="Q1735">
            <v>0.97240000000000004</v>
          </cell>
        </row>
        <row r="1736">
          <cell r="K1736">
            <v>84.41</v>
          </cell>
          <cell r="Q1736">
            <v>0.97750000000000004</v>
          </cell>
        </row>
        <row r="1737">
          <cell r="K1737">
            <v>85.5</v>
          </cell>
          <cell r="Q1737">
            <v>0.99009999999999998</v>
          </cell>
        </row>
        <row r="1738">
          <cell r="K1738">
            <v>86.09</v>
          </cell>
          <cell r="Q1738">
            <v>0.99690000000000001</v>
          </cell>
        </row>
        <row r="1739">
          <cell r="K1739">
            <v>86.42</v>
          </cell>
          <cell r="Q1739">
            <v>1.0007999999999999</v>
          </cell>
        </row>
        <row r="1740">
          <cell r="K1740">
            <v>85.28</v>
          </cell>
          <cell r="Q1740">
            <v>0.98760000000000003</v>
          </cell>
        </row>
        <row r="1741">
          <cell r="K1741">
            <v>85.57</v>
          </cell>
          <cell r="Q1741">
            <v>0.9909</v>
          </cell>
        </row>
        <row r="1742">
          <cell r="K1742">
            <v>86.05</v>
          </cell>
          <cell r="Q1742">
            <v>0.99650000000000005</v>
          </cell>
        </row>
        <row r="1743">
          <cell r="K1743">
            <v>87.38</v>
          </cell>
          <cell r="Q1743">
            <v>1.0119</v>
          </cell>
        </row>
        <row r="1744">
          <cell r="K1744">
            <v>86.92</v>
          </cell>
          <cell r="Q1744">
            <v>1.0065</v>
          </cell>
        </row>
        <row r="1745">
          <cell r="K1745">
            <v>88.17</v>
          </cell>
          <cell r="Q1745">
            <v>1.0209999999999999</v>
          </cell>
        </row>
        <row r="1746">
          <cell r="K1746">
            <v>87.54</v>
          </cell>
          <cell r="Q1746">
            <v>1.0137</v>
          </cell>
        </row>
        <row r="1747">
          <cell r="K1747">
            <v>88.93</v>
          </cell>
          <cell r="Q1747">
            <v>1.0298</v>
          </cell>
        </row>
        <row r="1748">
          <cell r="K1748">
            <v>89.96</v>
          </cell>
          <cell r="Q1748">
            <v>1.0417000000000001</v>
          </cell>
        </row>
        <row r="1749">
          <cell r="K1749">
            <v>90.91</v>
          </cell>
          <cell r="Q1749">
            <v>1.0527</v>
          </cell>
        </row>
        <row r="1750">
          <cell r="K1750">
            <v>91.15</v>
          </cell>
          <cell r="Q1750">
            <v>1.0555000000000001</v>
          </cell>
        </row>
        <row r="1751">
          <cell r="K1751">
            <v>90.87</v>
          </cell>
          <cell r="Q1751">
            <v>1.0523</v>
          </cell>
        </row>
        <row r="1752">
          <cell r="K1752">
            <v>90.87</v>
          </cell>
          <cell r="Q1752">
            <v>1.0523</v>
          </cell>
        </row>
        <row r="1753">
          <cell r="K1753">
            <v>90.81</v>
          </cell>
          <cell r="Q1753">
            <v>1.0754999999999999</v>
          </cell>
        </row>
        <row r="1754">
          <cell r="K1754">
            <v>89.87</v>
          </cell>
          <cell r="Q1754">
            <v>1.0644</v>
          </cell>
        </row>
        <row r="1755">
          <cell r="K1755">
            <v>89.82</v>
          </cell>
          <cell r="Q1755">
            <v>1.0638000000000001</v>
          </cell>
        </row>
        <row r="1756">
          <cell r="K1756">
            <v>88.64</v>
          </cell>
          <cell r="Q1756">
            <v>1.0498000000000001</v>
          </cell>
        </row>
        <row r="1757">
          <cell r="K1757">
            <v>88.93</v>
          </cell>
          <cell r="Q1757">
            <v>1.0532999999999999</v>
          </cell>
        </row>
        <row r="1758">
          <cell r="K1758">
            <v>89.14</v>
          </cell>
          <cell r="Q1758">
            <v>1.0558000000000001</v>
          </cell>
        </row>
        <row r="1759">
          <cell r="K1759">
            <v>89.71</v>
          </cell>
          <cell r="Q1759">
            <v>1.0625</v>
          </cell>
        </row>
        <row r="1760">
          <cell r="K1760">
            <v>90.51</v>
          </cell>
          <cell r="Q1760">
            <v>1.0720000000000001</v>
          </cell>
        </row>
        <row r="1761">
          <cell r="K1761">
            <v>89.89</v>
          </cell>
          <cell r="Q1761">
            <v>1.0646</v>
          </cell>
        </row>
        <row r="1762">
          <cell r="K1762">
            <v>90.56</v>
          </cell>
          <cell r="Q1762">
            <v>1.0726</v>
          </cell>
        </row>
        <row r="1763">
          <cell r="K1763">
            <v>92.41</v>
          </cell>
          <cell r="Q1763">
            <v>1.0945</v>
          </cell>
        </row>
        <row r="1764">
          <cell r="K1764">
            <v>92.01</v>
          </cell>
          <cell r="Q1764">
            <v>1.0896999999999999</v>
          </cell>
        </row>
        <row r="1765">
          <cell r="K1765">
            <v>91.44</v>
          </cell>
          <cell r="Q1765">
            <v>1.083</v>
          </cell>
        </row>
        <row r="1766">
          <cell r="K1766">
            <v>90.6</v>
          </cell>
          <cell r="Q1766">
            <v>1.073</v>
          </cell>
        </row>
        <row r="1767">
          <cell r="K1767">
            <v>89.64</v>
          </cell>
          <cell r="Q1767">
            <v>1.0617000000000001</v>
          </cell>
        </row>
        <row r="1768">
          <cell r="K1768">
            <v>88.48</v>
          </cell>
          <cell r="Q1768">
            <v>1.0479000000000001</v>
          </cell>
        </row>
        <row r="1769">
          <cell r="K1769">
            <v>86.17</v>
          </cell>
          <cell r="Q1769">
            <v>1.0206</v>
          </cell>
        </row>
        <row r="1770">
          <cell r="K1770">
            <v>91.29</v>
          </cell>
          <cell r="Q1770">
            <v>1.0811999999999999</v>
          </cell>
        </row>
        <row r="1771">
          <cell r="K1771">
            <v>92.47</v>
          </cell>
          <cell r="Q1771">
            <v>1.0952</v>
          </cell>
        </row>
        <row r="1772">
          <cell r="K1772">
            <v>90.62</v>
          </cell>
          <cell r="Q1772">
            <v>1.0732999999999999</v>
          </cell>
        </row>
        <row r="1773">
          <cell r="K1773">
            <v>93.2</v>
          </cell>
          <cell r="Q1773">
            <v>1.1037999999999999</v>
          </cell>
        </row>
        <row r="1774">
          <cell r="K1774">
            <v>93.91</v>
          </cell>
          <cell r="Q1774">
            <v>1.1122000000000001</v>
          </cell>
        </row>
        <row r="1775">
          <cell r="K1775">
            <v>92.42</v>
          </cell>
          <cell r="Q1775">
            <v>1.0946</v>
          </cell>
        </row>
        <row r="1776">
          <cell r="K1776">
            <v>92.5</v>
          </cell>
          <cell r="Q1776">
            <v>1.0954999999999999</v>
          </cell>
        </row>
        <row r="1777">
          <cell r="K1777">
            <v>91.96</v>
          </cell>
          <cell r="Q1777">
            <v>1.0891999999999999</v>
          </cell>
        </row>
        <row r="1778">
          <cell r="K1778">
            <v>93.83</v>
          </cell>
          <cell r="Q1778">
            <v>1.1113</v>
          </cell>
        </row>
        <row r="1779">
          <cell r="K1779">
            <v>94.87</v>
          </cell>
          <cell r="Q1779">
            <v>1.1235999999999999</v>
          </cell>
        </row>
        <row r="1780">
          <cell r="K1780">
            <v>94.5</v>
          </cell>
          <cell r="Q1780">
            <v>1.1192</v>
          </cell>
        </row>
        <row r="1781">
          <cell r="K1781">
            <v>94.96</v>
          </cell>
          <cell r="Q1781">
            <v>1.1247</v>
          </cell>
        </row>
        <row r="1782">
          <cell r="K1782">
            <v>96.17</v>
          </cell>
          <cell r="Q1782">
            <v>1.139</v>
          </cell>
        </row>
        <row r="1783">
          <cell r="K1783">
            <v>96.11</v>
          </cell>
          <cell r="Q1783">
            <v>1.1383000000000001</v>
          </cell>
        </row>
        <row r="1784">
          <cell r="K1784">
            <v>96.55</v>
          </cell>
          <cell r="Q1784">
            <v>1.1435</v>
          </cell>
        </row>
        <row r="1785">
          <cell r="K1785">
            <v>96.56</v>
          </cell>
          <cell r="Q1785">
            <v>1.1435999999999999</v>
          </cell>
        </row>
        <row r="1786">
          <cell r="K1786">
            <v>96.21</v>
          </cell>
          <cell r="Q1786">
            <v>1.1395</v>
          </cell>
        </row>
        <row r="1787">
          <cell r="K1787">
            <v>96.92</v>
          </cell>
          <cell r="Q1787">
            <v>1.1478999999999999</v>
          </cell>
        </row>
        <row r="1788">
          <cell r="K1788">
            <v>97.5</v>
          </cell>
          <cell r="Q1788">
            <v>1.1548</v>
          </cell>
        </row>
        <row r="1789">
          <cell r="K1789">
            <v>97.32</v>
          </cell>
          <cell r="Q1789">
            <v>1.1526000000000001</v>
          </cell>
        </row>
        <row r="1790">
          <cell r="K1790">
            <v>96.41</v>
          </cell>
          <cell r="Q1790">
            <v>1.1418999999999999</v>
          </cell>
        </row>
        <row r="1791">
          <cell r="K1791">
            <v>97.2</v>
          </cell>
          <cell r="Q1791">
            <v>1.1512</v>
          </cell>
        </row>
        <row r="1792">
          <cell r="K1792">
            <v>96.7</v>
          </cell>
          <cell r="Q1792">
            <v>1.1453</v>
          </cell>
        </row>
        <row r="1793">
          <cell r="K1793">
            <v>96.97</v>
          </cell>
          <cell r="Q1793">
            <v>1.1485000000000001</v>
          </cell>
        </row>
        <row r="1794">
          <cell r="K1794">
            <v>96.31</v>
          </cell>
          <cell r="Q1794">
            <v>1.1407</v>
          </cell>
        </row>
        <row r="1795">
          <cell r="K1795">
            <v>97.02</v>
          </cell>
          <cell r="Q1795">
            <v>1.1491</v>
          </cell>
        </row>
        <row r="1796">
          <cell r="K1796">
            <v>96.37</v>
          </cell>
          <cell r="Q1796">
            <v>1.1414</v>
          </cell>
        </row>
        <row r="1797">
          <cell r="K1797">
            <v>97.6</v>
          </cell>
          <cell r="Q1797">
            <v>1.1558999999999999</v>
          </cell>
        </row>
        <row r="1798">
          <cell r="K1798">
            <v>97.05</v>
          </cell>
          <cell r="Q1798">
            <v>1.1494</v>
          </cell>
        </row>
        <row r="1799">
          <cell r="K1799">
            <v>96.75</v>
          </cell>
          <cell r="Q1799">
            <v>1.1458999999999999</v>
          </cell>
        </row>
        <row r="1800">
          <cell r="K1800">
            <v>96.84</v>
          </cell>
          <cell r="Q1800">
            <v>1.1469</v>
          </cell>
        </row>
        <row r="1801">
          <cell r="K1801">
            <v>96.82</v>
          </cell>
          <cell r="Q1801">
            <v>1.1467000000000001</v>
          </cell>
        </row>
        <row r="1802">
          <cell r="K1802">
            <v>95.61</v>
          </cell>
          <cell r="Q1802">
            <v>1.1324000000000001</v>
          </cell>
        </row>
        <row r="1803">
          <cell r="K1803">
            <v>95.39</v>
          </cell>
          <cell r="Q1803">
            <v>1.1297999999999999</v>
          </cell>
        </row>
        <row r="1804">
          <cell r="K1804">
            <v>95.67</v>
          </cell>
          <cell r="Q1804">
            <v>1.1331</v>
          </cell>
        </row>
        <row r="1805">
          <cell r="K1805">
            <v>96.41</v>
          </cell>
          <cell r="Q1805">
            <v>1.1418999999999999</v>
          </cell>
        </row>
        <row r="1806">
          <cell r="K1806">
            <v>96.04</v>
          </cell>
          <cell r="Q1806">
            <v>1.1375</v>
          </cell>
        </row>
        <row r="1807">
          <cell r="K1807">
            <v>96.21</v>
          </cell>
          <cell r="Q1807">
            <v>1.1395</v>
          </cell>
        </row>
        <row r="1808">
          <cell r="K1808">
            <v>97.39</v>
          </cell>
          <cell r="Q1808">
            <v>1.1535</v>
          </cell>
        </row>
        <row r="1809">
          <cell r="K1809">
            <v>96.85</v>
          </cell>
          <cell r="Q1809">
            <v>1.1471</v>
          </cell>
        </row>
        <row r="1810">
          <cell r="K1810">
            <v>98.59</v>
          </cell>
          <cell r="Q1810">
            <v>1.1677</v>
          </cell>
        </row>
        <row r="1811">
          <cell r="K1811">
            <v>97.8</v>
          </cell>
          <cell r="Q1811">
            <v>1.1583000000000001</v>
          </cell>
        </row>
        <row r="1812">
          <cell r="K1812">
            <v>98.45</v>
          </cell>
          <cell r="Q1812">
            <v>1.1659999999999999</v>
          </cell>
        </row>
        <row r="1813">
          <cell r="K1813">
            <v>99.39</v>
          </cell>
          <cell r="Q1813">
            <v>1.1771</v>
          </cell>
        </row>
        <row r="1814">
          <cell r="K1814">
            <v>99.37</v>
          </cell>
          <cell r="Q1814">
            <v>1.1617999999999999</v>
          </cell>
        </row>
        <row r="1815">
          <cell r="K1815">
            <v>99.81</v>
          </cell>
          <cell r="Q1815">
            <v>1.167</v>
          </cell>
        </row>
        <row r="1816">
          <cell r="K1816">
            <v>102.63</v>
          </cell>
          <cell r="Q1816">
            <v>1.2</v>
          </cell>
        </row>
        <row r="1817">
          <cell r="K1817">
            <v>102.55</v>
          </cell>
          <cell r="Q1817">
            <v>1.1990000000000001</v>
          </cell>
        </row>
        <row r="1818">
          <cell r="K1818">
            <v>102.17</v>
          </cell>
          <cell r="Q1818">
            <v>1.1946000000000001</v>
          </cell>
        </row>
        <row r="1819">
          <cell r="K1819">
            <v>101.11</v>
          </cell>
          <cell r="Q1819">
            <v>1.1821999999999999</v>
          </cell>
        </row>
        <row r="1820">
          <cell r="K1820">
            <v>102.39</v>
          </cell>
          <cell r="Q1820">
            <v>1.1972</v>
          </cell>
        </row>
        <row r="1821">
          <cell r="K1821">
            <v>102.99</v>
          </cell>
          <cell r="Q1821">
            <v>1.2041999999999999</v>
          </cell>
        </row>
        <row r="1822">
          <cell r="K1822">
            <v>102.26</v>
          </cell>
          <cell r="Q1822">
            <v>1.1956</v>
          </cell>
        </row>
        <row r="1823">
          <cell r="K1823">
            <v>101.45</v>
          </cell>
          <cell r="Q1823">
            <v>1.1861999999999999</v>
          </cell>
        </row>
        <row r="1824">
          <cell r="K1824">
            <v>102.78</v>
          </cell>
          <cell r="Q1824">
            <v>1.2017</v>
          </cell>
        </row>
        <row r="1825">
          <cell r="K1825">
            <v>102.5</v>
          </cell>
          <cell r="Q1825">
            <v>1.1983999999999999</v>
          </cell>
        </row>
        <row r="1826">
          <cell r="K1826">
            <v>102.93</v>
          </cell>
          <cell r="Q1826">
            <v>1.2035</v>
          </cell>
        </row>
        <row r="1827">
          <cell r="K1827">
            <v>102.83</v>
          </cell>
          <cell r="Q1827">
            <v>1.2022999999999999</v>
          </cell>
        </row>
        <row r="1828">
          <cell r="K1828">
            <v>102.64</v>
          </cell>
          <cell r="Q1828">
            <v>1.2000999999999999</v>
          </cell>
        </row>
        <row r="1829">
          <cell r="K1829">
            <v>103.69</v>
          </cell>
          <cell r="Q1829">
            <v>1.2123999999999999</v>
          </cell>
        </row>
        <row r="1830">
          <cell r="K1830">
            <v>103.38</v>
          </cell>
          <cell r="Q1830">
            <v>1.2087000000000001</v>
          </cell>
        </row>
        <row r="1831">
          <cell r="K1831">
            <v>105.28</v>
          </cell>
          <cell r="Q1831">
            <v>1.2309000000000001</v>
          </cell>
        </row>
        <row r="1832">
          <cell r="K1832">
            <v>104.69</v>
          </cell>
          <cell r="Q1832">
            <v>1.224</v>
          </cell>
        </row>
        <row r="1833">
          <cell r="K1833">
            <v>104.26</v>
          </cell>
          <cell r="Q1833">
            <v>1.2190000000000001</v>
          </cell>
        </row>
        <row r="1834">
          <cell r="K1834">
            <v>105.3</v>
          </cell>
          <cell r="Q1834">
            <v>1.2312000000000001</v>
          </cell>
        </row>
        <row r="1835">
          <cell r="K1835">
            <v>105.4</v>
          </cell>
          <cell r="Q1835">
            <v>1.2323999999999999</v>
          </cell>
        </row>
        <row r="1836">
          <cell r="K1836">
            <v>105.07</v>
          </cell>
          <cell r="Q1836">
            <v>1.2284999999999999</v>
          </cell>
        </row>
        <row r="1837">
          <cell r="K1837">
            <v>105.01</v>
          </cell>
          <cell r="Q1837">
            <v>1.2278</v>
          </cell>
        </row>
        <row r="1838">
          <cell r="K1838">
            <v>104.52</v>
          </cell>
          <cell r="Q1838">
            <v>1.2221</v>
          </cell>
        </row>
        <row r="1839">
          <cell r="K1839">
            <v>103.87</v>
          </cell>
          <cell r="Q1839">
            <v>1.2144999999999999</v>
          </cell>
        </row>
        <row r="1840">
          <cell r="K1840">
            <v>104.62</v>
          </cell>
          <cell r="Q1840">
            <v>1.2232000000000001</v>
          </cell>
        </row>
        <row r="1841">
          <cell r="K1841">
            <v>104.94</v>
          </cell>
          <cell r="Q1841">
            <v>1.2270000000000001</v>
          </cell>
        </row>
        <row r="1842">
          <cell r="K1842">
            <v>105.06</v>
          </cell>
          <cell r="Q1842">
            <v>1.2283999999999999</v>
          </cell>
        </row>
        <row r="1843">
          <cell r="K1843">
            <v>106.2</v>
          </cell>
          <cell r="Q1843">
            <v>1.2417</v>
          </cell>
        </row>
        <row r="1844">
          <cell r="K1844">
            <v>107.15</v>
          </cell>
          <cell r="Q1844">
            <v>1.2527999999999999</v>
          </cell>
        </row>
        <row r="1845">
          <cell r="K1845">
            <v>106.53</v>
          </cell>
          <cell r="Q1845">
            <v>1.2456</v>
          </cell>
        </row>
        <row r="1846">
          <cell r="K1846">
            <v>104.99</v>
          </cell>
          <cell r="Q1846">
            <v>1.2276</v>
          </cell>
        </row>
        <row r="1847">
          <cell r="K1847">
            <v>106.03</v>
          </cell>
          <cell r="Q1847">
            <v>1.2397</v>
          </cell>
        </row>
        <row r="1848">
          <cell r="K1848">
            <v>105.39</v>
          </cell>
          <cell r="Q1848">
            <v>1.2322</v>
          </cell>
        </row>
        <row r="1849">
          <cell r="K1849">
            <v>101.56</v>
          </cell>
          <cell r="Q1849">
            <v>1.1875</v>
          </cell>
        </row>
        <row r="1850">
          <cell r="K1850">
            <v>102.88</v>
          </cell>
          <cell r="Q1850">
            <v>1.2029000000000001</v>
          </cell>
        </row>
        <row r="1851">
          <cell r="K1851">
            <v>103.08</v>
          </cell>
          <cell r="Q1851">
            <v>1.2052</v>
          </cell>
        </row>
        <row r="1852">
          <cell r="K1852">
            <v>104.03</v>
          </cell>
          <cell r="Q1852">
            <v>1.2162999999999999</v>
          </cell>
        </row>
        <row r="1853">
          <cell r="K1853">
            <v>103.68</v>
          </cell>
          <cell r="Q1853">
            <v>1.2121999999999999</v>
          </cell>
        </row>
        <row r="1854">
          <cell r="K1854">
            <v>102.91</v>
          </cell>
          <cell r="Q1854">
            <v>1.2032</v>
          </cell>
        </row>
        <row r="1855">
          <cell r="K1855">
            <v>103.6</v>
          </cell>
          <cell r="Q1855">
            <v>1.2113</v>
          </cell>
        </row>
        <row r="1856">
          <cell r="K1856">
            <v>102.23</v>
          </cell>
          <cell r="Q1856">
            <v>1.1953</v>
          </cell>
        </row>
        <row r="1857">
          <cell r="K1857">
            <v>103.76</v>
          </cell>
          <cell r="Q1857">
            <v>1.2132000000000001</v>
          </cell>
        </row>
        <row r="1858">
          <cell r="K1858">
            <v>104.49</v>
          </cell>
          <cell r="Q1858">
            <v>1.2217</v>
          </cell>
        </row>
        <row r="1859">
          <cell r="K1859">
            <v>104.31</v>
          </cell>
          <cell r="Q1859">
            <v>1.2196</v>
          </cell>
        </row>
        <row r="1860">
          <cell r="K1860">
            <v>106.96</v>
          </cell>
          <cell r="Q1860">
            <v>1.2505999999999999</v>
          </cell>
        </row>
        <row r="1861">
          <cell r="K1861">
            <v>108.18</v>
          </cell>
          <cell r="Q1861">
            <v>1.2648999999999999</v>
          </cell>
        </row>
        <row r="1862">
          <cell r="K1862">
            <v>108.75</v>
          </cell>
          <cell r="Q1862">
            <v>1.2715000000000001</v>
          </cell>
        </row>
        <row r="1863">
          <cell r="K1863">
            <v>109.31</v>
          </cell>
          <cell r="Q1863">
            <v>1.2781</v>
          </cell>
        </row>
        <row r="1864">
          <cell r="K1864">
            <v>108.69</v>
          </cell>
          <cell r="Q1864">
            <v>1.2707999999999999</v>
          </cell>
        </row>
        <row r="1865">
          <cell r="K1865">
            <v>106.65</v>
          </cell>
          <cell r="Q1865">
            <v>1.2470000000000001</v>
          </cell>
        </row>
        <row r="1866">
          <cell r="K1866">
            <v>106.77</v>
          </cell>
          <cell r="Q1866">
            <v>1.2484</v>
          </cell>
        </row>
        <row r="1867">
          <cell r="K1867">
            <v>106.81</v>
          </cell>
          <cell r="Q1867">
            <v>1.2487999999999999</v>
          </cell>
        </row>
        <row r="1868">
          <cell r="K1868">
            <v>106.67</v>
          </cell>
          <cell r="Q1868">
            <v>1.2472000000000001</v>
          </cell>
        </row>
        <row r="1869">
          <cell r="K1869">
            <v>107.48</v>
          </cell>
          <cell r="Q1869">
            <v>1.2566999999999999</v>
          </cell>
        </row>
        <row r="1870">
          <cell r="K1870">
            <v>107.25</v>
          </cell>
          <cell r="Q1870">
            <v>1.254</v>
          </cell>
        </row>
        <row r="1871">
          <cell r="K1871">
            <v>109.38</v>
          </cell>
          <cell r="Q1871">
            <v>1.2788999999999999</v>
          </cell>
        </row>
        <row r="1872">
          <cell r="K1872">
            <v>108.78</v>
          </cell>
          <cell r="Q1872">
            <v>1.2719</v>
          </cell>
        </row>
        <row r="1873">
          <cell r="K1873">
            <v>107.81</v>
          </cell>
          <cell r="Q1873">
            <v>1.2605</v>
          </cell>
        </row>
        <row r="1874">
          <cell r="K1874">
            <v>108.44</v>
          </cell>
          <cell r="Q1874">
            <v>1.2679</v>
          </cell>
        </row>
        <row r="1875">
          <cell r="K1875">
            <v>108.52</v>
          </cell>
          <cell r="Q1875">
            <v>1.2687999999999999</v>
          </cell>
        </row>
        <row r="1876">
          <cell r="K1876">
            <v>108.78</v>
          </cell>
          <cell r="Q1876">
            <v>1.2719</v>
          </cell>
        </row>
        <row r="1877">
          <cell r="K1877">
            <v>108.67</v>
          </cell>
          <cell r="Q1877">
            <v>1.2694000000000001</v>
          </cell>
        </row>
        <row r="1878">
          <cell r="K1878">
            <v>109.17</v>
          </cell>
          <cell r="Q1878">
            <v>1.2753000000000001</v>
          </cell>
        </row>
        <row r="1879">
          <cell r="K1879">
            <v>109.56</v>
          </cell>
          <cell r="Q1879">
            <v>1.2798</v>
          </cell>
        </row>
        <row r="1880">
          <cell r="K1880">
            <v>111.08</v>
          </cell>
          <cell r="Q1880">
            <v>1.2976000000000001</v>
          </cell>
        </row>
        <row r="1881">
          <cell r="K1881">
            <v>110.16</v>
          </cell>
          <cell r="Q1881">
            <v>1.2867999999999999</v>
          </cell>
        </row>
        <row r="1882">
          <cell r="K1882">
            <v>109.46</v>
          </cell>
          <cell r="Q1882">
            <v>1.2786</v>
          </cell>
        </row>
        <row r="1883">
          <cell r="K1883">
            <v>110.14</v>
          </cell>
          <cell r="Q1883">
            <v>1.2866</v>
          </cell>
        </row>
        <row r="1884">
          <cell r="K1884">
            <v>109.36</v>
          </cell>
          <cell r="Q1884">
            <v>1.2775000000000001</v>
          </cell>
        </row>
        <row r="1885">
          <cell r="K1885">
            <v>109.96</v>
          </cell>
          <cell r="Q1885">
            <v>1.2845</v>
          </cell>
        </row>
        <row r="1886">
          <cell r="K1886">
            <v>110.09</v>
          </cell>
          <cell r="Q1886">
            <v>1.286</v>
          </cell>
        </row>
        <row r="1887">
          <cell r="K1887">
            <v>109.85</v>
          </cell>
          <cell r="Q1887">
            <v>1.2831999999999999</v>
          </cell>
        </row>
        <row r="1888">
          <cell r="K1888">
            <v>111.4</v>
          </cell>
          <cell r="Q1888">
            <v>1.3012999999999999</v>
          </cell>
        </row>
        <row r="1889">
          <cell r="K1889">
            <v>109.07</v>
          </cell>
          <cell r="Q1889">
            <v>1.2741</v>
          </cell>
        </row>
        <row r="1890">
          <cell r="K1890">
            <v>110.17</v>
          </cell>
          <cell r="Q1890">
            <v>1.2868999999999999</v>
          </cell>
        </row>
        <row r="1891">
          <cell r="K1891">
            <v>110.23</v>
          </cell>
          <cell r="Q1891">
            <v>1.2876000000000001</v>
          </cell>
        </row>
        <row r="1892">
          <cell r="K1892">
            <v>110.06</v>
          </cell>
          <cell r="Q1892">
            <v>1.2857000000000001</v>
          </cell>
        </row>
        <row r="1893">
          <cell r="K1893">
            <v>108.38</v>
          </cell>
          <cell r="Q1893">
            <v>1.266</v>
          </cell>
        </row>
        <row r="1894">
          <cell r="K1894">
            <v>105.04</v>
          </cell>
          <cell r="Q1894">
            <v>1.2270000000000001</v>
          </cell>
        </row>
        <row r="1895">
          <cell r="K1895">
            <v>104.85</v>
          </cell>
          <cell r="Q1895">
            <v>1.2248000000000001</v>
          </cell>
        </row>
        <row r="1896">
          <cell r="K1896">
            <v>104.15</v>
          </cell>
          <cell r="Q1896">
            <v>1.2165999999999999</v>
          </cell>
        </row>
        <row r="1897">
          <cell r="K1897">
            <v>104.69</v>
          </cell>
          <cell r="Q1897">
            <v>1.2229000000000001</v>
          </cell>
        </row>
        <row r="1898">
          <cell r="K1898">
            <v>103.38</v>
          </cell>
          <cell r="Q1898">
            <v>1.2076</v>
          </cell>
        </row>
        <row r="1899">
          <cell r="K1899">
            <v>100.75</v>
          </cell>
          <cell r="Q1899">
            <v>1.1769000000000001</v>
          </cell>
        </row>
        <row r="1900">
          <cell r="K1900">
            <v>100.52</v>
          </cell>
          <cell r="Q1900">
            <v>1.1741999999999999</v>
          </cell>
        </row>
        <row r="1901">
          <cell r="K1901">
            <v>101.81</v>
          </cell>
          <cell r="Q1901">
            <v>1.1893</v>
          </cell>
        </row>
        <row r="1902">
          <cell r="K1902">
            <v>101.5</v>
          </cell>
          <cell r="Q1902">
            <v>1.1857</v>
          </cell>
        </row>
        <row r="1903">
          <cell r="K1903">
            <v>101.49</v>
          </cell>
          <cell r="Q1903">
            <v>1.1855</v>
          </cell>
        </row>
        <row r="1904">
          <cell r="K1904">
            <v>101.94</v>
          </cell>
          <cell r="Q1904">
            <v>1.1908000000000001</v>
          </cell>
        </row>
        <row r="1905">
          <cell r="K1905">
            <v>103.28</v>
          </cell>
          <cell r="Q1905">
            <v>1.2064999999999999</v>
          </cell>
        </row>
        <row r="1906">
          <cell r="K1906">
            <v>104.5</v>
          </cell>
          <cell r="Q1906">
            <v>1.2206999999999999</v>
          </cell>
        </row>
        <row r="1907">
          <cell r="K1907">
            <v>104.33</v>
          </cell>
          <cell r="Q1907">
            <v>1.2186999999999999</v>
          </cell>
        </row>
        <row r="1908">
          <cell r="K1908">
            <v>105.16</v>
          </cell>
          <cell r="Q1908">
            <v>1.2283999999999999</v>
          </cell>
        </row>
        <row r="1909">
          <cell r="K1909">
            <v>105.66</v>
          </cell>
          <cell r="Q1909">
            <v>1.2343</v>
          </cell>
        </row>
        <row r="1910">
          <cell r="K1910">
            <v>105.74</v>
          </cell>
          <cell r="Q1910">
            <v>1.2352000000000001</v>
          </cell>
        </row>
        <row r="1911">
          <cell r="K1911">
            <v>106.98</v>
          </cell>
          <cell r="Q1911">
            <v>1.2497</v>
          </cell>
        </row>
        <row r="1912">
          <cell r="K1912">
            <v>107.3</v>
          </cell>
          <cell r="Q1912">
            <v>1.2534000000000001</v>
          </cell>
        </row>
        <row r="1913">
          <cell r="K1913">
            <v>107.7</v>
          </cell>
          <cell r="Q1913">
            <v>1.2581</v>
          </cell>
        </row>
        <row r="1914">
          <cell r="K1914">
            <v>107.97</v>
          </cell>
          <cell r="Q1914">
            <v>1.2612000000000001</v>
          </cell>
        </row>
        <row r="1915">
          <cell r="K1915">
            <v>107.31</v>
          </cell>
          <cell r="Q1915">
            <v>1.2535000000000001</v>
          </cell>
        </row>
        <row r="1916">
          <cell r="K1916">
            <v>107.97</v>
          </cell>
          <cell r="Q1916">
            <v>1.2612000000000001</v>
          </cell>
        </row>
        <row r="1917">
          <cell r="K1917">
            <v>108.06</v>
          </cell>
          <cell r="Q1917">
            <v>1.2623</v>
          </cell>
        </row>
        <row r="1918">
          <cell r="K1918">
            <v>108.55</v>
          </cell>
          <cell r="Q1918">
            <v>1.268</v>
          </cell>
        </row>
        <row r="1919">
          <cell r="K1919">
            <v>108.65</v>
          </cell>
          <cell r="Q1919">
            <v>1.2692000000000001</v>
          </cell>
        </row>
        <row r="1920">
          <cell r="K1920">
            <v>109.07</v>
          </cell>
          <cell r="Q1920">
            <v>1.2741</v>
          </cell>
        </row>
        <row r="1921">
          <cell r="K1921">
            <v>108.92</v>
          </cell>
          <cell r="Q1921">
            <v>1.2723</v>
          </cell>
        </row>
        <row r="1922">
          <cell r="K1922">
            <v>108.46</v>
          </cell>
          <cell r="Q1922">
            <v>1.2669999999999999</v>
          </cell>
        </row>
        <row r="1923">
          <cell r="K1923">
            <v>108.82</v>
          </cell>
          <cell r="Q1923">
            <v>1.2712000000000001</v>
          </cell>
        </row>
        <row r="1924">
          <cell r="K1924">
            <v>108.54</v>
          </cell>
          <cell r="Q1924">
            <v>1.2679</v>
          </cell>
        </row>
        <row r="1925">
          <cell r="K1925">
            <v>107.91</v>
          </cell>
          <cell r="Q1925">
            <v>1.2605</v>
          </cell>
        </row>
        <row r="1926">
          <cell r="K1926">
            <v>107.4</v>
          </cell>
          <cell r="Q1926">
            <v>1.2545999999999999</v>
          </cell>
        </row>
        <row r="1927">
          <cell r="K1927">
            <v>105.93</v>
          </cell>
          <cell r="Q1927">
            <v>1.2374000000000001</v>
          </cell>
        </row>
        <row r="1928">
          <cell r="K1928">
            <v>105.59</v>
          </cell>
          <cell r="Q1928">
            <v>1.2334000000000001</v>
          </cell>
        </row>
        <row r="1929">
          <cell r="K1929">
            <v>105.02</v>
          </cell>
          <cell r="Q1929">
            <v>1.2267999999999999</v>
          </cell>
        </row>
        <row r="1930">
          <cell r="K1930">
            <v>104.86</v>
          </cell>
          <cell r="Q1930">
            <v>1.2249000000000001</v>
          </cell>
        </row>
        <row r="1931">
          <cell r="K1931">
            <v>104.86</v>
          </cell>
          <cell r="Q1931">
            <v>1.2249000000000001</v>
          </cell>
        </row>
        <row r="1932">
          <cell r="K1932">
            <v>103.99</v>
          </cell>
          <cell r="Q1932">
            <v>1.2146999999999999</v>
          </cell>
        </row>
        <row r="1933">
          <cell r="K1933">
            <v>104.34</v>
          </cell>
          <cell r="Q1933">
            <v>1.2188000000000001</v>
          </cell>
        </row>
        <row r="1934">
          <cell r="K1934">
            <v>102.51</v>
          </cell>
          <cell r="Q1934">
            <v>1.1975</v>
          </cell>
        </row>
        <row r="1935">
          <cell r="K1935">
            <v>100.9</v>
          </cell>
          <cell r="Q1935">
            <v>1.1787000000000001</v>
          </cell>
        </row>
        <row r="1936">
          <cell r="K1936">
            <v>99.99</v>
          </cell>
          <cell r="Q1936">
            <v>1.1679999999999999</v>
          </cell>
        </row>
        <row r="1937">
          <cell r="K1937">
            <v>101.2</v>
          </cell>
          <cell r="Q1937">
            <v>1.1821999999999999</v>
          </cell>
        </row>
        <row r="1938">
          <cell r="K1938">
            <v>99.51</v>
          </cell>
          <cell r="Q1938">
            <v>1.1624000000000001</v>
          </cell>
        </row>
        <row r="1939">
          <cell r="K1939">
            <v>100.38</v>
          </cell>
          <cell r="Q1939">
            <v>1.1726000000000001</v>
          </cell>
        </row>
        <row r="1940">
          <cell r="K1940">
            <v>99.83</v>
          </cell>
          <cell r="Q1940">
            <v>1.1661999999999999</v>
          </cell>
        </row>
        <row r="1941">
          <cell r="K1941">
            <v>99.03</v>
          </cell>
          <cell r="Q1941">
            <v>1.1412</v>
          </cell>
        </row>
        <row r="1942">
          <cell r="K1942">
            <v>97.61</v>
          </cell>
          <cell r="Q1942">
            <v>1.1248</v>
          </cell>
        </row>
        <row r="1943">
          <cell r="K1943">
            <v>97.41</v>
          </cell>
          <cell r="Q1943">
            <v>1.1225000000000001</v>
          </cell>
        </row>
        <row r="1944">
          <cell r="K1944">
            <v>97.39</v>
          </cell>
          <cell r="Q1944">
            <v>1.1223000000000001</v>
          </cell>
        </row>
        <row r="1945">
          <cell r="K1945">
            <v>98</v>
          </cell>
          <cell r="Q1945">
            <v>1.1293</v>
          </cell>
        </row>
        <row r="1946">
          <cell r="K1946">
            <v>94.7</v>
          </cell>
          <cell r="Q1946">
            <v>1.0912999999999999</v>
          </cell>
        </row>
        <row r="1947">
          <cell r="K1947">
            <v>96.65</v>
          </cell>
          <cell r="Q1947">
            <v>1.1136999999999999</v>
          </cell>
        </row>
        <row r="1948">
          <cell r="K1948">
            <v>93.5</v>
          </cell>
          <cell r="Q1948">
            <v>1.0773999999999999</v>
          </cell>
        </row>
        <row r="1949">
          <cell r="K1949">
            <v>93.13</v>
          </cell>
          <cell r="Q1949">
            <v>1.0731999999999999</v>
          </cell>
        </row>
        <row r="1950">
          <cell r="K1950">
            <v>91.68</v>
          </cell>
          <cell r="Q1950">
            <v>1.0565</v>
          </cell>
        </row>
        <row r="1951">
          <cell r="K1951">
            <v>92.8</v>
          </cell>
          <cell r="Q1951">
            <v>1.0693999999999999</v>
          </cell>
        </row>
        <row r="1952">
          <cell r="K1952">
            <v>92.59</v>
          </cell>
          <cell r="Q1952">
            <v>1.0669</v>
          </cell>
        </row>
        <row r="1953">
          <cell r="K1953">
            <v>93.24</v>
          </cell>
          <cell r="Q1953">
            <v>1.0744</v>
          </cell>
        </row>
        <row r="1954">
          <cell r="K1954">
            <v>95.05</v>
          </cell>
          <cell r="Q1954">
            <v>1.0952999999999999</v>
          </cell>
        </row>
        <row r="1955">
          <cell r="K1955">
            <v>94.03</v>
          </cell>
          <cell r="Q1955">
            <v>1.0834999999999999</v>
          </cell>
        </row>
        <row r="1956">
          <cell r="K1956">
            <v>95.89</v>
          </cell>
          <cell r="Q1956">
            <v>1.105</v>
          </cell>
        </row>
        <row r="1957">
          <cell r="K1957">
            <v>94.57</v>
          </cell>
          <cell r="Q1957">
            <v>1.0898000000000001</v>
          </cell>
        </row>
        <row r="1958">
          <cell r="K1958">
            <v>99.27</v>
          </cell>
          <cell r="Q1958">
            <v>1.1438999999999999</v>
          </cell>
        </row>
        <row r="1959">
          <cell r="K1959">
            <v>99.44</v>
          </cell>
          <cell r="Q1959">
            <v>1.1458999999999999</v>
          </cell>
        </row>
        <row r="1960">
          <cell r="K1960">
            <v>98.54</v>
          </cell>
          <cell r="Q1960">
            <v>1.1355</v>
          </cell>
        </row>
        <row r="1961">
          <cell r="K1961">
            <v>101.16</v>
          </cell>
          <cell r="Q1961">
            <v>1.1657</v>
          </cell>
        </row>
        <row r="1962">
          <cell r="K1962">
            <v>100.19</v>
          </cell>
          <cell r="Q1962">
            <v>1.1545000000000001</v>
          </cell>
        </row>
        <row r="1963">
          <cell r="K1963">
            <v>100.16</v>
          </cell>
          <cell r="Q1963">
            <v>1.1541999999999999</v>
          </cell>
        </row>
        <row r="1964">
          <cell r="K1964">
            <v>101.41</v>
          </cell>
          <cell r="Q1964">
            <v>1.1686000000000001</v>
          </cell>
        </row>
        <row r="1965">
          <cell r="K1965">
            <v>100.22</v>
          </cell>
          <cell r="Q1965">
            <v>1.1549</v>
          </cell>
        </row>
        <row r="1966">
          <cell r="K1966">
            <v>98.61</v>
          </cell>
          <cell r="Q1966">
            <v>1.1363000000000001</v>
          </cell>
        </row>
        <row r="1967">
          <cell r="K1967">
            <v>99.41</v>
          </cell>
          <cell r="Q1967">
            <v>1.1455</v>
          </cell>
        </row>
        <row r="1968">
          <cell r="K1968">
            <v>100.91</v>
          </cell>
          <cell r="Q1968">
            <v>1.1628000000000001</v>
          </cell>
        </row>
        <row r="1969">
          <cell r="K1969">
            <v>101.76</v>
          </cell>
          <cell r="Q1969">
            <v>1.1726000000000001</v>
          </cell>
        </row>
        <row r="1970">
          <cell r="K1970">
            <v>102.21</v>
          </cell>
          <cell r="Q1970">
            <v>1.1778</v>
          </cell>
        </row>
        <row r="1971">
          <cell r="K1971">
            <v>102.53</v>
          </cell>
          <cell r="Q1971">
            <v>1.1815</v>
          </cell>
        </row>
        <row r="1972">
          <cell r="K1972">
            <v>102.99</v>
          </cell>
          <cell r="Q1972">
            <v>1.1868000000000001</v>
          </cell>
        </row>
        <row r="1973">
          <cell r="K1973">
            <v>101.11</v>
          </cell>
          <cell r="Q1973">
            <v>1.1651</v>
          </cell>
        </row>
        <row r="1974">
          <cell r="K1974">
            <v>101.34</v>
          </cell>
          <cell r="Q1974">
            <v>1.1677999999999999</v>
          </cell>
        </row>
        <row r="1975">
          <cell r="K1975">
            <v>101.7</v>
          </cell>
          <cell r="Q1975">
            <v>1.1718999999999999</v>
          </cell>
        </row>
        <row r="1976">
          <cell r="K1976">
            <v>102.04</v>
          </cell>
          <cell r="Q1976">
            <v>1.1758</v>
          </cell>
        </row>
        <row r="1977">
          <cell r="K1977">
            <v>101.3</v>
          </cell>
          <cell r="Q1977">
            <v>1.1673</v>
          </cell>
        </row>
        <row r="1978">
          <cell r="K1978">
            <v>102.09</v>
          </cell>
          <cell r="Q1978">
            <v>1.1763999999999999</v>
          </cell>
        </row>
        <row r="1979">
          <cell r="K1979">
            <v>106.45</v>
          </cell>
          <cell r="Q1979">
            <v>1.2266999999999999</v>
          </cell>
        </row>
        <row r="1980">
          <cell r="K1980">
            <v>105.96</v>
          </cell>
          <cell r="Q1980">
            <v>1.2210000000000001</v>
          </cell>
        </row>
        <row r="1981">
          <cell r="K1981">
            <v>106.24</v>
          </cell>
          <cell r="Q1981">
            <v>1.2242</v>
          </cell>
        </row>
        <row r="1982">
          <cell r="K1982">
            <v>105.79</v>
          </cell>
          <cell r="Q1982">
            <v>1.2191000000000001</v>
          </cell>
        </row>
        <row r="1983">
          <cell r="K1983">
            <v>100.6</v>
          </cell>
          <cell r="Q1983">
            <v>1.1592</v>
          </cell>
        </row>
        <row r="1984">
          <cell r="K1984">
            <v>99</v>
          </cell>
          <cell r="Q1984">
            <v>1.1408</v>
          </cell>
        </row>
        <row r="1985">
          <cell r="K1985">
            <v>99.51</v>
          </cell>
          <cell r="Q1985">
            <v>1.1467000000000001</v>
          </cell>
        </row>
        <row r="1986">
          <cell r="K1986">
            <v>100.18</v>
          </cell>
          <cell r="Q1986">
            <v>1.1544000000000001</v>
          </cell>
        </row>
        <row r="1987">
          <cell r="K1987">
            <v>99.67</v>
          </cell>
          <cell r="Q1987">
            <v>1.1485000000000001</v>
          </cell>
        </row>
        <row r="1988">
          <cell r="K1988">
            <v>98.78</v>
          </cell>
          <cell r="Q1988">
            <v>1.1383000000000001</v>
          </cell>
        </row>
        <row r="1989">
          <cell r="K1989">
            <v>95.25</v>
          </cell>
          <cell r="Q1989">
            <v>1.0975999999999999</v>
          </cell>
        </row>
        <row r="1990">
          <cell r="K1990">
            <v>95.45</v>
          </cell>
          <cell r="Q1990">
            <v>1.0999000000000001</v>
          </cell>
        </row>
        <row r="1991">
          <cell r="K1991">
            <v>93.02</v>
          </cell>
          <cell r="Q1991">
            <v>1.0719000000000001</v>
          </cell>
        </row>
        <row r="1992">
          <cell r="K1992">
            <v>92.69</v>
          </cell>
          <cell r="Q1992">
            <v>1.0681</v>
          </cell>
        </row>
        <row r="1993">
          <cell r="K1993">
            <v>90.5</v>
          </cell>
          <cell r="Q1993">
            <v>1.0428999999999999</v>
          </cell>
        </row>
        <row r="1994">
          <cell r="K1994">
            <v>89.75</v>
          </cell>
          <cell r="Q1994">
            <v>1.0342</v>
          </cell>
        </row>
        <row r="1995">
          <cell r="K1995">
            <v>89.34</v>
          </cell>
          <cell r="Q1995">
            <v>1.0295000000000001</v>
          </cell>
        </row>
        <row r="1996">
          <cell r="K1996">
            <v>89.75</v>
          </cell>
          <cell r="Q1996">
            <v>1.0342</v>
          </cell>
        </row>
        <row r="1997">
          <cell r="K1997">
            <v>91.69</v>
          </cell>
          <cell r="Q1997">
            <v>1.0566</v>
          </cell>
        </row>
        <row r="1998">
          <cell r="K1998">
            <v>91.71</v>
          </cell>
          <cell r="Q1998">
            <v>1.0568</v>
          </cell>
        </row>
        <row r="1999">
          <cell r="K1999">
            <v>92.32</v>
          </cell>
          <cell r="Q1999">
            <v>1.0638000000000001</v>
          </cell>
        </row>
        <row r="2000">
          <cell r="K2000">
            <v>93.5</v>
          </cell>
          <cell r="Q2000">
            <v>1.0773999999999999</v>
          </cell>
        </row>
        <row r="2001">
          <cell r="K2001">
            <v>93.72</v>
          </cell>
          <cell r="Q2001">
            <v>1.08</v>
          </cell>
        </row>
        <row r="2002">
          <cell r="K2002">
            <v>94.23</v>
          </cell>
          <cell r="Q2002">
            <v>1.0858000000000001</v>
          </cell>
        </row>
        <row r="2003">
          <cell r="K2003">
            <v>93.71</v>
          </cell>
          <cell r="Q2003">
            <v>1.0799000000000001</v>
          </cell>
        </row>
        <row r="2004">
          <cell r="K2004">
            <v>92.59</v>
          </cell>
          <cell r="Q2004">
            <v>1.0669</v>
          </cell>
        </row>
        <row r="2005">
          <cell r="K2005">
            <v>91.53</v>
          </cell>
          <cell r="Q2005">
            <v>1.0441</v>
          </cell>
        </row>
        <row r="2006">
          <cell r="K2006">
            <v>91.88</v>
          </cell>
          <cell r="Q2006">
            <v>1.0481</v>
          </cell>
        </row>
        <row r="2007">
          <cell r="K2007">
            <v>87.03</v>
          </cell>
          <cell r="Q2007">
            <v>0.99270000000000003</v>
          </cell>
        </row>
        <row r="2008">
          <cell r="K2008">
            <v>86.47</v>
          </cell>
          <cell r="Q2008">
            <v>0.98629999999999995</v>
          </cell>
        </row>
        <row r="2009">
          <cell r="K2009">
            <v>87.81</v>
          </cell>
          <cell r="Q2009">
            <v>1.0016</v>
          </cell>
        </row>
        <row r="2010">
          <cell r="K2010">
            <v>88.71</v>
          </cell>
          <cell r="Q2010">
            <v>1.0119</v>
          </cell>
        </row>
        <row r="2011">
          <cell r="K2011">
            <v>87.65</v>
          </cell>
          <cell r="Q2011">
            <v>0.99980000000000002</v>
          </cell>
        </row>
        <row r="2012">
          <cell r="K2012">
            <v>86.89</v>
          </cell>
          <cell r="Q2012">
            <v>0.99109999999999998</v>
          </cell>
        </row>
        <row r="2013">
          <cell r="K2013">
            <v>86.37</v>
          </cell>
          <cell r="Q2013">
            <v>0.98519999999999996</v>
          </cell>
        </row>
        <row r="2014">
          <cell r="K2014">
            <v>86.07</v>
          </cell>
          <cell r="Q2014">
            <v>0.98180000000000001</v>
          </cell>
        </row>
        <row r="2015">
          <cell r="K2015">
            <v>84.32</v>
          </cell>
          <cell r="Q2015">
            <v>0.96179999999999999</v>
          </cell>
        </row>
        <row r="2016">
          <cell r="K2016">
            <v>83.86</v>
          </cell>
          <cell r="Q2016">
            <v>0.95660000000000001</v>
          </cell>
        </row>
        <row r="2017">
          <cell r="K2017">
            <v>83.97</v>
          </cell>
          <cell r="Q2017">
            <v>0.95779999999999998</v>
          </cell>
        </row>
        <row r="2018">
          <cell r="K2018">
            <v>85.37</v>
          </cell>
          <cell r="Q2018">
            <v>0.9738</v>
          </cell>
        </row>
        <row r="2019">
          <cell r="K2019">
            <v>86.82</v>
          </cell>
          <cell r="Q2019">
            <v>0.99029999999999996</v>
          </cell>
        </row>
        <row r="2020">
          <cell r="K2020">
            <v>85.61</v>
          </cell>
          <cell r="Q2020">
            <v>0.97650000000000003</v>
          </cell>
        </row>
        <row r="2021">
          <cell r="K2021">
            <v>86.03</v>
          </cell>
          <cell r="Q2021">
            <v>0.98129999999999995</v>
          </cell>
        </row>
        <row r="2022">
          <cell r="K2022">
            <v>79.849999999999994</v>
          </cell>
          <cell r="Q2022">
            <v>0.91080000000000005</v>
          </cell>
        </row>
        <row r="2023">
          <cell r="K2023">
            <v>80.010000000000005</v>
          </cell>
          <cell r="Q2023">
            <v>0.91269999999999996</v>
          </cell>
        </row>
        <row r="2024">
          <cell r="K2024">
            <v>80</v>
          </cell>
          <cell r="Q2024">
            <v>0.91249999999999998</v>
          </cell>
        </row>
        <row r="2025">
          <cell r="K2025">
            <v>79.97</v>
          </cell>
          <cell r="Q2025">
            <v>0.91220000000000001</v>
          </cell>
        </row>
        <row r="2026">
          <cell r="K2026">
            <v>80.84</v>
          </cell>
          <cell r="Q2026">
            <v>0.92210000000000003</v>
          </cell>
        </row>
        <row r="2027">
          <cell r="K2027">
            <v>83.92</v>
          </cell>
          <cell r="Q2027">
            <v>0.95730000000000004</v>
          </cell>
        </row>
        <row r="2028">
          <cell r="K2028">
            <v>81.95</v>
          </cell>
          <cell r="Q2028">
            <v>0.93479999999999996</v>
          </cell>
        </row>
        <row r="2029">
          <cell r="K2029">
            <v>83.57</v>
          </cell>
          <cell r="Q2029">
            <v>0.95330000000000004</v>
          </cell>
        </row>
        <row r="2030">
          <cell r="K2030">
            <v>83.21</v>
          </cell>
          <cell r="Q2030">
            <v>0.94920000000000004</v>
          </cell>
        </row>
        <row r="2031">
          <cell r="K2031">
            <v>84.67</v>
          </cell>
          <cell r="Q2031">
            <v>0.96579999999999999</v>
          </cell>
        </row>
        <row r="2032">
          <cell r="K2032">
            <v>83.9</v>
          </cell>
          <cell r="Q2032">
            <v>0.95699999999999996</v>
          </cell>
        </row>
        <row r="2033">
          <cell r="K2033">
            <v>83.41</v>
          </cell>
          <cell r="Q2033">
            <v>0.95140000000000002</v>
          </cell>
        </row>
        <row r="2034">
          <cell r="K2034">
            <v>83.53</v>
          </cell>
          <cell r="Q2034">
            <v>0.95279999999999998</v>
          </cell>
        </row>
        <row r="2035">
          <cell r="K2035">
            <v>85.13</v>
          </cell>
          <cell r="Q2035">
            <v>0.97109999999999996</v>
          </cell>
        </row>
        <row r="2036">
          <cell r="K2036">
            <v>85.38</v>
          </cell>
          <cell r="Q2036">
            <v>0.97389999999999999</v>
          </cell>
        </row>
        <row r="2037">
          <cell r="K2037">
            <v>84.8</v>
          </cell>
          <cell r="Q2037">
            <v>0.96730000000000005</v>
          </cell>
        </row>
        <row r="2038">
          <cell r="K2038">
            <v>83.3</v>
          </cell>
          <cell r="Q2038">
            <v>0.95020000000000004</v>
          </cell>
        </row>
        <row r="2039">
          <cell r="K2039">
            <v>84.44</v>
          </cell>
          <cell r="Q2039">
            <v>0.96319999999999995</v>
          </cell>
        </row>
        <row r="2040">
          <cell r="K2040">
            <v>83.49</v>
          </cell>
          <cell r="Q2040">
            <v>0.95240000000000002</v>
          </cell>
        </row>
        <row r="2041">
          <cell r="K2041">
            <v>84.5</v>
          </cell>
          <cell r="Q2041">
            <v>0.96389999999999998</v>
          </cell>
        </row>
        <row r="2042">
          <cell r="K2042">
            <v>85.15</v>
          </cell>
          <cell r="Q2042">
            <v>0.97130000000000005</v>
          </cell>
        </row>
        <row r="2043">
          <cell r="K2043">
            <v>83.8</v>
          </cell>
          <cell r="Q2043">
            <v>0.95589999999999997</v>
          </cell>
        </row>
        <row r="2044">
          <cell r="K2044">
            <v>82.9</v>
          </cell>
          <cell r="Q2044">
            <v>0.9456</v>
          </cell>
        </row>
        <row r="2045">
          <cell r="K2045">
            <v>83</v>
          </cell>
          <cell r="Q2045">
            <v>0.94679999999999997</v>
          </cell>
        </row>
        <row r="2046">
          <cell r="K2046">
            <v>82.84</v>
          </cell>
          <cell r="Q2046">
            <v>0.94489999999999996</v>
          </cell>
        </row>
        <row r="2047">
          <cell r="K2047">
            <v>81.73</v>
          </cell>
          <cell r="Q2047">
            <v>0.93230000000000002</v>
          </cell>
        </row>
        <row r="2048">
          <cell r="K2048">
            <v>81.510000000000005</v>
          </cell>
          <cell r="Q2048">
            <v>0.92979999999999996</v>
          </cell>
        </row>
        <row r="2049">
          <cell r="K2049">
            <v>80.06</v>
          </cell>
          <cell r="Q2049">
            <v>0.91320000000000001</v>
          </cell>
        </row>
        <row r="2050">
          <cell r="K2050">
            <v>80.81</v>
          </cell>
          <cell r="Q2050">
            <v>0.92179999999999995</v>
          </cell>
        </row>
        <row r="2051">
          <cell r="K2051">
            <v>79.91</v>
          </cell>
          <cell r="Q2051">
            <v>0.91149999999999998</v>
          </cell>
        </row>
        <row r="2052">
          <cell r="K2052">
            <v>79.7</v>
          </cell>
          <cell r="Q2052">
            <v>0.90910000000000002</v>
          </cell>
        </row>
        <row r="2053">
          <cell r="K2053">
            <v>80.19</v>
          </cell>
          <cell r="Q2053">
            <v>0.91469999999999996</v>
          </cell>
        </row>
        <row r="2054">
          <cell r="K2054">
            <v>79.23</v>
          </cell>
          <cell r="Q2054">
            <v>0.90380000000000005</v>
          </cell>
        </row>
        <row r="2055">
          <cell r="K2055">
            <v>79.97</v>
          </cell>
          <cell r="Q2055">
            <v>0.91220000000000001</v>
          </cell>
        </row>
        <row r="2056">
          <cell r="K2056">
            <v>78.45</v>
          </cell>
          <cell r="Q2056">
            <v>0.89490000000000003</v>
          </cell>
        </row>
        <row r="2057">
          <cell r="K2057">
            <v>81.33</v>
          </cell>
          <cell r="Q2057">
            <v>0.92769999999999997</v>
          </cell>
        </row>
        <row r="2058">
          <cell r="K2058">
            <v>80.09</v>
          </cell>
          <cell r="Q2058">
            <v>0.91359999999999997</v>
          </cell>
        </row>
        <row r="2059">
          <cell r="K2059">
            <v>81.19</v>
          </cell>
          <cell r="Q2059">
            <v>0.92610000000000003</v>
          </cell>
        </row>
        <row r="2060">
          <cell r="K2060">
            <v>81.09</v>
          </cell>
          <cell r="Q2060">
            <v>0.92500000000000004</v>
          </cell>
        </row>
        <row r="2061">
          <cell r="K2061">
            <v>80.48</v>
          </cell>
          <cell r="Q2061">
            <v>0.91800000000000004</v>
          </cell>
        </row>
        <row r="2062">
          <cell r="K2062">
            <v>79.86</v>
          </cell>
          <cell r="Q2062">
            <v>0.91100000000000003</v>
          </cell>
        </row>
        <row r="2063">
          <cell r="K2063">
            <v>79.88</v>
          </cell>
          <cell r="Q2063">
            <v>0.91120000000000001</v>
          </cell>
        </row>
        <row r="2064">
          <cell r="K2064">
            <v>79.67</v>
          </cell>
          <cell r="Q2064">
            <v>0.90880000000000005</v>
          </cell>
        </row>
        <row r="2065">
          <cell r="K2065">
            <v>81.37</v>
          </cell>
          <cell r="Q2065">
            <v>0.92820000000000003</v>
          </cell>
        </row>
        <row r="2066">
          <cell r="K2066">
            <v>80.03</v>
          </cell>
          <cell r="Q2066">
            <v>0.91220000000000001</v>
          </cell>
        </row>
        <row r="2067">
          <cell r="K2067">
            <v>79.64</v>
          </cell>
          <cell r="Q2067">
            <v>0.90769999999999995</v>
          </cell>
        </row>
        <row r="2068">
          <cell r="K2068">
            <v>80.239999999999995</v>
          </cell>
          <cell r="Q2068">
            <v>0.91449999999999998</v>
          </cell>
        </row>
        <row r="2069">
          <cell r="K2069">
            <v>81.489999999999995</v>
          </cell>
          <cell r="Q2069">
            <v>0.92879999999999996</v>
          </cell>
        </row>
        <row r="2070">
          <cell r="K2070">
            <v>80.540000000000006</v>
          </cell>
          <cell r="Q2070">
            <v>0.91800000000000004</v>
          </cell>
        </row>
        <row r="2071">
          <cell r="K2071">
            <v>80.44</v>
          </cell>
          <cell r="Q2071">
            <v>0.91679999999999995</v>
          </cell>
        </row>
        <row r="2072">
          <cell r="K2072">
            <v>80.680000000000007</v>
          </cell>
          <cell r="Q2072">
            <v>0.91959999999999997</v>
          </cell>
        </row>
        <row r="2073">
          <cell r="K2073">
            <v>82.6</v>
          </cell>
          <cell r="Q2073">
            <v>0.94140000000000001</v>
          </cell>
        </row>
        <row r="2074">
          <cell r="K2074">
            <v>82.14</v>
          </cell>
          <cell r="Q2074">
            <v>0.93620000000000003</v>
          </cell>
        </row>
        <row r="2075">
          <cell r="K2075">
            <v>83</v>
          </cell>
          <cell r="Q2075">
            <v>0.94599999999999995</v>
          </cell>
        </row>
        <row r="2076">
          <cell r="K2076">
            <v>85.16</v>
          </cell>
          <cell r="Q2076">
            <v>0.97060000000000002</v>
          </cell>
        </row>
        <row r="2077">
          <cell r="K2077">
            <v>84.34</v>
          </cell>
          <cell r="Q2077">
            <v>0.96130000000000004</v>
          </cell>
        </row>
        <row r="2078">
          <cell r="K2078">
            <v>83.28</v>
          </cell>
          <cell r="Q2078">
            <v>0.94920000000000004</v>
          </cell>
        </row>
        <row r="2079">
          <cell r="K2079">
            <v>84.6</v>
          </cell>
          <cell r="Q2079">
            <v>0.96419999999999995</v>
          </cell>
        </row>
        <row r="2080">
          <cell r="K2080">
            <v>83.92</v>
          </cell>
          <cell r="Q2080">
            <v>0.95650000000000002</v>
          </cell>
        </row>
        <row r="2081">
          <cell r="K2081">
            <v>84.87</v>
          </cell>
          <cell r="Q2081">
            <v>0.96730000000000005</v>
          </cell>
        </row>
        <row r="2082">
          <cell r="K2082">
            <v>84.79</v>
          </cell>
          <cell r="Q2082">
            <v>0.96640000000000004</v>
          </cell>
        </row>
        <row r="2083">
          <cell r="K2083">
            <v>84.6</v>
          </cell>
          <cell r="Q2083">
            <v>0.96419999999999995</v>
          </cell>
        </row>
        <row r="2084">
          <cell r="K2084">
            <v>85.33</v>
          </cell>
          <cell r="Q2084">
            <v>0.97260000000000002</v>
          </cell>
        </row>
        <row r="2085">
          <cell r="K2085">
            <v>86.2</v>
          </cell>
          <cell r="Q2085">
            <v>0.98250000000000004</v>
          </cell>
        </row>
        <row r="2086">
          <cell r="K2086">
            <v>87.5</v>
          </cell>
          <cell r="Q2086">
            <v>0.99729999999999996</v>
          </cell>
        </row>
        <row r="2087">
          <cell r="K2087">
            <v>86.88</v>
          </cell>
          <cell r="Q2087">
            <v>0.99019999999999997</v>
          </cell>
        </row>
        <row r="2088">
          <cell r="K2088">
            <v>87.37</v>
          </cell>
          <cell r="Q2088">
            <v>0.99580000000000002</v>
          </cell>
        </row>
        <row r="2089">
          <cell r="K2089">
            <v>87.3</v>
          </cell>
          <cell r="Q2089">
            <v>0.995</v>
          </cell>
        </row>
        <row r="2090">
          <cell r="K2090">
            <v>87</v>
          </cell>
          <cell r="Q2090">
            <v>0.99160000000000004</v>
          </cell>
        </row>
        <row r="2091">
          <cell r="K2091">
            <v>86.99</v>
          </cell>
          <cell r="Q2091">
            <v>0.99150000000000005</v>
          </cell>
        </row>
        <row r="2092">
          <cell r="K2092">
            <v>86.43</v>
          </cell>
          <cell r="Q2092">
            <v>0.98509999999999998</v>
          </cell>
        </row>
        <row r="2093">
          <cell r="K2093">
            <v>87.31</v>
          </cell>
          <cell r="Q2093">
            <v>0.99509999999999998</v>
          </cell>
        </row>
        <row r="2094">
          <cell r="K2094">
            <v>88.77</v>
          </cell>
          <cell r="Q2094">
            <v>1.0118</v>
          </cell>
        </row>
        <row r="2095">
          <cell r="K2095">
            <v>88.16</v>
          </cell>
          <cell r="Q2095">
            <v>1.0047999999999999</v>
          </cell>
        </row>
        <row r="2096">
          <cell r="K2096">
            <v>88.44</v>
          </cell>
          <cell r="Q2096">
            <v>1.008</v>
          </cell>
        </row>
        <row r="2097">
          <cell r="K2097">
            <v>88.74</v>
          </cell>
          <cell r="Q2097">
            <v>1.0114000000000001</v>
          </cell>
        </row>
        <row r="2098">
          <cell r="K2098">
            <v>88.43</v>
          </cell>
          <cell r="Q2098">
            <v>1.0079</v>
          </cell>
        </row>
        <row r="2099">
          <cell r="K2099">
            <v>88.29</v>
          </cell>
          <cell r="Q2099">
            <v>1.0063</v>
          </cell>
        </row>
        <row r="2100">
          <cell r="K2100">
            <v>87.24</v>
          </cell>
          <cell r="Q2100">
            <v>0.99429999999999996</v>
          </cell>
        </row>
        <row r="2101">
          <cell r="K2101">
            <v>87.93</v>
          </cell>
          <cell r="Q2101">
            <v>1.0022</v>
          </cell>
        </row>
        <row r="2102">
          <cell r="K2102">
            <v>89.33</v>
          </cell>
          <cell r="Q2102">
            <v>1.0182</v>
          </cell>
        </row>
        <row r="2103">
          <cell r="K2103">
            <v>88.63</v>
          </cell>
          <cell r="Q2103">
            <v>1.0102</v>
          </cell>
        </row>
        <row r="2104">
          <cell r="K2104">
            <v>87.84</v>
          </cell>
          <cell r="Q2104">
            <v>1.0012000000000001</v>
          </cell>
        </row>
        <row r="2105">
          <cell r="K2105">
            <v>87.92</v>
          </cell>
          <cell r="Q2105">
            <v>1.0021</v>
          </cell>
        </row>
        <row r="2106">
          <cell r="K2106">
            <v>86.01</v>
          </cell>
          <cell r="Q2106">
            <v>0.98029999999999995</v>
          </cell>
        </row>
        <row r="2107">
          <cell r="K2107">
            <v>85.32</v>
          </cell>
          <cell r="Q2107">
            <v>0.97240000000000004</v>
          </cell>
        </row>
        <row r="2108">
          <cell r="K2108">
            <v>85.53</v>
          </cell>
          <cell r="Q2108">
            <v>0.9748</v>
          </cell>
        </row>
        <row r="2109">
          <cell r="K2109">
            <v>86.17</v>
          </cell>
          <cell r="Q2109">
            <v>0.98209999999999997</v>
          </cell>
        </row>
        <row r="2110">
          <cell r="K2110">
            <v>86.23</v>
          </cell>
          <cell r="Q2110">
            <v>0.98280000000000001</v>
          </cell>
        </row>
        <row r="2111">
          <cell r="K2111">
            <v>85.47</v>
          </cell>
          <cell r="Q2111">
            <v>0.97419999999999995</v>
          </cell>
        </row>
        <row r="2112">
          <cell r="K2112">
            <v>86.05</v>
          </cell>
          <cell r="Q2112">
            <v>0.98080000000000001</v>
          </cell>
        </row>
        <row r="2113">
          <cell r="K2113">
            <v>86.15</v>
          </cell>
          <cell r="Q2113">
            <v>0.9819</v>
          </cell>
        </row>
        <row r="2114">
          <cell r="K2114">
            <v>86.73</v>
          </cell>
          <cell r="Q2114">
            <v>0.98850000000000005</v>
          </cell>
        </row>
        <row r="2115">
          <cell r="K2115">
            <v>88.48</v>
          </cell>
          <cell r="Q2115">
            <v>1.0085</v>
          </cell>
        </row>
        <row r="2116">
          <cell r="K2116">
            <v>88.17</v>
          </cell>
          <cell r="Q2116">
            <v>1.0048999999999999</v>
          </cell>
        </row>
        <row r="2117">
          <cell r="K2117">
            <v>87.85</v>
          </cell>
          <cell r="Q2117">
            <v>1.0013000000000001</v>
          </cell>
        </row>
        <row r="2118">
          <cell r="K2118">
            <v>87.13</v>
          </cell>
          <cell r="Q2118">
            <v>0.99309999999999998</v>
          </cell>
        </row>
        <row r="2119">
          <cell r="K2119">
            <v>86.59</v>
          </cell>
          <cell r="Q2119">
            <v>0.9869</v>
          </cell>
        </row>
        <row r="2120">
          <cell r="K2120">
            <v>87.25</v>
          </cell>
          <cell r="Q2120">
            <v>0.99439999999999995</v>
          </cell>
        </row>
        <row r="2121">
          <cell r="K2121">
            <v>87.44</v>
          </cell>
          <cell r="Q2121">
            <v>0.99660000000000004</v>
          </cell>
        </row>
        <row r="2122">
          <cell r="K2122">
            <v>87.52</v>
          </cell>
          <cell r="Q2122">
            <v>0.99750000000000005</v>
          </cell>
        </row>
        <row r="2123">
          <cell r="K2123">
            <v>88.27</v>
          </cell>
          <cell r="Q2123">
            <v>1.0061</v>
          </cell>
        </row>
        <row r="2124">
          <cell r="K2124">
            <v>88.45</v>
          </cell>
          <cell r="Q2124">
            <v>1.0081</v>
          </cell>
        </row>
        <row r="2125">
          <cell r="K2125">
            <v>88.17</v>
          </cell>
          <cell r="Q2125">
            <v>1.0048999999999999</v>
          </cell>
        </row>
        <row r="2126">
          <cell r="K2126">
            <v>86.72</v>
          </cell>
          <cell r="Q2126">
            <v>0.98839999999999995</v>
          </cell>
        </row>
        <row r="2127">
          <cell r="K2127">
            <v>86.82</v>
          </cell>
          <cell r="Q2127">
            <v>0.98950000000000005</v>
          </cell>
        </row>
        <row r="2128">
          <cell r="K2128">
            <v>85.3</v>
          </cell>
          <cell r="Q2128">
            <v>0.97219999999999995</v>
          </cell>
        </row>
        <row r="2129">
          <cell r="K2129">
            <v>84.82</v>
          </cell>
          <cell r="Q2129">
            <v>0.98919999999999997</v>
          </cell>
        </row>
        <row r="2130">
          <cell r="K2130">
            <v>83.95</v>
          </cell>
          <cell r="Q2130">
            <v>0.97909999999999997</v>
          </cell>
        </row>
        <row r="2131">
          <cell r="K2131">
            <v>84.38</v>
          </cell>
          <cell r="Q2131">
            <v>0.98409999999999997</v>
          </cell>
        </row>
        <row r="2132">
          <cell r="K2132">
            <v>83.15</v>
          </cell>
          <cell r="Q2132">
            <v>0.96970000000000001</v>
          </cell>
        </row>
        <row r="2133">
          <cell r="K2133">
            <v>83.99</v>
          </cell>
          <cell r="Q2133">
            <v>0.97950000000000004</v>
          </cell>
        </row>
        <row r="2134">
          <cell r="K2134">
            <v>82.27</v>
          </cell>
          <cell r="Q2134">
            <v>0.95950000000000002</v>
          </cell>
        </row>
        <row r="2135">
          <cell r="K2135">
            <v>81.69</v>
          </cell>
          <cell r="Q2135">
            <v>0.95269999999999999</v>
          </cell>
        </row>
        <row r="2136">
          <cell r="K2136">
            <v>82.15</v>
          </cell>
          <cell r="Q2136">
            <v>0.95809999999999995</v>
          </cell>
        </row>
        <row r="2137">
          <cell r="K2137">
            <v>83.64</v>
          </cell>
          <cell r="Q2137">
            <v>0.97550000000000003</v>
          </cell>
        </row>
        <row r="2138">
          <cell r="K2138">
            <v>84.46</v>
          </cell>
          <cell r="Q2138">
            <v>0.98499999999999999</v>
          </cell>
        </row>
        <row r="2139">
          <cell r="K2139">
            <v>84.16</v>
          </cell>
          <cell r="Q2139">
            <v>0.98150000000000004</v>
          </cell>
        </row>
        <row r="2140">
          <cell r="K2140">
            <v>83.76</v>
          </cell>
          <cell r="Q2140">
            <v>0.97689999999999999</v>
          </cell>
        </row>
        <row r="2141">
          <cell r="K2141">
            <v>83.16</v>
          </cell>
          <cell r="Q2141">
            <v>0.96989999999999998</v>
          </cell>
        </row>
        <row r="2142">
          <cell r="K2142">
            <v>82.25</v>
          </cell>
          <cell r="Q2142">
            <v>0.95920000000000005</v>
          </cell>
        </row>
        <row r="2143">
          <cell r="K2143">
            <v>82.22</v>
          </cell>
          <cell r="Q2143">
            <v>0.95889999999999997</v>
          </cell>
        </row>
        <row r="2144">
          <cell r="K2144">
            <v>79.760000000000005</v>
          </cell>
          <cell r="Q2144">
            <v>0.93020000000000003</v>
          </cell>
        </row>
        <row r="2145">
          <cell r="K2145">
            <v>76.88</v>
          </cell>
          <cell r="Q2145">
            <v>0.89659999999999995</v>
          </cell>
        </row>
        <row r="2146">
          <cell r="K2146">
            <v>76.099999999999994</v>
          </cell>
          <cell r="Q2146">
            <v>0.88749999999999996</v>
          </cell>
        </row>
        <row r="2147">
          <cell r="K2147">
            <v>75.319999999999993</v>
          </cell>
          <cell r="Q2147">
            <v>0.87839999999999996</v>
          </cell>
        </row>
        <row r="2148">
          <cell r="K2148">
            <v>77.78</v>
          </cell>
          <cell r="Q2148">
            <v>0.90710000000000002</v>
          </cell>
        </row>
        <row r="2149">
          <cell r="K2149">
            <v>77.33</v>
          </cell>
          <cell r="Q2149">
            <v>0.90190000000000003</v>
          </cell>
        </row>
        <row r="2150">
          <cell r="K2150">
            <v>78.349999999999994</v>
          </cell>
          <cell r="Q2150">
            <v>0.91379999999999995</v>
          </cell>
        </row>
        <row r="2151">
          <cell r="K2151">
            <v>78.63</v>
          </cell>
          <cell r="Q2151">
            <v>0.91700000000000004</v>
          </cell>
        </row>
        <row r="2152">
          <cell r="K2152">
            <v>77.260000000000005</v>
          </cell>
          <cell r="Q2152">
            <v>0.90110000000000001</v>
          </cell>
        </row>
        <row r="2153">
          <cell r="K2153">
            <v>76.599999999999994</v>
          </cell>
          <cell r="Q2153">
            <v>0.89339999999999997</v>
          </cell>
        </row>
        <row r="2154">
          <cell r="K2154">
            <v>76.88</v>
          </cell>
          <cell r="Q2154">
            <v>0.89659999999999995</v>
          </cell>
        </row>
        <row r="2155">
          <cell r="K2155">
            <v>77.459999999999994</v>
          </cell>
          <cell r="Q2155">
            <v>0.90339999999999998</v>
          </cell>
        </row>
        <row r="2156">
          <cell r="K2156">
            <v>77.290000000000006</v>
          </cell>
          <cell r="Q2156">
            <v>0.90139999999999998</v>
          </cell>
        </row>
        <row r="2157">
          <cell r="K2157">
            <v>80.16</v>
          </cell>
          <cell r="Q2157">
            <v>0.93489999999999995</v>
          </cell>
        </row>
        <row r="2158">
          <cell r="K2158">
            <v>78.040000000000006</v>
          </cell>
          <cell r="Q2158">
            <v>0.91010000000000002</v>
          </cell>
        </row>
        <row r="2159">
          <cell r="K2159">
            <v>78.92</v>
          </cell>
          <cell r="Q2159">
            <v>0.9204</v>
          </cell>
        </row>
        <row r="2160">
          <cell r="K2160">
            <v>77.760000000000005</v>
          </cell>
          <cell r="Q2160">
            <v>0.90690000000000004</v>
          </cell>
        </row>
        <row r="2161">
          <cell r="K2161">
            <v>78.489999999999995</v>
          </cell>
          <cell r="Q2161">
            <v>0.91539999999999999</v>
          </cell>
        </row>
        <row r="2162">
          <cell r="K2162">
            <v>78.540000000000006</v>
          </cell>
          <cell r="Q2162">
            <v>0.91600000000000004</v>
          </cell>
        </row>
        <row r="2163">
          <cell r="K2163">
            <v>78.819999999999993</v>
          </cell>
          <cell r="Q2163">
            <v>0.91920000000000002</v>
          </cell>
        </row>
        <row r="2164">
          <cell r="K2164">
            <v>77.41</v>
          </cell>
          <cell r="Q2164">
            <v>0.90280000000000005</v>
          </cell>
        </row>
        <row r="2165">
          <cell r="K2165">
            <v>76.41</v>
          </cell>
          <cell r="Q2165">
            <v>0.8911</v>
          </cell>
        </row>
        <row r="2166">
          <cell r="K2166">
            <v>75</v>
          </cell>
          <cell r="Q2166">
            <v>0.87470000000000003</v>
          </cell>
        </row>
        <row r="2167">
          <cell r="K2167">
            <v>72.819999999999993</v>
          </cell>
          <cell r="Q2167">
            <v>0.84930000000000005</v>
          </cell>
        </row>
        <row r="2168">
          <cell r="K2168">
            <v>72.06</v>
          </cell>
          <cell r="Q2168">
            <v>0.84040000000000004</v>
          </cell>
        </row>
        <row r="2169">
          <cell r="K2169">
            <v>73.87</v>
          </cell>
          <cell r="Q2169">
            <v>0.86150000000000004</v>
          </cell>
        </row>
        <row r="2170">
          <cell r="K2170">
            <v>75.66</v>
          </cell>
          <cell r="Q2170">
            <v>0.88239999999999996</v>
          </cell>
        </row>
        <row r="2171">
          <cell r="K2171">
            <v>75.95</v>
          </cell>
          <cell r="Q2171">
            <v>0.88580000000000003</v>
          </cell>
        </row>
        <row r="2172">
          <cell r="K2172">
            <v>76.44</v>
          </cell>
          <cell r="Q2172">
            <v>0.89149999999999996</v>
          </cell>
        </row>
        <row r="2173">
          <cell r="K2173">
            <v>74.900000000000006</v>
          </cell>
          <cell r="Q2173">
            <v>0.87350000000000005</v>
          </cell>
        </row>
        <row r="2174">
          <cell r="K2174">
            <v>76.099999999999994</v>
          </cell>
          <cell r="Q2174">
            <v>0.88749999999999996</v>
          </cell>
        </row>
        <row r="2175">
          <cell r="K2175">
            <v>74.45</v>
          </cell>
          <cell r="Q2175">
            <v>0.86829999999999996</v>
          </cell>
        </row>
        <row r="2176">
          <cell r="K2176">
            <v>73.099999999999994</v>
          </cell>
          <cell r="Q2176">
            <v>0.85250000000000004</v>
          </cell>
        </row>
        <row r="2177">
          <cell r="K2177">
            <v>74.3</v>
          </cell>
          <cell r="Q2177">
            <v>0.86650000000000005</v>
          </cell>
        </row>
        <row r="2178">
          <cell r="K2178">
            <v>72.959999999999994</v>
          </cell>
          <cell r="Q2178">
            <v>0.85089999999999999</v>
          </cell>
        </row>
        <row r="2179">
          <cell r="K2179">
            <v>72.42</v>
          </cell>
          <cell r="Q2179">
            <v>0.84460000000000002</v>
          </cell>
        </row>
        <row r="2180">
          <cell r="K2180">
            <v>72.63</v>
          </cell>
          <cell r="Q2180">
            <v>0.84709999999999996</v>
          </cell>
        </row>
        <row r="2181">
          <cell r="K2181">
            <v>72.77</v>
          </cell>
          <cell r="Q2181">
            <v>0.84870000000000001</v>
          </cell>
        </row>
        <row r="2182">
          <cell r="K2182">
            <v>74.58</v>
          </cell>
          <cell r="Q2182">
            <v>0.86980000000000002</v>
          </cell>
        </row>
        <row r="2183">
          <cell r="K2183">
            <v>75.64</v>
          </cell>
          <cell r="Q2183">
            <v>0.88219999999999998</v>
          </cell>
        </row>
        <row r="2184">
          <cell r="K2184">
            <v>74.06</v>
          </cell>
          <cell r="Q2184">
            <v>0.86370000000000002</v>
          </cell>
        </row>
        <row r="2185">
          <cell r="K2185">
            <v>71.86</v>
          </cell>
          <cell r="Q2185">
            <v>0.83809999999999996</v>
          </cell>
        </row>
        <row r="2186">
          <cell r="K2186">
            <v>72.16</v>
          </cell>
          <cell r="Q2186">
            <v>0.84160000000000001</v>
          </cell>
        </row>
        <row r="2187">
          <cell r="K2187">
            <v>71.680000000000007</v>
          </cell>
          <cell r="Q2187">
            <v>0.83599999999999997</v>
          </cell>
        </row>
        <row r="2188">
          <cell r="K2188">
            <v>70.2</v>
          </cell>
          <cell r="Q2188">
            <v>0.81869999999999998</v>
          </cell>
        </row>
        <row r="2189">
          <cell r="K2189">
            <v>65.8</v>
          </cell>
          <cell r="Q2189">
            <v>0.76739999999999997</v>
          </cell>
        </row>
        <row r="2190">
          <cell r="K2190">
            <v>64.98</v>
          </cell>
          <cell r="Q2190">
            <v>0.75780000000000003</v>
          </cell>
        </row>
        <row r="2191">
          <cell r="K2191">
            <v>63.79</v>
          </cell>
          <cell r="Q2191">
            <v>0.74399999999999999</v>
          </cell>
        </row>
        <row r="2192">
          <cell r="K2192">
            <v>64.31</v>
          </cell>
          <cell r="Q2192">
            <v>0.75</v>
          </cell>
        </row>
        <row r="2193">
          <cell r="K2193">
            <v>65.36</v>
          </cell>
          <cell r="Q2193">
            <v>0.79239999999999999</v>
          </cell>
        </row>
        <row r="2194">
          <cell r="K2194">
            <v>64.39</v>
          </cell>
          <cell r="Q2194">
            <v>0.78069999999999995</v>
          </cell>
        </row>
        <row r="2195">
          <cell r="K2195">
            <v>65.7</v>
          </cell>
          <cell r="Q2195">
            <v>0.79649999999999999</v>
          </cell>
        </row>
        <row r="2196">
          <cell r="K2196">
            <v>69.180000000000007</v>
          </cell>
          <cell r="Q2196">
            <v>0.8387</v>
          </cell>
        </row>
        <row r="2197">
          <cell r="K2197">
            <v>70.819999999999993</v>
          </cell>
          <cell r="Q2197">
            <v>0.85860000000000003</v>
          </cell>
        </row>
        <row r="2198">
          <cell r="K2198">
            <v>70.38</v>
          </cell>
          <cell r="Q2198">
            <v>0.85329999999999995</v>
          </cell>
        </row>
        <row r="2199">
          <cell r="K2199">
            <v>71.84</v>
          </cell>
          <cell r="Q2199">
            <v>0.871</v>
          </cell>
        </row>
        <row r="2200">
          <cell r="K2200">
            <v>71.3</v>
          </cell>
          <cell r="Q2200">
            <v>0.86439999999999995</v>
          </cell>
        </row>
        <row r="2201">
          <cell r="K2201">
            <v>70.5</v>
          </cell>
          <cell r="Q2201">
            <v>0.85470000000000002</v>
          </cell>
        </row>
        <row r="2202">
          <cell r="K2202">
            <v>70.17</v>
          </cell>
          <cell r="Q2202">
            <v>0.85070000000000001</v>
          </cell>
        </row>
        <row r="2203">
          <cell r="K2203">
            <v>70.709999999999994</v>
          </cell>
          <cell r="Q2203">
            <v>0.85729999999999995</v>
          </cell>
        </row>
        <row r="2204">
          <cell r="K2204">
            <v>70.83</v>
          </cell>
          <cell r="Q2204">
            <v>0.85870000000000002</v>
          </cell>
        </row>
        <row r="2205">
          <cell r="K2205">
            <v>69.680000000000007</v>
          </cell>
          <cell r="Q2205">
            <v>0.8448</v>
          </cell>
        </row>
        <row r="2206">
          <cell r="K2206">
            <v>69.27</v>
          </cell>
          <cell r="Q2206">
            <v>0.83979999999999999</v>
          </cell>
        </row>
        <row r="2207">
          <cell r="K2207">
            <v>70.27</v>
          </cell>
          <cell r="Q2207">
            <v>0.85189999999999999</v>
          </cell>
        </row>
        <row r="2208">
          <cell r="K2208">
            <v>69.67</v>
          </cell>
          <cell r="Q2208">
            <v>0.84470000000000001</v>
          </cell>
        </row>
        <row r="2209">
          <cell r="K2209">
            <v>70.88</v>
          </cell>
          <cell r="Q2209">
            <v>0.85929999999999995</v>
          </cell>
        </row>
        <row r="2210">
          <cell r="K2210">
            <v>71.75</v>
          </cell>
          <cell r="Q2210">
            <v>0.86990000000000001</v>
          </cell>
        </row>
        <row r="2211">
          <cell r="K2211">
            <v>71.52</v>
          </cell>
          <cell r="Q2211">
            <v>0.86709999999999998</v>
          </cell>
        </row>
        <row r="2212">
          <cell r="K2212">
            <v>70.39</v>
          </cell>
          <cell r="Q2212">
            <v>0.85340000000000005</v>
          </cell>
        </row>
        <row r="2213">
          <cell r="K2213">
            <v>71.97</v>
          </cell>
          <cell r="Q2213">
            <v>0.87260000000000004</v>
          </cell>
        </row>
        <row r="2214">
          <cell r="K2214">
            <v>71.97</v>
          </cell>
          <cell r="Q2214">
            <v>0.87260000000000004</v>
          </cell>
        </row>
        <row r="2215">
          <cell r="K2215">
            <v>72.989999999999995</v>
          </cell>
          <cell r="Q2215">
            <v>0.88490000000000002</v>
          </cell>
        </row>
        <row r="2216">
          <cell r="K2216">
            <v>74.34</v>
          </cell>
          <cell r="Q2216">
            <v>0.90129999999999999</v>
          </cell>
        </row>
        <row r="2217">
          <cell r="K2217">
            <v>74.75</v>
          </cell>
          <cell r="Q2217">
            <v>0.90629999999999999</v>
          </cell>
        </row>
        <row r="2218">
          <cell r="K2218">
            <v>74.55</v>
          </cell>
          <cell r="Q2218">
            <v>0.90380000000000005</v>
          </cell>
        </row>
        <row r="2219">
          <cell r="K2219">
            <v>74.22</v>
          </cell>
          <cell r="Q2219">
            <v>0.89980000000000004</v>
          </cell>
        </row>
        <row r="2220">
          <cell r="K2220">
            <v>73.84</v>
          </cell>
          <cell r="Q2220">
            <v>0.8952</v>
          </cell>
        </row>
        <row r="2221">
          <cell r="K2221">
            <v>71.89</v>
          </cell>
          <cell r="Q2221">
            <v>0.87160000000000004</v>
          </cell>
        </row>
        <row r="2222">
          <cell r="K2222">
            <v>72.430000000000007</v>
          </cell>
          <cell r="Q2222">
            <v>0.87809999999999999</v>
          </cell>
        </row>
        <row r="2223">
          <cell r="K2223">
            <v>71.91</v>
          </cell>
          <cell r="Q2223">
            <v>0.87180000000000002</v>
          </cell>
        </row>
        <row r="2224">
          <cell r="K2224">
            <v>68.66</v>
          </cell>
          <cell r="Q2224">
            <v>0.83240000000000003</v>
          </cell>
        </row>
        <row r="2225">
          <cell r="K2225">
            <v>69.63</v>
          </cell>
          <cell r="Q2225">
            <v>0.84419999999999995</v>
          </cell>
        </row>
        <row r="2226">
          <cell r="K2226">
            <v>70.39</v>
          </cell>
          <cell r="Q2226">
            <v>0.85340000000000005</v>
          </cell>
        </row>
        <row r="2227">
          <cell r="K2227">
            <v>69.39</v>
          </cell>
          <cell r="Q2227">
            <v>0.84130000000000005</v>
          </cell>
        </row>
        <row r="2228">
          <cell r="K2228">
            <v>70.319999999999993</v>
          </cell>
          <cell r="Q2228">
            <v>0.85260000000000002</v>
          </cell>
        </row>
        <row r="2229">
          <cell r="K2229">
            <v>70.02</v>
          </cell>
          <cell r="Q2229">
            <v>0.84889999999999999</v>
          </cell>
        </row>
        <row r="2230">
          <cell r="K2230">
            <v>71.14</v>
          </cell>
          <cell r="Q2230">
            <v>0.86250000000000004</v>
          </cell>
        </row>
        <row r="2231">
          <cell r="K2231">
            <v>71.02</v>
          </cell>
          <cell r="Q2231">
            <v>0.86099999999999999</v>
          </cell>
        </row>
        <row r="2232">
          <cell r="K2232">
            <v>71.400000000000006</v>
          </cell>
          <cell r="Q2232">
            <v>0.86560000000000004</v>
          </cell>
        </row>
        <row r="2233">
          <cell r="K2233">
            <v>71.489999999999995</v>
          </cell>
          <cell r="Q2233">
            <v>0.86670000000000003</v>
          </cell>
        </row>
        <row r="2234">
          <cell r="K2234">
            <v>71.22</v>
          </cell>
          <cell r="Q2234">
            <v>0.86350000000000005</v>
          </cell>
        </row>
        <row r="2235">
          <cell r="K2235">
            <v>72.650000000000006</v>
          </cell>
          <cell r="Q2235">
            <v>0.88080000000000003</v>
          </cell>
        </row>
        <row r="2236">
          <cell r="K2236">
            <v>71.56</v>
          </cell>
          <cell r="Q2236">
            <v>0.86760000000000004</v>
          </cell>
        </row>
        <row r="2237">
          <cell r="K2237">
            <v>71.03</v>
          </cell>
          <cell r="Q2237">
            <v>0.86119999999999997</v>
          </cell>
        </row>
        <row r="2238">
          <cell r="K2238">
            <v>69.64</v>
          </cell>
          <cell r="Q2238">
            <v>0.84430000000000005</v>
          </cell>
        </row>
        <row r="2239">
          <cell r="K2239">
            <v>69.98</v>
          </cell>
          <cell r="Q2239">
            <v>0.84840000000000004</v>
          </cell>
        </row>
        <row r="2240">
          <cell r="K2240">
            <v>68.36</v>
          </cell>
          <cell r="Q2240">
            <v>0.82879999999999998</v>
          </cell>
        </row>
        <row r="2241">
          <cell r="K2241">
            <v>66.540000000000006</v>
          </cell>
          <cell r="Q2241">
            <v>0.80669999999999997</v>
          </cell>
        </row>
        <row r="2242">
          <cell r="K2242">
            <v>65.91</v>
          </cell>
          <cell r="Q2242">
            <v>0.79910000000000003</v>
          </cell>
        </row>
        <row r="2243">
          <cell r="K2243">
            <v>66.38</v>
          </cell>
          <cell r="Q2243">
            <v>0.80479999999999996</v>
          </cell>
        </row>
        <row r="2244">
          <cell r="K2244">
            <v>65.430000000000007</v>
          </cell>
          <cell r="Q2244">
            <v>0.79330000000000001</v>
          </cell>
        </row>
        <row r="2245">
          <cell r="K2245">
            <v>66.12</v>
          </cell>
          <cell r="Q2245">
            <v>0.80159999999999998</v>
          </cell>
        </row>
        <row r="2246">
          <cell r="K2246">
            <v>66.75</v>
          </cell>
          <cell r="Q2246">
            <v>0.80930000000000002</v>
          </cell>
        </row>
        <row r="2247">
          <cell r="K2247">
            <v>67.72</v>
          </cell>
          <cell r="Q2247">
            <v>0.82099999999999995</v>
          </cell>
        </row>
        <row r="2248">
          <cell r="K2248">
            <v>64.900000000000006</v>
          </cell>
          <cell r="Q2248">
            <v>0.78680000000000005</v>
          </cell>
        </row>
        <row r="2249">
          <cell r="K2249">
            <v>65.11</v>
          </cell>
          <cell r="Q2249">
            <v>0.78939999999999999</v>
          </cell>
        </row>
        <row r="2250">
          <cell r="K2250">
            <v>65.239999999999995</v>
          </cell>
          <cell r="Q2250">
            <v>0.79100000000000004</v>
          </cell>
        </row>
        <row r="2251">
          <cell r="K2251">
            <v>68.41</v>
          </cell>
          <cell r="Q2251">
            <v>0.82940000000000003</v>
          </cell>
        </row>
        <row r="2252">
          <cell r="K2252">
            <v>69.89</v>
          </cell>
          <cell r="Q2252">
            <v>0.84730000000000005</v>
          </cell>
        </row>
        <row r="2253">
          <cell r="K2253">
            <v>69.38</v>
          </cell>
          <cell r="Q2253">
            <v>0.84119999999999995</v>
          </cell>
        </row>
        <row r="2254">
          <cell r="K2254">
            <v>68.58</v>
          </cell>
          <cell r="Q2254">
            <v>0.83150000000000002</v>
          </cell>
        </row>
        <row r="2255">
          <cell r="K2255">
            <v>69.19</v>
          </cell>
          <cell r="Q2255">
            <v>0.83889999999999998</v>
          </cell>
        </row>
        <row r="2256">
          <cell r="K2256">
            <v>68.69</v>
          </cell>
          <cell r="Q2256">
            <v>0.83279999999999998</v>
          </cell>
        </row>
        <row r="2257">
          <cell r="K2257">
            <v>67.959999999999994</v>
          </cell>
          <cell r="Q2257">
            <v>0.87009999999999998</v>
          </cell>
        </row>
        <row r="2258">
          <cell r="K2258">
            <v>67.989999999999995</v>
          </cell>
          <cell r="Q2258">
            <v>0.87050000000000005</v>
          </cell>
        </row>
        <row r="2259">
          <cell r="K2259">
            <v>67.28</v>
          </cell>
          <cell r="Q2259">
            <v>0.86140000000000005</v>
          </cell>
        </row>
        <row r="2260">
          <cell r="K2260">
            <v>66.22</v>
          </cell>
          <cell r="Q2260">
            <v>0.8478</v>
          </cell>
        </row>
        <row r="2261">
          <cell r="K2261">
            <v>63.94</v>
          </cell>
          <cell r="Q2261">
            <v>0.81859999999999999</v>
          </cell>
        </row>
        <row r="2262">
          <cell r="K2262">
            <v>63.29</v>
          </cell>
          <cell r="Q2262">
            <v>0.81030000000000002</v>
          </cell>
        </row>
        <row r="2263">
          <cell r="K2263">
            <v>61.47</v>
          </cell>
          <cell r="Q2263">
            <v>0.78700000000000003</v>
          </cell>
        </row>
        <row r="2264">
          <cell r="K2264">
            <v>61.6</v>
          </cell>
          <cell r="Q2264">
            <v>0.78869999999999996</v>
          </cell>
        </row>
        <row r="2265">
          <cell r="K2265">
            <v>60.89</v>
          </cell>
          <cell r="Q2265">
            <v>0.77959999999999996</v>
          </cell>
        </row>
        <row r="2266">
          <cell r="K2266">
            <v>62.27</v>
          </cell>
          <cell r="Q2266">
            <v>0.79720000000000002</v>
          </cell>
        </row>
        <row r="2267">
          <cell r="K2267">
            <v>59.87</v>
          </cell>
          <cell r="Q2267">
            <v>0.76649999999999996</v>
          </cell>
        </row>
        <row r="2268">
          <cell r="K2268">
            <v>59.03</v>
          </cell>
          <cell r="Q2268">
            <v>0.75580000000000003</v>
          </cell>
        </row>
        <row r="2269">
          <cell r="K2269">
            <v>58.81</v>
          </cell>
          <cell r="Q2269">
            <v>0.75290000000000001</v>
          </cell>
        </row>
        <row r="2270">
          <cell r="K2270">
            <v>59.69</v>
          </cell>
          <cell r="Q2270">
            <v>0.76419999999999999</v>
          </cell>
        </row>
        <row r="2271">
          <cell r="K2271">
            <v>60.98</v>
          </cell>
          <cell r="Q2271">
            <v>0.78069999999999995</v>
          </cell>
        </row>
        <row r="2272">
          <cell r="K2272">
            <v>57.91</v>
          </cell>
          <cell r="Q2272">
            <v>0.74139999999999995</v>
          </cell>
        </row>
        <row r="2273">
          <cell r="K2273">
            <v>59.16</v>
          </cell>
          <cell r="Q2273">
            <v>0.75739999999999996</v>
          </cell>
        </row>
        <row r="2274">
          <cell r="K2274">
            <v>58.32</v>
          </cell>
          <cell r="Q2274">
            <v>0.74670000000000003</v>
          </cell>
        </row>
        <row r="2275">
          <cell r="K2275">
            <v>61.08</v>
          </cell>
          <cell r="Q2275">
            <v>0.78200000000000003</v>
          </cell>
        </row>
        <row r="2276">
          <cell r="K2276">
            <v>62.24</v>
          </cell>
          <cell r="Q2276">
            <v>0.79679999999999995</v>
          </cell>
        </row>
        <row r="2277">
          <cell r="K2277">
            <v>62.7</v>
          </cell>
          <cell r="Q2277">
            <v>0.80269999999999997</v>
          </cell>
        </row>
        <row r="2278">
          <cell r="K2278">
            <v>60.67</v>
          </cell>
          <cell r="Q2278">
            <v>0.77669999999999995</v>
          </cell>
        </row>
        <row r="2279">
          <cell r="K2279">
            <v>63.27</v>
          </cell>
          <cell r="Q2279">
            <v>0.81</v>
          </cell>
        </row>
        <row r="2280">
          <cell r="K2280">
            <v>65.959999999999994</v>
          </cell>
          <cell r="Q2280">
            <v>0.84450000000000003</v>
          </cell>
        </row>
        <row r="2281">
          <cell r="K2281">
            <v>66.12</v>
          </cell>
          <cell r="Q2281">
            <v>0.84650000000000003</v>
          </cell>
        </row>
        <row r="2282">
          <cell r="K2282">
            <v>64.58</v>
          </cell>
          <cell r="Q2282">
            <v>0.82679999999999998</v>
          </cell>
        </row>
        <row r="2283">
          <cell r="K2283">
            <v>63.93</v>
          </cell>
          <cell r="Q2283">
            <v>0.81850000000000001</v>
          </cell>
        </row>
        <row r="2284">
          <cell r="K2284">
            <v>62.14</v>
          </cell>
          <cell r="Q2284">
            <v>0.79559999999999997</v>
          </cell>
        </row>
        <row r="2285">
          <cell r="K2285">
            <v>61.41</v>
          </cell>
          <cell r="Q2285">
            <v>0.78620000000000001</v>
          </cell>
        </row>
        <row r="2286">
          <cell r="K2286">
            <v>63.15</v>
          </cell>
          <cell r="Q2286">
            <v>0.8085</v>
          </cell>
        </row>
        <row r="2287">
          <cell r="K2287">
            <v>65.209999999999994</v>
          </cell>
          <cell r="Q2287">
            <v>0.83489999999999998</v>
          </cell>
        </row>
        <row r="2288">
          <cell r="K2288">
            <v>67.260000000000005</v>
          </cell>
          <cell r="Q2288">
            <v>0.86109999999999998</v>
          </cell>
        </row>
        <row r="2289">
          <cell r="K2289">
            <v>66.12</v>
          </cell>
          <cell r="Q2289">
            <v>0.84650000000000003</v>
          </cell>
        </row>
        <row r="2290">
          <cell r="K2290">
            <v>65.42</v>
          </cell>
          <cell r="Q2290">
            <v>0.83760000000000001</v>
          </cell>
        </row>
        <row r="2291">
          <cell r="K2291">
            <v>67.31</v>
          </cell>
          <cell r="Q2291">
            <v>0.86180000000000001</v>
          </cell>
        </row>
        <row r="2292">
          <cell r="K2292">
            <v>65.78</v>
          </cell>
          <cell r="Q2292">
            <v>0.84219999999999995</v>
          </cell>
        </row>
        <row r="2293">
          <cell r="K2293">
            <v>65.88</v>
          </cell>
          <cell r="Q2293">
            <v>0.84350000000000003</v>
          </cell>
        </row>
        <row r="2294">
          <cell r="K2294">
            <v>66.47</v>
          </cell>
          <cell r="Q2294">
            <v>0.85099999999999998</v>
          </cell>
        </row>
        <row r="2295">
          <cell r="K2295">
            <v>66.87</v>
          </cell>
          <cell r="Q2295">
            <v>0.85609999999999997</v>
          </cell>
        </row>
        <row r="2296">
          <cell r="K2296">
            <v>67.7</v>
          </cell>
          <cell r="Q2296">
            <v>0.86680000000000001</v>
          </cell>
        </row>
        <row r="2297">
          <cell r="K2297">
            <v>69.09</v>
          </cell>
          <cell r="Q2297">
            <v>0.88449999999999995</v>
          </cell>
        </row>
        <row r="2298">
          <cell r="K2298">
            <v>69.38</v>
          </cell>
          <cell r="Q2298">
            <v>0.88829999999999998</v>
          </cell>
        </row>
        <row r="2299">
          <cell r="K2299">
            <v>71.75</v>
          </cell>
          <cell r="Q2299">
            <v>0.91859999999999997</v>
          </cell>
        </row>
        <row r="2300">
          <cell r="K2300">
            <v>72.84</v>
          </cell>
          <cell r="Q2300">
            <v>0.93259999999999998</v>
          </cell>
        </row>
        <row r="2301">
          <cell r="K2301">
            <v>74.77</v>
          </cell>
          <cell r="Q2301">
            <v>0.95730000000000004</v>
          </cell>
        </row>
        <row r="2302">
          <cell r="K2302">
            <v>71.73</v>
          </cell>
          <cell r="Q2302">
            <v>0.91830000000000001</v>
          </cell>
        </row>
        <row r="2303">
          <cell r="K2303">
            <v>71.87</v>
          </cell>
          <cell r="Q2303">
            <v>0.92010000000000003</v>
          </cell>
        </row>
        <row r="2304">
          <cell r="K2304">
            <v>71.36</v>
          </cell>
          <cell r="Q2304">
            <v>0.91359999999999997</v>
          </cell>
        </row>
        <row r="2305">
          <cell r="K2305">
            <v>72.8</v>
          </cell>
          <cell r="Q2305">
            <v>0.93200000000000005</v>
          </cell>
        </row>
        <row r="2306">
          <cell r="K2306">
            <v>72.73</v>
          </cell>
          <cell r="Q2306">
            <v>0.93120000000000003</v>
          </cell>
        </row>
        <row r="2307">
          <cell r="K2307">
            <v>72.44</v>
          </cell>
          <cell r="Q2307">
            <v>0.9274</v>
          </cell>
        </row>
        <row r="2308">
          <cell r="K2308">
            <v>74.34</v>
          </cell>
          <cell r="Q2308">
            <v>0.95179999999999998</v>
          </cell>
        </row>
        <row r="2309">
          <cell r="K2309">
            <v>75.900000000000006</v>
          </cell>
          <cell r="Q2309">
            <v>0.97170000000000001</v>
          </cell>
        </row>
        <row r="2310">
          <cell r="K2310">
            <v>75.47</v>
          </cell>
          <cell r="Q2310">
            <v>0.96619999999999995</v>
          </cell>
        </row>
        <row r="2311">
          <cell r="K2311">
            <v>75.89</v>
          </cell>
          <cell r="Q2311">
            <v>0.97160000000000002</v>
          </cell>
        </row>
        <row r="2312">
          <cell r="K2312">
            <v>75.55</v>
          </cell>
          <cell r="Q2312">
            <v>0.96730000000000005</v>
          </cell>
        </row>
        <row r="2313">
          <cell r="K2313">
            <v>73.680000000000007</v>
          </cell>
          <cell r="Q2313">
            <v>0.94330000000000003</v>
          </cell>
        </row>
        <row r="2314">
          <cell r="K2314">
            <v>75.290000000000006</v>
          </cell>
          <cell r="Q2314">
            <v>0.96389999999999998</v>
          </cell>
        </row>
        <row r="2315">
          <cell r="K2315">
            <v>75.319999999999993</v>
          </cell>
          <cell r="Q2315">
            <v>0.96430000000000005</v>
          </cell>
        </row>
        <row r="2316">
          <cell r="K2316">
            <v>76.010000000000005</v>
          </cell>
          <cell r="Q2316">
            <v>0.97309999999999997</v>
          </cell>
        </row>
        <row r="2317">
          <cell r="K2317">
            <v>76.510000000000005</v>
          </cell>
          <cell r="Q2317">
            <v>0.97950000000000004</v>
          </cell>
        </row>
        <row r="2318">
          <cell r="K2318">
            <v>76.540000000000006</v>
          </cell>
          <cell r="Q2318">
            <v>1.0416000000000001</v>
          </cell>
        </row>
        <row r="2319">
          <cell r="K2319">
            <v>76.790000000000006</v>
          </cell>
          <cell r="Q2319">
            <v>1.0449999999999999</v>
          </cell>
        </row>
        <row r="2320">
          <cell r="K2320">
            <v>75.72</v>
          </cell>
          <cell r="Q2320">
            <v>1.0304</v>
          </cell>
        </row>
        <row r="2321">
          <cell r="K2321">
            <v>75.239999999999995</v>
          </cell>
          <cell r="Q2321">
            <v>1.0239</v>
          </cell>
        </row>
        <row r="2322">
          <cell r="K2322">
            <v>75.22</v>
          </cell>
          <cell r="Q2322">
            <v>1.0236000000000001</v>
          </cell>
        </row>
        <row r="2323">
          <cell r="K2323">
            <v>74.17</v>
          </cell>
          <cell r="Q2323">
            <v>1.0093000000000001</v>
          </cell>
        </row>
        <row r="2324">
          <cell r="K2324">
            <v>74.349999999999994</v>
          </cell>
          <cell r="Q2324">
            <v>1.0118</v>
          </cell>
        </row>
        <row r="2325">
          <cell r="K2325">
            <v>74.63</v>
          </cell>
          <cell r="Q2325">
            <v>1.0156000000000001</v>
          </cell>
        </row>
        <row r="2326">
          <cell r="K2326">
            <v>76.099999999999994</v>
          </cell>
          <cell r="Q2326">
            <v>1.0356000000000001</v>
          </cell>
        </row>
        <row r="2327">
          <cell r="K2327">
            <v>79.13</v>
          </cell>
          <cell r="Q2327">
            <v>1.0768</v>
          </cell>
        </row>
        <row r="2328">
          <cell r="K2328">
            <v>79.05</v>
          </cell>
          <cell r="Q2328">
            <v>1.0757000000000001</v>
          </cell>
        </row>
        <row r="2329">
          <cell r="K2329">
            <v>79.17</v>
          </cell>
          <cell r="Q2329">
            <v>1.0773999999999999</v>
          </cell>
        </row>
        <row r="2330">
          <cell r="K2330">
            <v>79.25</v>
          </cell>
          <cell r="Q2330">
            <v>1.0784</v>
          </cell>
        </row>
        <row r="2331">
          <cell r="K2331">
            <v>80.39</v>
          </cell>
          <cell r="Q2331">
            <v>1.0940000000000001</v>
          </cell>
        </row>
        <row r="2332">
          <cell r="K2332">
            <v>79.739999999999995</v>
          </cell>
          <cell r="Q2332">
            <v>1.0851</v>
          </cell>
        </row>
        <row r="2333">
          <cell r="K2333">
            <v>78.66</v>
          </cell>
          <cell r="Q2333">
            <v>1.0704</v>
          </cell>
        </row>
        <row r="2334">
          <cell r="K2334">
            <v>78.319999999999993</v>
          </cell>
          <cell r="Q2334">
            <v>1.0658000000000001</v>
          </cell>
        </row>
        <row r="2335">
          <cell r="K2335">
            <v>76.790000000000006</v>
          </cell>
          <cell r="Q2335">
            <v>1.0449999999999999</v>
          </cell>
        </row>
        <row r="2336">
          <cell r="K2336">
            <v>77.650000000000006</v>
          </cell>
          <cell r="Q2336">
            <v>1.0567</v>
          </cell>
        </row>
        <row r="2337">
          <cell r="K2337">
            <v>78.680000000000007</v>
          </cell>
          <cell r="Q2337">
            <v>1.0707</v>
          </cell>
        </row>
        <row r="2338">
          <cell r="K2338">
            <v>77.75</v>
          </cell>
          <cell r="Q2338">
            <v>1.0580000000000001</v>
          </cell>
        </row>
        <row r="2339">
          <cell r="K2339">
            <v>77.72</v>
          </cell>
          <cell r="Q2339">
            <v>1.0576000000000001</v>
          </cell>
        </row>
        <row r="2340">
          <cell r="K2340">
            <v>77.84</v>
          </cell>
          <cell r="Q2340">
            <v>1.0592999999999999</v>
          </cell>
        </row>
        <row r="2341">
          <cell r="K2341">
            <v>76.36</v>
          </cell>
          <cell r="Q2341">
            <v>1.0390999999999999</v>
          </cell>
        </row>
        <row r="2342">
          <cell r="K2342">
            <v>74.239999999999995</v>
          </cell>
          <cell r="Q2342">
            <v>1.0103</v>
          </cell>
        </row>
        <row r="2343">
          <cell r="K2343">
            <v>72.790000000000006</v>
          </cell>
          <cell r="Q2343">
            <v>0.99050000000000005</v>
          </cell>
        </row>
        <row r="2344">
          <cell r="K2344">
            <v>73.36</v>
          </cell>
          <cell r="Q2344">
            <v>0.99829999999999997</v>
          </cell>
        </row>
        <row r="2345">
          <cell r="K2345">
            <v>70.78</v>
          </cell>
          <cell r="Q2345">
            <v>0.96319999999999995</v>
          </cell>
        </row>
        <row r="2346">
          <cell r="K2346">
            <v>72.510000000000005</v>
          </cell>
          <cell r="Q2346">
            <v>0.98670000000000002</v>
          </cell>
        </row>
        <row r="2347">
          <cell r="K2347">
            <v>72.430000000000007</v>
          </cell>
          <cell r="Q2347">
            <v>0.98560000000000003</v>
          </cell>
        </row>
        <row r="2348">
          <cell r="K2348">
            <v>71.7</v>
          </cell>
          <cell r="Q2348">
            <v>0.97570000000000001</v>
          </cell>
        </row>
        <row r="2349">
          <cell r="K2349">
            <v>70.069999999999993</v>
          </cell>
          <cell r="Q2349">
            <v>0.95350000000000001</v>
          </cell>
        </row>
        <row r="2350">
          <cell r="K2350">
            <v>70.7</v>
          </cell>
          <cell r="Q2350">
            <v>0.96209999999999996</v>
          </cell>
        </row>
        <row r="2351">
          <cell r="K2351">
            <v>71.05</v>
          </cell>
          <cell r="Q2351">
            <v>0.96689999999999998</v>
          </cell>
        </row>
        <row r="2352">
          <cell r="K2352">
            <v>70.59</v>
          </cell>
          <cell r="Q2352">
            <v>0.96060000000000001</v>
          </cell>
        </row>
        <row r="2353">
          <cell r="K2353">
            <v>69.430000000000007</v>
          </cell>
          <cell r="Q2353">
            <v>0.94479999999999997</v>
          </cell>
        </row>
        <row r="2354">
          <cell r="K2354">
            <v>69.87</v>
          </cell>
          <cell r="Q2354">
            <v>0.95079999999999998</v>
          </cell>
        </row>
        <row r="2355">
          <cell r="K2355">
            <v>70.400000000000006</v>
          </cell>
          <cell r="Q2355">
            <v>0.95799999999999996</v>
          </cell>
        </row>
        <row r="2356">
          <cell r="K2356">
            <v>71.09</v>
          </cell>
          <cell r="Q2356">
            <v>0.96740000000000004</v>
          </cell>
        </row>
        <row r="2357">
          <cell r="K2357">
            <v>72.569999999999993</v>
          </cell>
          <cell r="Q2357">
            <v>0.98750000000000004</v>
          </cell>
        </row>
        <row r="2358">
          <cell r="K2358">
            <v>72.08</v>
          </cell>
          <cell r="Q2358">
            <v>0.98089999999999999</v>
          </cell>
        </row>
        <row r="2359">
          <cell r="K2359">
            <v>71.959999999999994</v>
          </cell>
          <cell r="Q2359">
            <v>0.97919999999999996</v>
          </cell>
        </row>
        <row r="2360">
          <cell r="K2360">
            <v>72.510000000000005</v>
          </cell>
          <cell r="Q2360">
            <v>0.98670000000000002</v>
          </cell>
        </row>
        <row r="2361">
          <cell r="K2361">
            <v>72.27</v>
          </cell>
          <cell r="Q2361">
            <v>0.98350000000000004</v>
          </cell>
        </row>
        <row r="2362">
          <cell r="K2362">
            <v>73.62</v>
          </cell>
          <cell r="Q2362">
            <v>1.0018</v>
          </cell>
        </row>
        <row r="2363">
          <cell r="K2363">
            <v>75.040000000000006</v>
          </cell>
          <cell r="Q2363">
            <v>1.0210999999999999</v>
          </cell>
        </row>
        <row r="2364">
          <cell r="K2364">
            <v>76.42</v>
          </cell>
          <cell r="Q2364">
            <v>1.0399</v>
          </cell>
        </row>
        <row r="2365">
          <cell r="K2365">
            <v>76.81</v>
          </cell>
          <cell r="Q2365">
            <v>1.0451999999999999</v>
          </cell>
        </row>
        <row r="2366">
          <cell r="K2366">
            <v>78.11</v>
          </cell>
          <cell r="Q2366">
            <v>1.0629</v>
          </cell>
        </row>
        <row r="2367">
          <cell r="K2367">
            <v>77.16</v>
          </cell>
          <cell r="Q2367">
            <v>1.05</v>
          </cell>
        </row>
        <row r="2368">
          <cell r="K2368">
            <v>76.03</v>
          </cell>
          <cell r="Q2368">
            <v>1.0346</v>
          </cell>
        </row>
        <row r="2369">
          <cell r="K2369">
            <v>75.23</v>
          </cell>
          <cell r="Q2369">
            <v>1.0237000000000001</v>
          </cell>
        </row>
        <row r="2370">
          <cell r="K2370">
            <v>74.86</v>
          </cell>
          <cell r="Q2370">
            <v>1.0186999999999999</v>
          </cell>
        </row>
        <row r="2371">
          <cell r="K2371">
            <v>75.069999999999993</v>
          </cell>
          <cell r="Q2371">
            <v>1.0216000000000001</v>
          </cell>
        </row>
        <row r="2372">
          <cell r="K2372">
            <v>74.989999999999995</v>
          </cell>
          <cell r="Q2372">
            <v>1.0205</v>
          </cell>
        </row>
        <row r="2373">
          <cell r="K2373">
            <v>75.930000000000007</v>
          </cell>
          <cell r="Q2373">
            <v>1.0333000000000001</v>
          </cell>
        </row>
        <row r="2374">
          <cell r="K2374">
            <v>76.430000000000007</v>
          </cell>
          <cell r="Q2374">
            <v>1.0401</v>
          </cell>
        </row>
        <row r="2375">
          <cell r="K2375">
            <v>76.489999999999995</v>
          </cell>
          <cell r="Q2375">
            <v>1.0408999999999999</v>
          </cell>
        </row>
        <row r="2376">
          <cell r="K2376">
            <v>76.430000000000007</v>
          </cell>
          <cell r="Q2376">
            <v>1.0401</v>
          </cell>
        </row>
        <row r="2377">
          <cell r="K2377">
            <v>78.22</v>
          </cell>
          <cell r="Q2377">
            <v>1.0644</v>
          </cell>
        </row>
        <row r="2378">
          <cell r="K2378">
            <v>73.03</v>
          </cell>
          <cell r="Q2378">
            <v>0.99380000000000002</v>
          </cell>
        </row>
        <row r="2379">
          <cell r="K2379">
            <v>71.38</v>
          </cell>
          <cell r="Q2379">
            <v>0.97130000000000005</v>
          </cell>
        </row>
        <row r="2380">
          <cell r="K2380">
            <v>72.52</v>
          </cell>
          <cell r="Q2380">
            <v>0.9869</v>
          </cell>
        </row>
        <row r="2381">
          <cell r="K2381">
            <v>74.23</v>
          </cell>
          <cell r="Q2381">
            <v>1.0101</v>
          </cell>
        </row>
        <row r="2382">
          <cell r="K2382">
            <v>75.81</v>
          </cell>
          <cell r="Q2382">
            <v>1.0704</v>
          </cell>
        </row>
        <row r="2383">
          <cell r="K2383">
            <v>76.45</v>
          </cell>
          <cell r="Q2383">
            <v>1.0793999999999999</v>
          </cell>
        </row>
        <row r="2384">
          <cell r="K2384">
            <v>74.38</v>
          </cell>
          <cell r="Q2384">
            <v>1.0502</v>
          </cell>
        </row>
        <row r="2385">
          <cell r="K2385">
            <v>74.83</v>
          </cell>
          <cell r="Q2385">
            <v>1.0565</v>
          </cell>
        </row>
        <row r="2386">
          <cell r="K2386">
            <v>75.05</v>
          </cell>
          <cell r="Q2386">
            <v>1.0596000000000001</v>
          </cell>
        </row>
        <row r="2387">
          <cell r="K2387">
            <v>77.37</v>
          </cell>
          <cell r="Q2387">
            <v>1.0924</v>
          </cell>
        </row>
        <row r="2388">
          <cell r="K2388">
            <v>77.8</v>
          </cell>
          <cell r="Q2388">
            <v>1.0985</v>
          </cell>
        </row>
        <row r="2389">
          <cell r="K2389">
            <v>79.8</v>
          </cell>
          <cell r="Q2389">
            <v>1.1267</v>
          </cell>
        </row>
        <row r="2390">
          <cell r="K2390">
            <v>79.69</v>
          </cell>
          <cell r="Q2390">
            <v>1.1251</v>
          </cell>
        </row>
        <row r="2391">
          <cell r="K2391">
            <v>80.06</v>
          </cell>
          <cell r="Q2391">
            <v>1.1304000000000001</v>
          </cell>
        </row>
        <row r="2392">
          <cell r="K2392">
            <v>80.7</v>
          </cell>
          <cell r="Q2392">
            <v>1.1394</v>
          </cell>
        </row>
        <row r="2393">
          <cell r="K2393">
            <v>79.819999999999993</v>
          </cell>
          <cell r="Q2393">
            <v>1.127</v>
          </cell>
        </row>
        <row r="2394">
          <cell r="K2394">
            <v>79.739999999999995</v>
          </cell>
          <cell r="Q2394">
            <v>1.1257999999999999</v>
          </cell>
        </row>
        <row r="2395">
          <cell r="K2395">
            <v>79.69</v>
          </cell>
          <cell r="Q2395">
            <v>1.1251</v>
          </cell>
        </row>
        <row r="2396">
          <cell r="K2396">
            <v>80.010000000000005</v>
          </cell>
          <cell r="Q2396">
            <v>1.1296999999999999</v>
          </cell>
        </row>
        <row r="2397">
          <cell r="K2397">
            <v>79.38</v>
          </cell>
          <cell r="Q2397">
            <v>1.1208</v>
          </cell>
        </row>
        <row r="2398">
          <cell r="K2398">
            <v>78.69</v>
          </cell>
          <cell r="Q2398">
            <v>1.111</v>
          </cell>
        </row>
        <row r="2399">
          <cell r="K2399">
            <v>82.75</v>
          </cell>
          <cell r="Q2399">
            <v>1.1682999999999999</v>
          </cell>
        </row>
        <row r="2400">
          <cell r="K2400">
            <v>84.1</v>
          </cell>
          <cell r="Q2400">
            <v>1.1874</v>
          </cell>
        </row>
        <row r="2401">
          <cell r="K2401">
            <v>82.92</v>
          </cell>
          <cell r="Q2401">
            <v>1.1707000000000001</v>
          </cell>
        </row>
        <row r="2402">
          <cell r="K2402">
            <v>82.76</v>
          </cell>
          <cell r="Q2402">
            <v>1.1685000000000001</v>
          </cell>
        </row>
        <row r="2403">
          <cell r="K2403">
            <v>81.95</v>
          </cell>
          <cell r="Q2403">
            <v>1.157</v>
          </cell>
        </row>
        <row r="2404">
          <cell r="K2404">
            <v>81.239999999999995</v>
          </cell>
          <cell r="Q2404">
            <v>1.147</v>
          </cell>
        </row>
        <row r="2405">
          <cell r="K2405">
            <v>82.03</v>
          </cell>
          <cell r="Q2405">
            <v>1.1581999999999999</v>
          </cell>
        </row>
        <row r="2406">
          <cell r="K2406">
            <v>81.77</v>
          </cell>
          <cell r="Q2406">
            <v>1.1545000000000001</v>
          </cell>
        </row>
        <row r="2407">
          <cell r="K2407">
            <v>82.56</v>
          </cell>
          <cell r="Q2407">
            <v>1.1657</v>
          </cell>
        </row>
        <row r="2408">
          <cell r="K2408">
            <v>83.44</v>
          </cell>
          <cell r="Q2408">
            <v>1.1780999999999999</v>
          </cell>
        </row>
        <row r="2409">
          <cell r="K2409">
            <v>82.83</v>
          </cell>
          <cell r="Q2409">
            <v>1.1695</v>
          </cell>
        </row>
        <row r="2410">
          <cell r="K2410">
            <v>82.65</v>
          </cell>
          <cell r="Q2410">
            <v>1.1669</v>
          </cell>
        </row>
        <row r="2411">
          <cell r="K2411">
            <v>83.24</v>
          </cell>
          <cell r="Q2411">
            <v>1.1753</v>
          </cell>
        </row>
        <row r="2412">
          <cell r="K2412">
            <v>83</v>
          </cell>
          <cell r="Q2412">
            <v>1.1718999999999999</v>
          </cell>
        </row>
        <row r="2413">
          <cell r="K2413">
            <v>84.15</v>
          </cell>
          <cell r="Q2413">
            <v>1.1880999999999999</v>
          </cell>
        </row>
        <row r="2414">
          <cell r="K2414">
            <v>84.29</v>
          </cell>
          <cell r="Q2414">
            <v>1.1900999999999999</v>
          </cell>
        </row>
        <row r="2415">
          <cell r="K2415">
            <v>84.41</v>
          </cell>
          <cell r="Q2415">
            <v>1.1918</v>
          </cell>
        </row>
        <row r="2416">
          <cell r="K2416">
            <v>83.38</v>
          </cell>
          <cell r="Q2416">
            <v>1.1772</v>
          </cell>
        </row>
        <row r="2417">
          <cell r="K2417">
            <v>83.84</v>
          </cell>
          <cell r="Q2417">
            <v>1.1837</v>
          </cell>
        </row>
        <row r="2418">
          <cell r="K2418">
            <v>83.59</v>
          </cell>
          <cell r="Q2418">
            <v>1.1801999999999999</v>
          </cell>
        </row>
        <row r="2419">
          <cell r="K2419">
            <v>84.01</v>
          </cell>
          <cell r="Q2419">
            <v>1.1860999999999999</v>
          </cell>
        </row>
        <row r="2420">
          <cell r="K2420">
            <v>83.15</v>
          </cell>
          <cell r="Q2420">
            <v>1.1739999999999999</v>
          </cell>
        </row>
        <row r="2421">
          <cell r="K2421">
            <v>82.84</v>
          </cell>
          <cell r="Q2421">
            <v>1.1696</v>
          </cell>
        </row>
        <row r="2422">
          <cell r="K2422">
            <v>82.66</v>
          </cell>
          <cell r="Q2422">
            <v>1.1671</v>
          </cell>
        </row>
        <row r="2423">
          <cell r="K2423">
            <v>83.1</v>
          </cell>
          <cell r="Q2423">
            <v>1.1733</v>
          </cell>
        </row>
        <row r="2424">
          <cell r="K2424">
            <v>82.48</v>
          </cell>
          <cell r="Q2424">
            <v>1.1645000000000001</v>
          </cell>
        </row>
        <row r="2425">
          <cell r="K2425">
            <v>81.95</v>
          </cell>
          <cell r="Q2425">
            <v>1.157</v>
          </cell>
        </row>
        <row r="2426">
          <cell r="K2426">
            <v>81.45</v>
          </cell>
          <cell r="Q2426">
            <v>1.1499999999999999</v>
          </cell>
        </row>
        <row r="2427">
          <cell r="K2427">
            <v>81.69</v>
          </cell>
          <cell r="Q2427">
            <v>1.1534</v>
          </cell>
        </row>
        <row r="2428">
          <cell r="K2428">
            <v>82.08</v>
          </cell>
          <cell r="Q2428">
            <v>1.1589</v>
          </cell>
        </row>
        <row r="2429">
          <cell r="K2429">
            <v>83.72</v>
          </cell>
          <cell r="Q2429">
            <v>1.1819999999999999</v>
          </cell>
        </row>
        <row r="2430">
          <cell r="K2430">
            <v>83.54</v>
          </cell>
          <cell r="Q2430">
            <v>1.1795</v>
          </cell>
        </row>
        <row r="2431">
          <cell r="K2431">
            <v>80.790000000000006</v>
          </cell>
          <cell r="Q2431">
            <v>1.1407</v>
          </cell>
        </row>
        <row r="2432">
          <cell r="K2432">
            <v>81.92</v>
          </cell>
          <cell r="Q2432">
            <v>1.1566000000000001</v>
          </cell>
        </row>
        <row r="2433">
          <cell r="K2433">
            <v>80.23</v>
          </cell>
          <cell r="Q2433">
            <v>1.1328</v>
          </cell>
        </row>
        <row r="2434">
          <cell r="K2434">
            <v>81.02</v>
          </cell>
          <cell r="Q2434">
            <v>1.1438999999999999</v>
          </cell>
        </row>
        <row r="2435">
          <cell r="K2435">
            <v>82.03</v>
          </cell>
          <cell r="Q2435">
            <v>1.1581999999999999</v>
          </cell>
        </row>
        <row r="2436">
          <cell r="K2436">
            <v>82.05</v>
          </cell>
          <cell r="Q2436">
            <v>1.1585000000000001</v>
          </cell>
        </row>
        <row r="2437">
          <cell r="K2437">
            <v>81.88</v>
          </cell>
          <cell r="Q2437">
            <v>1.1560999999999999</v>
          </cell>
        </row>
        <row r="2438">
          <cell r="K2438">
            <v>81.7</v>
          </cell>
          <cell r="Q2438">
            <v>1.1535</v>
          </cell>
        </row>
        <row r="2439">
          <cell r="K2439">
            <v>83.47</v>
          </cell>
          <cell r="Q2439">
            <v>1.1785000000000001</v>
          </cell>
        </row>
        <row r="2440">
          <cell r="K2440">
            <v>83.5</v>
          </cell>
          <cell r="Q2440">
            <v>1.1789000000000001</v>
          </cell>
        </row>
        <row r="2441">
          <cell r="K2441">
            <v>82.44</v>
          </cell>
          <cell r="Q2441">
            <v>1.1639999999999999</v>
          </cell>
        </row>
        <row r="2442">
          <cell r="K2442">
            <v>82.37</v>
          </cell>
          <cell r="Q2442">
            <v>1.163</v>
          </cell>
        </row>
        <row r="2443">
          <cell r="K2443">
            <v>82.88</v>
          </cell>
          <cell r="Q2443">
            <v>1.1701999999999999</v>
          </cell>
        </row>
        <row r="2444">
          <cell r="K2444">
            <v>86.59</v>
          </cell>
          <cell r="Q2444">
            <v>1.2225999999999999</v>
          </cell>
        </row>
        <row r="2445">
          <cell r="K2445">
            <v>87.47</v>
          </cell>
          <cell r="Q2445">
            <v>1.2350000000000001</v>
          </cell>
        </row>
        <row r="2446">
          <cell r="K2446">
            <v>88.77</v>
          </cell>
          <cell r="Q2446">
            <v>1.3069</v>
          </cell>
        </row>
        <row r="2447">
          <cell r="K2447">
            <v>88.28</v>
          </cell>
          <cell r="Q2447">
            <v>1.2997000000000001</v>
          </cell>
        </row>
        <row r="2448">
          <cell r="K2448">
            <v>87.51</v>
          </cell>
          <cell r="Q2448">
            <v>1.2884</v>
          </cell>
        </row>
        <row r="2449">
          <cell r="K2449">
            <v>89.42</v>
          </cell>
          <cell r="Q2449">
            <v>1.3165</v>
          </cell>
        </row>
        <row r="2450">
          <cell r="K2450">
            <v>89.29</v>
          </cell>
          <cell r="Q2450">
            <v>1.3146</v>
          </cell>
        </row>
        <row r="2451">
          <cell r="K2451">
            <v>88.47</v>
          </cell>
          <cell r="Q2451">
            <v>1.3025</v>
          </cell>
        </row>
        <row r="2452">
          <cell r="K2452">
            <v>88.22</v>
          </cell>
          <cell r="Q2452">
            <v>1.2988</v>
          </cell>
        </row>
        <row r="2453">
          <cell r="K2453">
            <v>87.47</v>
          </cell>
          <cell r="Q2453">
            <v>1.2878000000000001</v>
          </cell>
        </row>
        <row r="2454">
          <cell r="K2454">
            <v>87.58</v>
          </cell>
          <cell r="Q2454">
            <v>1.2894000000000001</v>
          </cell>
        </row>
        <row r="2455">
          <cell r="K2455">
            <v>86.97</v>
          </cell>
          <cell r="Q2455">
            <v>1.2804</v>
          </cell>
        </row>
        <row r="2456">
          <cell r="K2456">
            <v>87.67</v>
          </cell>
          <cell r="Q2456">
            <v>1.2907</v>
          </cell>
        </row>
        <row r="2457">
          <cell r="K2457">
            <v>87.29</v>
          </cell>
          <cell r="Q2457">
            <v>1.2850999999999999</v>
          </cell>
        </row>
        <row r="2458">
          <cell r="K2458">
            <v>87.22</v>
          </cell>
          <cell r="Q2458">
            <v>1.2841</v>
          </cell>
        </row>
        <row r="2459">
          <cell r="K2459">
            <v>88</v>
          </cell>
          <cell r="Q2459">
            <v>1.2956000000000001</v>
          </cell>
        </row>
        <row r="2460">
          <cell r="K2460">
            <v>86.63</v>
          </cell>
          <cell r="Q2460">
            <v>1.2754000000000001</v>
          </cell>
        </row>
        <row r="2461">
          <cell r="K2461">
            <v>86.33</v>
          </cell>
          <cell r="Q2461">
            <v>1.2709999999999999</v>
          </cell>
        </row>
        <row r="2462">
          <cell r="K2462">
            <v>85.99</v>
          </cell>
          <cell r="Q2462">
            <v>1.266</v>
          </cell>
        </row>
        <row r="2463">
          <cell r="K2463">
            <v>84.48</v>
          </cell>
          <cell r="Q2463">
            <v>1.2438</v>
          </cell>
        </row>
        <row r="2464">
          <cell r="K2464">
            <v>84.13</v>
          </cell>
          <cell r="Q2464">
            <v>1.2385999999999999</v>
          </cell>
        </row>
        <row r="2465">
          <cell r="K2465">
            <v>83.01</v>
          </cell>
          <cell r="Q2465">
            <v>1.2221</v>
          </cell>
        </row>
        <row r="2466">
          <cell r="K2466">
            <v>83.88</v>
          </cell>
          <cell r="Q2466">
            <v>1.2349000000000001</v>
          </cell>
        </row>
        <row r="2467">
          <cell r="K2467">
            <v>83.46</v>
          </cell>
          <cell r="Q2467">
            <v>1.2286999999999999</v>
          </cell>
        </row>
        <row r="2468">
          <cell r="K2468">
            <v>82.24</v>
          </cell>
          <cell r="Q2468">
            <v>1.2108000000000001</v>
          </cell>
        </row>
        <row r="2469">
          <cell r="K2469">
            <v>81.11</v>
          </cell>
          <cell r="Q2469">
            <v>1.1940999999999999</v>
          </cell>
        </row>
        <row r="2470">
          <cell r="K2470">
            <v>81.27</v>
          </cell>
          <cell r="Q2470">
            <v>1.1964999999999999</v>
          </cell>
        </row>
        <row r="2471">
          <cell r="K2471">
            <v>82.31</v>
          </cell>
          <cell r="Q2471">
            <v>1.2118</v>
          </cell>
        </row>
        <row r="2472">
          <cell r="K2472">
            <v>83.75</v>
          </cell>
          <cell r="Q2472">
            <v>1.2330000000000001</v>
          </cell>
        </row>
        <row r="2473">
          <cell r="K2473">
            <v>84.68</v>
          </cell>
          <cell r="Q2473">
            <v>1.2466999999999999</v>
          </cell>
        </row>
        <row r="2474">
          <cell r="K2474">
            <v>91.2</v>
          </cell>
          <cell r="Q2474">
            <v>1.3427</v>
          </cell>
        </row>
        <row r="2475">
          <cell r="K2475">
            <v>93.45</v>
          </cell>
          <cell r="Q2475">
            <v>1.3757999999999999</v>
          </cell>
        </row>
        <row r="2476">
          <cell r="K2476">
            <v>93.01</v>
          </cell>
          <cell r="Q2476">
            <v>1.3693</v>
          </cell>
        </row>
        <row r="2477">
          <cell r="K2477">
            <v>94.17</v>
          </cell>
          <cell r="Q2477">
            <v>1.3864000000000001</v>
          </cell>
        </row>
        <row r="2478">
          <cell r="K2478">
            <v>94.44</v>
          </cell>
          <cell r="Q2478">
            <v>1.3904000000000001</v>
          </cell>
        </row>
        <row r="2479">
          <cell r="K2479">
            <v>93.35</v>
          </cell>
          <cell r="Q2479">
            <v>1.3744000000000001</v>
          </cell>
        </row>
        <row r="2480">
          <cell r="K2480">
            <v>92.78</v>
          </cell>
          <cell r="Q2480">
            <v>1.3660000000000001</v>
          </cell>
        </row>
        <row r="2481">
          <cell r="K2481">
            <v>92.34</v>
          </cell>
          <cell r="Q2481">
            <v>1.3594999999999999</v>
          </cell>
        </row>
        <row r="2482">
          <cell r="K2482">
            <v>92.9</v>
          </cell>
          <cell r="Q2482">
            <v>1.3676999999999999</v>
          </cell>
        </row>
        <row r="2483">
          <cell r="K2483">
            <v>93.62</v>
          </cell>
          <cell r="Q2483">
            <v>1.3783000000000001</v>
          </cell>
        </row>
        <row r="2484">
          <cell r="K2484">
            <v>96.18</v>
          </cell>
          <cell r="Q2484">
            <v>1.4159999999999999</v>
          </cell>
        </row>
        <row r="2485">
          <cell r="K2485">
            <v>95.81</v>
          </cell>
          <cell r="Q2485">
            <v>1.4106000000000001</v>
          </cell>
        </row>
        <row r="2486">
          <cell r="K2486">
            <v>94.9</v>
          </cell>
          <cell r="Q2486">
            <v>1.3972</v>
          </cell>
        </row>
        <row r="2487">
          <cell r="K2487">
            <v>94.04</v>
          </cell>
          <cell r="Q2487">
            <v>1.3845000000000001</v>
          </cell>
        </row>
        <row r="2488">
          <cell r="K2488">
            <v>95.56</v>
          </cell>
          <cell r="Q2488">
            <v>1.4069</v>
          </cell>
        </row>
        <row r="2489">
          <cell r="K2489">
            <v>96.24</v>
          </cell>
          <cell r="Q2489">
            <v>1.4169</v>
          </cell>
        </row>
        <row r="2490">
          <cell r="K2490">
            <v>95.14</v>
          </cell>
          <cell r="Q2490">
            <v>1.4007000000000001</v>
          </cell>
        </row>
        <row r="2491">
          <cell r="K2491">
            <v>94.45</v>
          </cell>
          <cell r="Q2491">
            <v>1.3905000000000001</v>
          </cell>
        </row>
        <row r="2492">
          <cell r="K2492">
            <v>95.22</v>
          </cell>
          <cell r="Q2492">
            <v>1.4018999999999999</v>
          </cell>
        </row>
        <row r="2493">
          <cell r="K2493">
            <v>97.33</v>
          </cell>
          <cell r="Q2493">
            <v>1.4329000000000001</v>
          </cell>
        </row>
        <row r="2494">
          <cell r="K2494">
            <v>96.27</v>
          </cell>
          <cell r="Q2494">
            <v>1.4173</v>
          </cell>
        </row>
        <row r="2495">
          <cell r="K2495">
            <v>95.53</v>
          </cell>
          <cell r="Q2495">
            <v>1.4064000000000001</v>
          </cell>
        </row>
        <row r="2496">
          <cell r="K2496">
            <v>95.08</v>
          </cell>
          <cell r="Q2496">
            <v>1.3997999999999999</v>
          </cell>
        </row>
        <row r="2497">
          <cell r="K2497">
            <v>96.02</v>
          </cell>
          <cell r="Q2497">
            <v>1.4137</v>
          </cell>
        </row>
        <row r="2498">
          <cell r="K2498">
            <v>93.74</v>
          </cell>
          <cell r="Q2498">
            <v>1.3801000000000001</v>
          </cell>
        </row>
        <row r="2499">
          <cell r="K2499">
            <v>94.53</v>
          </cell>
          <cell r="Q2499">
            <v>1.3916999999999999</v>
          </cell>
        </row>
        <row r="2500">
          <cell r="K2500">
            <v>92.58</v>
          </cell>
          <cell r="Q2500">
            <v>1.363</v>
          </cell>
        </row>
        <row r="2501">
          <cell r="K2501">
            <v>92.71</v>
          </cell>
          <cell r="Q2501">
            <v>1.3649</v>
          </cell>
        </row>
        <row r="2502">
          <cell r="K2502">
            <v>94.34</v>
          </cell>
          <cell r="Q2502">
            <v>1.3889</v>
          </cell>
        </row>
        <row r="2503">
          <cell r="K2503">
            <v>93.82</v>
          </cell>
          <cell r="Q2503">
            <v>1.3813</v>
          </cell>
        </row>
        <row r="2504">
          <cell r="K2504">
            <v>94.12</v>
          </cell>
          <cell r="Q2504">
            <v>1.3856999999999999</v>
          </cell>
        </row>
        <row r="2505">
          <cell r="K2505">
            <v>94.32</v>
          </cell>
          <cell r="Q2505">
            <v>1.3886000000000001</v>
          </cell>
        </row>
        <row r="2506">
          <cell r="K2506">
            <v>94.55</v>
          </cell>
          <cell r="Q2506">
            <v>1.3919999999999999</v>
          </cell>
        </row>
        <row r="2507">
          <cell r="K2507">
            <v>93.15</v>
          </cell>
          <cell r="Q2507">
            <v>1.3714</v>
          </cell>
        </row>
        <row r="2508">
          <cell r="K2508">
            <v>93.29</v>
          </cell>
          <cell r="Q2508">
            <v>1.3734999999999999</v>
          </cell>
        </row>
        <row r="2509">
          <cell r="K2509">
            <v>92.74</v>
          </cell>
          <cell r="Q2509">
            <v>1.3653999999999999</v>
          </cell>
        </row>
        <row r="2510">
          <cell r="K2510">
            <v>93.99</v>
          </cell>
          <cell r="Q2510">
            <v>1.3837999999999999</v>
          </cell>
        </row>
        <row r="2511">
          <cell r="K2511">
            <v>93.57</v>
          </cell>
          <cell r="Q2511">
            <v>1.3775999999999999</v>
          </cell>
        </row>
        <row r="2512">
          <cell r="K2512">
            <v>93</v>
          </cell>
          <cell r="Q2512">
            <v>1.3692</v>
          </cell>
        </row>
        <row r="2513">
          <cell r="K2513">
            <v>93.04</v>
          </cell>
          <cell r="Q2513">
            <v>1.3697999999999999</v>
          </cell>
        </row>
        <row r="2514">
          <cell r="K2514">
            <v>92.37</v>
          </cell>
          <cell r="Q2514">
            <v>1.3599000000000001</v>
          </cell>
        </row>
        <row r="2515">
          <cell r="K2515">
            <v>93.83</v>
          </cell>
          <cell r="Q2515">
            <v>1.3814</v>
          </cell>
        </row>
        <row r="2516">
          <cell r="K2516">
            <v>94.5</v>
          </cell>
          <cell r="Q2516">
            <v>1.39126398806</v>
          </cell>
        </row>
      </sheetData>
      <sheetData sheetId="12" refreshError="1"/>
      <sheetData sheetId="13" refreshError="1"/>
      <sheetData sheetId="14" refreshError="1"/>
      <sheetData sheetId="15" refreshError="1"/>
      <sheetData sheetId="16">
        <row r="1">
          <cell r="E1">
            <v>7</v>
          </cell>
        </row>
      </sheetData>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K23" sqref="K23"/>
    </sheetView>
  </sheetViews>
  <sheetFormatPr defaultRowHeight="14.6"/>
  <cols>
    <col min="1" max="1" width="38.69140625" bestFit="1" customWidth="1"/>
    <col min="2" max="7" width="11.69140625" customWidth="1"/>
    <col min="8" max="9" width="10.53515625" bestFit="1" customWidth="1"/>
    <col min="10" max="10" width="11.3828125" customWidth="1"/>
    <col min="11" max="11" width="10.53515625" bestFit="1" customWidth="1"/>
    <col min="12" max="13" width="9.53515625" bestFit="1" customWidth="1"/>
    <col min="14" max="14" width="10.53515625" bestFit="1" customWidth="1"/>
    <col min="15" max="15" width="11.53515625" bestFit="1" customWidth="1"/>
  </cols>
  <sheetData>
    <row r="1" spans="1:13" ht="15" thickBot="1">
      <c r="A1" s="161" t="s">
        <v>61</v>
      </c>
      <c r="B1" s="161"/>
      <c r="C1" s="161"/>
      <c r="D1" s="161"/>
      <c r="E1" s="161"/>
      <c r="F1" s="161"/>
      <c r="G1" s="161"/>
      <c r="I1" s="170" t="s">
        <v>51</v>
      </c>
      <c r="J1" s="171"/>
      <c r="K1" s="91" t="s">
        <v>58</v>
      </c>
      <c r="L1" s="63" t="s">
        <v>108</v>
      </c>
    </row>
    <row r="2" spans="1:13">
      <c r="A2" s="51" t="s">
        <v>195</v>
      </c>
      <c r="B2" s="44" t="s">
        <v>196</v>
      </c>
      <c r="C2" s="98" t="str">
        <f>A2&amp;" ("&amp;ticker&amp;")"</f>
        <v>Caterpillar (CAT)</v>
      </c>
      <c r="E2" s="3" t="s">
        <v>57</v>
      </c>
      <c r="F2" s="3"/>
      <c r="G2" s="50">
        <v>94</v>
      </c>
      <c r="I2" s="166" t="str">
        <f>(ROUND(AVERAGE(C9:G9)*100,0)&amp;"% | "&amp;ROUND(AVERAGE(C11:G11)*100,0)&amp;"% | "&amp;ROUND(C18*100,0)&amp;"%")</f>
        <v>-2% | 7% | 0%</v>
      </c>
      <c r="J2" s="167"/>
      <c r="K2" s="92">
        <f ca="1">TRUNC(Scenario1)+B13/G4</f>
        <v>46</v>
      </c>
      <c r="L2" s="94" t="s">
        <v>54</v>
      </c>
      <c r="M2" s="45"/>
    </row>
    <row r="3" spans="1:13">
      <c r="A3" t="s">
        <v>0</v>
      </c>
      <c r="B3" s="13">
        <v>42369</v>
      </c>
      <c r="E3" t="s">
        <v>60</v>
      </c>
      <c r="G3" s="31">
        <f>'Company Analysis'!K3</f>
        <v>47011</v>
      </c>
      <c r="I3" s="166" t="str">
        <f>(ROUND(AVERAGE(C9:G9)*100,0)&amp;"% | "&amp;ROUND(AVERAGE(C11:G11)*100,0)&amp;"% | "&amp;ROUND(C17*100,0)&amp;"%")</f>
        <v>-2% | 7% | 10%</v>
      </c>
      <c r="J3" s="167"/>
      <c r="K3" s="92">
        <f ca="1">TRUNC(Scenario2)+B13/G4</f>
        <v>63</v>
      </c>
      <c r="L3" s="94" t="s">
        <v>53</v>
      </c>
      <c r="M3" s="46"/>
    </row>
    <row r="4" spans="1:13" ht="15" thickBot="1">
      <c r="A4" s="68" t="s">
        <v>1</v>
      </c>
      <c r="B4" s="52">
        <v>0.1</v>
      </c>
      <c r="C4" s="12"/>
      <c r="D4" s="12"/>
      <c r="E4" s="12" t="s">
        <v>6</v>
      </c>
      <c r="F4" s="12"/>
      <c r="G4" s="53">
        <v>585.072585</v>
      </c>
      <c r="I4" s="166" t="str">
        <f>(ROUND(AVERAGE(C9:G9)*100,0)&amp;"% | "&amp;ROUND(AVERAGE(C10:G10)*100,0)&amp;"% | "&amp;ROUND(C18*100,0)&amp;"%")</f>
        <v>-2% | 9% | 0%</v>
      </c>
      <c r="J4" s="167"/>
      <c r="K4" s="92">
        <f ca="1">TRUNC(Scenario3)+B13/G4</f>
        <v>63</v>
      </c>
      <c r="L4" s="95" t="s">
        <v>54</v>
      </c>
      <c r="M4" s="47"/>
    </row>
    <row r="5" spans="1:13">
      <c r="B5" s="2"/>
      <c r="I5" s="166" t="str">
        <f>(ROUND(AVERAGE(C9:G9)*100,0)&amp;"% | "&amp;ROUND(AVERAGE(C10:G10)*100,0)&amp;"% | "&amp;ROUND(C17*100,0)&amp;"%")</f>
        <v>-2% | 9% | 10%</v>
      </c>
      <c r="J5" s="167"/>
      <c r="K5" s="92">
        <f ca="1">TRUNC(Scenario4)+B13/G4</f>
        <v>88</v>
      </c>
      <c r="L5" s="95" t="s">
        <v>53</v>
      </c>
      <c r="M5" s="47"/>
    </row>
    <row r="6" spans="1:13" s="9" customFormat="1" ht="15" thickBot="1">
      <c r="A6" s="161" t="s">
        <v>96</v>
      </c>
      <c r="B6" s="161"/>
      <c r="C6" s="161"/>
      <c r="D6" s="161"/>
      <c r="E6" s="161"/>
      <c r="F6" s="161"/>
      <c r="G6" s="161"/>
      <c r="H6" s="8"/>
      <c r="I6" s="166" t="str">
        <f>(ROUND(AVERAGE(C8:G8)*100,0)&amp;"% | "&amp;ROUND(AVERAGE(C11:G11)*100,0)&amp;"% | "&amp;ROUND(C18*100,0)&amp;"%")</f>
        <v>9% | 7% | 0%</v>
      </c>
      <c r="J6" s="167"/>
      <c r="K6" s="92">
        <f ca="1">TRUNC(Scenario5)+B13/G4</f>
        <v>73</v>
      </c>
      <c r="L6" s="94" t="s">
        <v>53</v>
      </c>
      <c r="M6" s="48"/>
    </row>
    <row r="7" spans="1:13">
      <c r="A7" s="7"/>
      <c r="B7" s="7" t="s">
        <v>2</v>
      </c>
      <c r="C7" s="40">
        <v>1</v>
      </c>
      <c r="D7" s="40">
        <v>2</v>
      </c>
      <c r="E7" s="40">
        <v>3</v>
      </c>
      <c r="F7" s="40">
        <v>4</v>
      </c>
      <c r="G7" s="40">
        <v>5</v>
      </c>
      <c r="I7" s="166" t="str">
        <f>(ROUND(AVERAGE(C8:G8)*100,0)&amp;"% | "&amp;ROUND(AVERAGE(C11:G11)*100,0)&amp;"% | "&amp;ROUND(C17*100,0)&amp;"%")</f>
        <v>9% | 7% | 10%</v>
      </c>
      <c r="J7" s="167"/>
      <c r="K7" s="92">
        <f ca="1">TRUNC(Scenario6)+B13/G4</f>
        <v>103</v>
      </c>
      <c r="L7" s="96" t="s">
        <v>54</v>
      </c>
    </row>
    <row r="8" spans="1:13">
      <c r="A8" s="164" t="s">
        <v>5</v>
      </c>
      <c r="B8" s="22" t="s">
        <v>3</v>
      </c>
      <c r="C8" s="23">
        <v>-0.13</v>
      </c>
      <c r="D8" s="23">
        <v>0.15</v>
      </c>
      <c r="E8" s="23">
        <v>0.15</v>
      </c>
      <c r="F8" s="23">
        <v>0.15</v>
      </c>
      <c r="G8" s="23">
        <v>0.15</v>
      </c>
      <c r="I8" s="166" t="str">
        <f>(ROUND(AVERAGE(C8:G8)*100,0)&amp;"% | "&amp;ROUND(AVERAGE(C10:G10)*100,0)&amp;"% | "&amp;ROUND(C18*100,0)&amp;"%")</f>
        <v>9% | 9% | 0%</v>
      </c>
      <c r="J8" s="167"/>
      <c r="K8" s="92">
        <f ca="1">TRUNC(Scenario7)+B13/G4</f>
        <v>102</v>
      </c>
      <c r="L8" s="96" t="s">
        <v>53</v>
      </c>
    </row>
    <row r="9" spans="1:13">
      <c r="A9" s="165"/>
      <c r="B9" s="14" t="s">
        <v>4</v>
      </c>
      <c r="C9" s="24">
        <v>-0.187</v>
      </c>
      <c r="D9" s="24">
        <v>0.02</v>
      </c>
      <c r="E9" s="24">
        <v>0.02</v>
      </c>
      <c r="F9" s="24">
        <v>0.02</v>
      </c>
      <c r="G9" s="24">
        <v>0.02</v>
      </c>
      <c r="I9" s="168" t="str">
        <f>(ROUND(AVERAGE(C8:G8)*100,0)&amp;"% | "&amp;ROUND(AVERAGE(C10:G10)*100,0)&amp;"% | "&amp;ROUND(C17*100,0)&amp;"%")</f>
        <v>9% | 9% | 10%</v>
      </c>
      <c r="J9" s="169"/>
      <c r="K9" s="93">
        <f ca="1">TRUNC(Scenario8)+B13/G4</f>
        <v>145</v>
      </c>
      <c r="L9" s="97" t="s">
        <v>54</v>
      </c>
    </row>
    <row r="10" spans="1:13">
      <c r="A10" s="162" t="s">
        <v>124</v>
      </c>
      <c r="B10" s="22" t="s">
        <v>3</v>
      </c>
      <c r="C10" s="138">
        <v>0.06</v>
      </c>
      <c r="D10" s="138">
        <v>0.1</v>
      </c>
      <c r="E10" s="138">
        <v>0.1</v>
      </c>
      <c r="F10" s="138">
        <v>0.1</v>
      </c>
      <c r="G10" s="138">
        <v>0.1</v>
      </c>
    </row>
    <row r="11" spans="1:13">
      <c r="A11" s="163"/>
      <c r="B11" s="14" t="s">
        <v>4</v>
      </c>
      <c r="C11" s="139">
        <v>0.06</v>
      </c>
      <c r="D11" s="139">
        <v>7.0000000000000007E-2</v>
      </c>
      <c r="E11" s="139">
        <v>7.0000000000000007E-2</v>
      </c>
      <c r="F11" s="139">
        <v>7.0000000000000007E-2</v>
      </c>
      <c r="G11" s="139">
        <v>7.0000000000000007E-2</v>
      </c>
      <c r="I11" s="172" t="str">
        <f>A2&amp;" ("&amp;B2&amp;")"</f>
        <v>Caterpillar (CAT)</v>
      </c>
      <c r="J11" s="173"/>
      <c r="K11" s="173"/>
      <c r="L11" s="174"/>
    </row>
    <row r="12" spans="1:13">
      <c r="A12" s="1" t="s">
        <v>62</v>
      </c>
      <c r="B12" s="14"/>
      <c r="C12" s="25">
        <v>-0.2</v>
      </c>
      <c r="D12" s="25">
        <v>0.1</v>
      </c>
      <c r="E12" s="25">
        <v>0.2</v>
      </c>
      <c r="F12" s="25">
        <v>0.45</v>
      </c>
      <c r="G12" s="25">
        <v>0.45</v>
      </c>
      <c r="I12" s="175" t="str">
        <f ca="1">"$"&amp;ROUND(F21/G4,0)&amp;" Scenario"</f>
        <v>$64 Scenario</v>
      </c>
      <c r="J12" s="176"/>
      <c r="K12" s="176"/>
      <c r="L12" s="177"/>
    </row>
    <row r="13" spans="1:13">
      <c r="A13" s="67" t="s">
        <v>10</v>
      </c>
      <c r="B13" s="26">
        <v>0</v>
      </c>
      <c r="I13" s="73" t="s">
        <v>16</v>
      </c>
      <c r="K13" s="74"/>
      <c r="L13" s="65" t="s">
        <v>4</v>
      </c>
    </row>
    <row r="14" spans="1:13">
      <c r="B14" s="2"/>
      <c r="I14" s="71" t="s">
        <v>17</v>
      </c>
      <c r="K14" s="72"/>
      <c r="L14" s="65" t="s">
        <v>3</v>
      </c>
    </row>
    <row r="15" spans="1:13" ht="15" thickBot="1">
      <c r="A15" s="161" t="s">
        <v>97</v>
      </c>
      <c r="B15" s="161"/>
      <c r="C15" s="161"/>
      <c r="D15" s="3"/>
      <c r="E15" s="161" t="s">
        <v>98</v>
      </c>
      <c r="F15" s="161"/>
      <c r="G15" s="161"/>
      <c r="I15" s="75" t="s">
        <v>118</v>
      </c>
      <c r="J15" s="76"/>
      <c r="K15" s="76"/>
      <c r="L15" s="66" t="s">
        <v>4</v>
      </c>
    </row>
    <row r="16" spans="1:13">
      <c r="A16" s="67" t="s">
        <v>11</v>
      </c>
      <c r="B16" s="27">
        <v>5</v>
      </c>
      <c r="C16" t="s">
        <v>12</v>
      </c>
      <c r="E16" s="28" t="s">
        <v>14</v>
      </c>
      <c r="G16" s="32">
        <v>2.5000000000000001E-2</v>
      </c>
      <c r="I16" s="49" t="s">
        <v>117</v>
      </c>
      <c r="K16" s="3"/>
      <c r="L16" s="57">
        <f>(F26/G3)^0.2-1</f>
        <v>-2.5238771722326692E-2</v>
      </c>
    </row>
    <row r="17" spans="1:12">
      <c r="A17" s="182" t="s">
        <v>59</v>
      </c>
      <c r="B17" s="21" t="s">
        <v>3</v>
      </c>
      <c r="C17" s="23">
        <v>0.1</v>
      </c>
      <c r="D17" s="37">
        <f>IF(C17=B$4,C17-0.0001,C17)</f>
        <v>9.9900000000000003E-2</v>
      </c>
      <c r="E17" s="28" t="s">
        <v>15</v>
      </c>
      <c r="G17" s="32">
        <v>2.5000000000000001E-2</v>
      </c>
      <c r="I17" s="71" t="s">
        <v>116</v>
      </c>
      <c r="K17" s="72"/>
      <c r="L17" s="54">
        <f>SUM(B29:F29)/SUM(B26:F26)</f>
        <v>7.0124787199951202E-2</v>
      </c>
    </row>
    <row r="18" spans="1:12">
      <c r="A18" s="183"/>
      <c r="B18" s="15" t="s">
        <v>4</v>
      </c>
      <c r="C18" s="24">
        <v>0</v>
      </c>
      <c r="D18" s="37">
        <f>IF(C18=B$4,C18-0.0001,C18)</f>
        <v>0</v>
      </c>
      <c r="G18" s="11"/>
      <c r="I18" s="75" t="s">
        <v>119</v>
      </c>
      <c r="K18" s="28"/>
      <c r="L18" s="56">
        <f ca="1">(F21/G4)/G2-1</f>
        <v>-0.31980814927215362</v>
      </c>
    </row>
    <row r="19" spans="1:12">
      <c r="C19" s="3"/>
      <c r="D19" s="3"/>
      <c r="E19" s="3"/>
      <c r="F19" s="3"/>
      <c r="J19" s="55"/>
      <c r="K19" s="55"/>
      <c r="L19" s="55"/>
    </row>
    <row r="20" spans="1:12" ht="15" thickBot="1">
      <c r="A20" s="59" t="s">
        <v>7</v>
      </c>
      <c r="B20" s="64" t="s">
        <v>92</v>
      </c>
      <c r="C20" s="64" t="s">
        <v>93</v>
      </c>
      <c r="D20" s="64" t="s">
        <v>94</v>
      </c>
      <c r="E20" s="64" t="s">
        <v>95</v>
      </c>
      <c r="F20" s="64" t="s">
        <v>8</v>
      </c>
      <c r="I20" s="178" t="s">
        <v>123</v>
      </c>
      <c r="J20" s="179"/>
      <c r="K20" s="179"/>
      <c r="L20" s="180"/>
    </row>
    <row r="21" spans="1:12">
      <c r="A21" s="16" t="s">
        <v>13</v>
      </c>
      <c r="B21" s="17">
        <f ca="1">SUM(B43:F43)</f>
        <v>11864.65764017754</v>
      </c>
      <c r="C21" s="17">
        <f ca="1">B54*F43</f>
        <v>5858.309818342067</v>
      </c>
      <c r="D21" s="17">
        <f ca="1">B51*B50</f>
        <v>19685.423355200262</v>
      </c>
      <c r="E21" s="17">
        <f>B13</f>
        <v>0</v>
      </c>
      <c r="F21" s="17">
        <f ca="1">B21+C21+D21+E21</f>
        <v>37408.390813719874</v>
      </c>
      <c r="I21" s="101"/>
      <c r="J21" s="102"/>
      <c r="K21" s="69" t="s">
        <v>120</v>
      </c>
      <c r="L21" s="70" t="s">
        <v>121</v>
      </c>
    </row>
    <row r="22" spans="1:12">
      <c r="A22" s="16" t="s">
        <v>9</v>
      </c>
      <c r="B22" s="60">
        <f ca="1">IFERROR(B21/$F21,"")</f>
        <v>0.31716567812978652</v>
      </c>
      <c r="C22" s="60">
        <f ca="1">IFERROR(C21/$F21,"")</f>
        <v>0.15660416529313734</v>
      </c>
      <c r="D22" s="60">
        <f ca="1">IFERROR(D21/$F21,"")</f>
        <v>0.52623015657707606</v>
      </c>
      <c r="E22" s="60">
        <f ca="1">IFERROR(E21/$F21,"")</f>
        <v>0</v>
      </c>
      <c r="F22" s="60">
        <v>1</v>
      </c>
      <c r="I22" s="100" t="s">
        <v>122</v>
      </c>
      <c r="J22" s="15"/>
      <c r="K22" s="103">
        <v>0.23499999999999999</v>
      </c>
      <c r="L22" s="104">
        <v>0.24</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42735</v>
      </c>
      <c r="C25" s="33">
        <f t="shared" ref="C25:F25" si="0">DATE(YEAR($B$3)+C24,MONTH($B$3),DAY($B$3))</f>
        <v>43100</v>
      </c>
      <c r="D25" s="33">
        <f t="shared" si="0"/>
        <v>43465</v>
      </c>
      <c r="E25" s="33">
        <f t="shared" si="0"/>
        <v>43830</v>
      </c>
      <c r="F25" s="33">
        <f t="shared" si="0"/>
        <v>44196</v>
      </c>
      <c r="I25" s="9" t="s">
        <v>57</v>
      </c>
      <c r="L25" s="9">
        <v>26.29</v>
      </c>
    </row>
    <row r="26" spans="1:12" hidden="1">
      <c r="A26" t="s">
        <v>37</v>
      </c>
      <c r="B26" s="30">
        <f>(CHOOSE($B36,C8,C9)+1)*G3</f>
        <v>38219.942999999999</v>
      </c>
      <c r="C26" s="30">
        <f>(CHOOSE($B36,D8,D9)+1)*B26</f>
        <v>38984.34186</v>
      </c>
      <c r="D26" s="30">
        <f>(CHOOSE($B36,E8,E9)+1)*C26</f>
        <v>39764.028697200003</v>
      </c>
      <c r="E26" s="30">
        <f>(CHOOSE($B36,F8,F9)+1)*D26</f>
        <v>40559.309271144004</v>
      </c>
      <c r="F26" s="30">
        <f>(CHOOSE($B36,G8,G9)+1)*E26</f>
        <v>41370.495456566881</v>
      </c>
    </row>
    <row r="27" spans="1:12" hidden="1">
      <c r="A27" t="s">
        <v>71</v>
      </c>
      <c r="B27" s="58">
        <f>CHOOSE($B37,C10,C11)*B26</f>
        <v>2293.1965799999998</v>
      </c>
      <c r="C27" s="5">
        <f>CHOOSE($B37,D10,D11)*C26</f>
        <v>3898.4341860000004</v>
      </c>
      <c r="D27" s="5">
        <f>CHOOSE($B37,E10,E11)*D26</f>
        <v>3976.4028697200006</v>
      </c>
      <c r="E27" s="5">
        <f>CHOOSE($B37,F10,F11)*E26</f>
        <v>4055.9309271144007</v>
      </c>
      <c r="F27" s="5">
        <f>CHOOSE($B37,G10,G11)*F26</f>
        <v>4137.0495456566887</v>
      </c>
    </row>
    <row r="28" spans="1:12" hidden="1">
      <c r="A28" t="s">
        <v>72</v>
      </c>
      <c r="B28" s="58">
        <f>-C12*B27</f>
        <v>458.63931600000001</v>
      </c>
      <c r="C28" s="58">
        <f t="shared" ref="C28:E28" si="1">-D12*C27</f>
        <v>-389.84341860000006</v>
      </c>
      <c r="D28" s="58">
        <f t="shared" si="1"/>
        <v>-795.28057394400014</v>
      </c>
      <c r="E28" s="58">
        <f t="shared" si="1"/>
        <v>-1825.1689172014803</v>
      </c>
      <c r="F28" s="58">
        <f>-G12*F27</f>
        <v>-1861.67229554551</v>
      </c>
    </row>
    <row r="29" spans="1:12" ht="15" hidden="1" thickBot="1">
      <c r="A29" t="s">
        <v>73</v>
      </c>
      <c r="B29" s="4">
        <f>B27+B28</f>
        <v>2751.8358959999996</v>
      </c>
      <c r="C29" s="4">
        <f>C27+C28</f>
        <v>3508.5907674000005</v>
      </c>
      <c r="D29" s="4">
        <f>D27+D28</f>
        <v>3181.1222957760006</v>
      </c>
      <c r="E29" s="4">
        <f>E27+E28</f>
        <v>2230.7620099129203</v>
      </c>
      <c r="F29" s="4">
        <f>F27+F28</f>
        <v>2275.3772501111789</v>
      </c>
    </row>
    <row r="30" spans="1:12" ht="1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81" t="s">
        <v>35</v>
      </c>
      <c r="B41" s="181"/>
      <c r="C41" s="181"/>
      <c r="D41" s="181"/>
      <c r="E41" s="181"/>
      <c r="F41" s="181"/>
    </row>
    <row r="42" spans="1:16" hidden="1">
      <c r="A42" t="s">
        <v>21</v>
      </c>
      <c r="B42" s="19">
        <f ca="1">B25-TODAY()</f>
        <v>-48</v>
      </c>
      <c r="C42" s="19">
        <f ca="1">C25-TODAY()</f>
        <v>317</v>
      </c>
      <c r="D42" s="19">
        <f ca="1">D25-TODAY()</f>
        <v>682</v>
      </c>
      <c r="E42" s="19">
        <f ca="1">E25-TODAY()</f>
        <v>1047</v>
      </c>
      <c r="F42" s="19">
        <f ca="1">F25-TODAY()</f>
        <v>1413</v>
      </c>
      <c r="P42" s="38"/>
    </row>
    <row r="43" spans="1:16" hidden="1">
      <c r="A43" t="s">
        <v>22</v>
      </c>
      <c r="B43" s="17">
        <f ca="1">B29*EXP(-$B$4*B42/365.25)</f>
        <v>2788.2383238508269</v>
      </c>
      <c r="C43" s="17">
        <f ca="1">C29*EXP(-$B$4*C42/365.25)</f>
        <v>3216.9206951093106</v>
      </c>
      <c r="D43" s="17">
        <f ca="1">D29*EXP(-$B$4*D42/365.25)</f>
        <v>2639.2971061747194</v>
      </c>
      <c r="E43" s="17">
        <f ca="1">E29*EXP(-$B$4*E42/365.25)</f>
        <v>1674.7941432489245</v>
      </c>
      <c r="F43" s="17">
        <f ca="1">F29*EXP(-$B$4*F42/365.25)</f>
        <v>1545.4073717937592</v>
      </c>
      <c r="O43" s="39"/>
    </row>
    <row r="44" spans="1:16" hidden="1"/>
    <row r="45" spans="1:16" hidden="1">
      <c r="A45" s="6" t="s">
        <v>26</v>
      </c>
      <c r="B45">
        <f>MONTH(B3)</f>
        <v>12</v>
      </c>
    </row>
    <row r="46" spans="1:16" hidden="1">
      <c r="A46" s="6" t="s">
        <v>27</v>
      </c>
      <c r="B46">
        <f>DAY(B3)</f>
        <v>31</v>
      </c>
    </row>
    <row r="47" spans="1:16" hidden="1">
      <c r="A47" s="6" t="s">
        <v>23</v>
      </c>
      <c r="B47">
        <f>YEAR(F25)+B16</f>
        <v>2025</v>
      </c>
    </row>
    <row r="48" spans="1:16" hidden="1">
      <c r="A48" s="6" t="s">
        <v>28</v>
      </c>
      <c r="B48">
        <f ca="1">DATE(B47,B45,B46)-TODAY()</f>
        <v>3239</v>
      </c>
      <c r="C48" s="34"/>
    </row>
    <row r="49" spans="1:7" hidden="1">
      <c r="A49" s="6" t="s">
        <v>24</v>
      </c>
      <c r="B49" s="17">
        <f>F29*EXP(CHOOSE(B38,C17,C18)*B16)</f>
        <v>2275.3772501111789</v>
      </c>
    </row>
    <row r="50" spans="1:7" hidden="1">
      <c r="A50" s="6" t="s">
        <v>29</v>
      </c>
      <c r="B50" s="17">
        <f ca="1">B49*EXP(-B4*B48/365.25)</f>
        <v>937.40111215239347</v>
      </c>
    </row>
    <row r="51" spans="1:7" hidden="1">
      <c r="A51" s="6" t="s">
        <v>31</v>
      </c>
      <c r="B51" s="17">
        <f>(1+SUM(G16,G17))/(B4-SUM(G16,G17))</f>
        <v>21</v>
      </c>
    </row>
    <row r="52" spans="1:7" hidden="1">
      <c r="A52" s="6" t="s">
        <v>32</v>
      </c>
      <c r="B52" s="18">
        <f>(1+CHOOSE(B38,D17,D18))/(B4-(CHOOSE(B38,D17,D18)))</f>
        <v>10</v>
      </c>
      <c r="F52" s="38"/>
    </row>
    <row r="53" spans="1:7" hidden="1">
      <c r="A53" s="6" t="s">
        <v>33</v>
      </c>
      <c r="B53" s="38">
        <f>1-(((1+CHOOSE(B38,D17,D18))/(1+B4))^B16)</f>
        <v>0.37907867694084496</v>
      </c>
      <c r="F53" s="39"/>
    </row>
    <row r="54" spans="1:7" hidden="1">
      <c r="A54" s="6" t="s">
        <v>30</v>
      </c>
      <c r="B54" s="36">
        <f>B52*B53</f>
        <v>3.7907867694084496</v>
      </c>
    </row>
    <row r="55" spans="1:7" hidden="1"/>
    <row r="56" spans="1:7" hidden="1"/>
    <row r="57" spans="1:7" hidden="1">
      <c r="A57" s="41" t="s">
        <v>36</v>
      </c>
    </row>
    <row r="58" spans="1:7" hidden="1">
      <c r="A58" t="s">
        <v>37</v>
      </c>
      <c r="B58" s="18">
        <f>$G$3*(1+C$9)</f>
        <v>38219.942999999999</v>
      </c>
      <c r="C58" s="18">
        <f>B58*(1+D$9)</f>
        <v>38984.34186</v>
      </c>
      <c r="D58" s="18">
        <f>C58*(1+E$9)</f>
        <v>39764.028697200003</v>
      </c>
      <c r="E58" s="18">
        <f>D58*(1+F$9)</f>
        <v>40559.309271144004</v>
      </c>
      <c r="F58" s="18">
        <f>E58*(1+G$9)</f>
        <v>41370.495456566881</v>
      </c>
    </row>
    <row r="59" spans="1:7" hidden="1">
      <c r="A59" t="s">
        <v>38</v>
      </c>
      <c r="B59" s="18">
        <f>B58*C$11</f>
        <v>2293.1965799999998</v>
      </c>
      <c r="C59" s="18">
        <f>C58*D$11</f>
        <v>2728.9039302000001</v>
      </c>
      <c r="D59" s="18">
        <f>D58*E$11</f>
        <v>2783.4820088040005</v>
      </c>
      <c r="E59" s="18">
        <f>E58*F$11</f>
        <v>2839.1516489800806</v>
      </c>
      <c r="F59" s="18">
        <f>F58*G$11</f>
        <v>2895.9346819596822</v>
      </c>
    </row>
    <row r="60" spans="1:7" hidden="1">
      <c r="B60" s="20">
        <f>B59/B58</f>
        <v>0.06</v>
      </c>
      <c r="C60" s="20">
        <f>C59/C58</f>
        <v>7.0000000000000007E-2</v>
      </c>
      <c r="D60" s="20">
        <f>D59/D58</f>
        <v>7.0000000000000007E-2</v>
      </c>
      <c r="E60" s="20">
        <f>E59/E58</f>
        <v>7.0000000000000007E-2</v>
      </c>
      <c r="F60" s="20">
        <f>F59/F58</f>
        <v>7.0000000000000007E-2</v>
      </c>
    </row>
    <row r="61" spans="1:7" hidden="1">
      <c r="A61" t="s">
        <v>39</v>
      </c>
      <c r="B61" s="38">
        <f t="shared" ref="B61:E61" si="2">B59-(C$12*B59)</f>
        <v>2751.8358959999996</v>
      </c>
      <c r="C61" s="38">
        <f t="shared" si="2"/>
        <v>2456.0135371800002</v>
      </c>
      <c r="D61" s="38">
        <f t="shared" si="2"/>
        <v>2226.7856070432003</v>
      </c>
      <c r="E61" s="38">
        <f t="shared" si="2"/>
        <v>1561.5334069390442</v>
      </c>
      <c r="F61" s="38">
        <f>F59-(G$12*F59)</f>
        <v>1592.7640750778251</v>
      </c>
    </row>
    <row r="62" spans="1:7" hidden="1">
      <c r="A62" t="s">
        <v>42</v>
      </c>
      <c r="B62" s="18">
        <f ca="1">B61*EXP(-$B$4*B$42/365.25)</f>
        <v>2788.2383238508269</v>
      </c>
      <c r="C62" s="18">
        <f ca="1">C61*EXP(-$B$4*C$42/365.25)</f>
        <v>2251.8444865765173</v>
      </c>
      <c r="D62" s="18">
        <f ca="1">D61*EXP(-$B$4*D$42/365.25)</f>
        <v>1847.5079743223037</v>
      </c>
      <c r="E62" s="18">
        <f ca="1">E61*EXP(-$B$4*E$42/365.25)</f>
        <v>1172.355900274247</v>
      </c>
      <c r="F62" s="18">
        <f ca="1">F61*EXP(-$B$4*F$42/365.25)</f>
        <v>1081.7851602556314</v>
      </c>
      <c r="G62" s="18">
        <f ca="1">SUM(B62:F62)</f>
        <v>9141.7318452795262</v>
      </c>
    </row>
    <row r="63" spans="1:7" hidden="1">
      <c r="A63" t="s">
        <v>41</v>
      </c>
      <c r="F63" s="38">
        <f>((1+$D$18)/($B$4-$D$18)*(1-(((1+$D$18)/(1+$B$4))^$B$16)))</f>
        <v>3.7907867694084496</v>
      </c>
      <c r="G63" s="18">
        <f ca="1">F63*F62</f>
        <v>4100.8168728394467</v>
      </c>
    </row>
    <row r="64" spans="1:7" hidden="1">
      <c r="A64" t="s">
        <v>40</v>
      </c>
      <c r="B64" s="38"/>
      <c r="F64" s="18">
        <f>F61*EXP($C$18*$B$16)</f>
        <v>1592.7640750778251</v>
      </c>
    </row>
    <row r="65" spans="1:7" hidden="1">
      <c r="A65" t="s">
        <v>43</v>
      </c>
      <c r="F65" s="18">
        <f ca="1">F64*EXP(-$B$4*B$48/365.25)</f>
        <v>656.18077850667532</v>
      </c>
      <c r="G65" s="42">
        <f ca="1">F65*B$51</f>
        <v>13779.796348640182</v>
      </c>
    </row>
    <row r="66" spans="1:7" hidden="1">
      <c r="A66" t="s">
        <v>44</v>
      </c>
      <c r="G66" s="18">
        <f ca="1">SUM(G62:G63,G65)</f>
        <v>27022.345066759153</v>
      </c>
    </row>
    <row r="67" spans="1:7" hidden="1">
      <c r="A67" t="s">
        <v>25</v>
      </c>
      <c r="G67" s="43">
        <f ca="1">G66/$G$4</f>
        <v>46.186312193655688</v>
      </c>
    </row>
    <row r="68" spans="1:7" hidden="1">
      <c r="G68" s="38"/>
    </row>
    <row r="69" spans="1:7" hidden="1">
      <c r="A69" s="41" t="s">
        <v>45</v>
      </c>
    </row>
    <row r="70" spans="1:7" hidden="1">
      <c r="A70" t="s">
        <v>37</v>
      </c>
      <c r="B70" s="18">
        <f>$G$3*(1+C$9)</f>
        <v>38219.942999999999</v>
      </c>
      <c r="C70" s="18">
        <f>B70*(1+D$9)</f>
        <v>38984.34186</v>
      </c>
      <c r="D70" s="18">
        <f>C70*(1+E$9)</f>
        <v>39764.028697200003</v>
      </c>
      <c r="E70" s="18">
        <f>D70*(1+F$9)</f>
        <v>40559.309271144004</v>
      </c>
      <c r="F70" s="18">
        <f>E70*(1+G$9)</f>
        <v>41370.495456566881</v>
      </c>
    </row>
    <row r="71" spans="1:7" hidden="1">
      <c r="A71" t="s">
        <v>38</v>
      </c>
      <c r="B71" s="18">
        <f>B70*C$11</f>
        <v>2293.1965799999998</v>
      </c>
      <c r="C71" s="18">
        <f>C70*D$11</f>
        <v>2728.9039302000001</v>
      </c>
      <c r="D71" s="18">
        <f>D70*E$11</f>
        <v>2783.4820088040005</v>
      </c>
      <c r="E71" s="18">
        <f>E70*F$11</f>
        <v>2839.1516489800806</v>
      </c>
      <c r="F71" s="18">
        <f>F70*G$11</f>
        <v>2895.9346819596822</v>
      </c>
    </row>
    <row r="72" spans="1:7" hidden="1">
      <c r="A72" t="s">
        <v>39</v>
      </c>
      <c r="B72" s="38">
        <f t="shared" ref="B72:E72" si="3">B71-(C$12*B71)</f>
        <v>2751.8358959999996</v>
      </c>
      <c r="C72" s="38">
        <f t="shared" si="3"/>
        <v>2456.0135371800002</v>
      </c>
      <c r="D72" s="38">
        <f t="shared" si="3"/>
        <v>2226.7856070432003</v>
      </c>
      <c r="E72" s="38">
        <f t="shared" si="3"/>
        <v>1561.5334069390442</v>
      </c>
      <c r="F72" s="38">
        <f>F71-(G$12*F71)</f>
        <v>1592.7640750778251</v>
      </c>
    </row>
    <row r="73" spans="1:7" hidden="1">
      <c r="A73" t="s">
        <v>42</v>
      </c>
      <c r="B73" s="18">
        <f ca="1">B72*EXP(-$B$4*B$42/365.25)</f>
        <v>2788.2383238508269</v>
      </c>
      <c r="C73" s="18">
        <f ca="1">C72*EXP(-$B$4*C$42/365.25)</f>
        <v>2251.8444865765173</v>
      </c>
      <c r="D73" s="18">
        <f ca="1">D72*EXP(-$B$4*D$42/365.25)</f>
        <v>1847.5079743223037</v>
      </c>
      <c r="E73" s="18">
        <f ca="1">E72*EXP(-$B$4*E$42/365.25)</f>
        <v>1172.355900274247</v>
      </c>
      <c r="F73" s="18">
        <f ca="1">F72*EXP(-$B$4*F$42/365.25)</f>
        <v>1081.7851602556314</v>
      </c>
      <c r="G73" s="18">
        <f ca="1">SUM(B73:F73)</f>
        <v>9141.7318452795262</v>
      </c>
    </row>
    <row r="74" spans="1:7" hidden="1">
      <c r="A74" t="s">
        <v>41</v>
      </c>
      <c r="F74" s="38">
        <f>((1+$D$17)/($B$4-$D$17)*(1-(((1+$D$17)/(1+$B$4))^$B$16)))</f>
        <v>4.9986365289112209</v>
      </c>
      <c r="G74" s="18">
        <f ca="1">F74*F73</f>
        <v>5407.4508184878778</v>
      </c>
    </row>
    <row r="75" spans="1:7" hidden="1">
      <c r="A75" t="s">
        <v>40</v>
      </c>
      <c r="B75" s="38"/>
      <c r="F75" s="18">
        <f>F72*EXP($C$17*$B$16)</f>
        <v>2626.0240097878259</v>
      </c>
    </row>
    <row r="76" spans="1:7" hidden="1">
      <c r="A76" t="s">
        <v>43</v>
      </c>
      <c r="F76" s="18">
        <f ca="1">F75*EXP(-$B$4*B$48/365.25)</f>
        <v>1081.8592069485251</v>
      </c>
      <c r="G76" s="42">
        <f ca="1">F76*B$51</f>
        <v>22719.043345919028</v>
      </c>
    </row>
    <row r="77" spans="1:7" hidden="1">
      <c r="A77" t="s">
        <v>44</v>
      </c>
      <c r="G77" s="18">
        <f ca="1">SUM(G73:G74,G76)</f>
        <v>37268.226009686434</v>
      </c>
    </row>
    <row r="78" spans="1:7" hidden="1">
      <c r="A78" t="s">
        <v>25</v>
      </c>
      <c r="G78" s="43">
        <f ca="1">G77/$G$4</f>
        <v>63.69846573769378</v>
      </c>
    </row>
    <row r="79" spans="1:7" hidden="1"/>
    <row r="80" spans="1:7" hidden="1">
      <c r="A80" s="41" t="s">
        <v>46</v>
      </c>
    </row>
    <row r="81" spans="1:7" hidden="1">
      <c r="A81" t="s">
        <v>37</v>
      </c>
      <c r="B81" s="18">
        <f>$G$3*(1+C$9)</f>
        <v>38219.942999999999</v>
      </c>
      <c r="C81" s="18">
        <f>B81*(1+D$9)</f>
        <v>38984.34186</v>
      </c>
      <c r="D81" s="18">
        <f>C81*(1+E$9)</f>
        <v>39764.028697200003</v>
      </c>
      <c r="E81" s="18">
        <f>D81*(1+F$9)</f>
        <v>40559.309271144004</v>
      </c>
      <c r="F81" s="18">
        <f>E81*(1+G$9)</f>
        <v>41370.495456566881</v>
      </c>
    </row>
    <row r="82" spans="1:7" hidden="1">
      <c r="A82" t="s">
        <v>38</v>
      </c>
      <c r="B82" s="18">
        <f>B81*C$10</f>
        <v>2293.1965799999998</v>
      </c>
      <c r="C82" s="18">
        <f>C81*D$10</f>
        <v>3898.4341860000004</v>
      </c>
      <c r="D82" s="18">
        <f>D81*E$10</f>
        <v>3976.4028697200006</v>
      </c>
      <c r="E82" s="18">
        <f>E81*F$10</f>
        <v>4055.9309271144007</v>
      </c>
      <c r="F82" s="18">
        <f>F81*G$10</f>
        <v>4137.0495456566887</v>
      </c>
    </row>
    <row r="83" spans="1:7" hidden="1">
      <c r="A83" t="s">
        <v>39</v>
      </c>
      <c r="B83" s="38">
        <f>B82-(C$12*B82)</f>
        <v>2751.8358959999996</v>
      </c>
      <c r="C83" s="38">
        <f t="shared" ref="C83:F83" si="4">C82-(D$12*C82)</f>
        <v>3508.5907674000005</v>
      </c>
      <c r="D83" s="38">
        <f t="shared" si="4"/>
        <v>3181.1222957760006</v>
      </c>
      <c r="E83" s="38">
        <f t="shared" si="4"/>
        <v>2230.7620099129203</v>
      </c>
      <c r="F83" s="38">
        <f t="shared" si="4"/>
        <v>2275.3772501111789</v>
      </c>
    </row>
    <row r="84" spans="1:7" hidden="1">
      <c r="A84" t="s">
        <v>42</v>
      </c>
      <c r="B84" s="18">
        <f ca="1">B83*EXP(-$B$4*B$42/365.25)</f>
        <v>2788.2383238508269</v>
      </c>
      <c r="C84" s="18">
        <f ca="1">C83*EXP(-$B$4*C$42/365.25)</f>
        <v>3216.9206951093106</v>
      </c>
      <c r="D84" s="18">
        <f ca="1">D83*EXP(-$B$4*D$42/365.25)</f>
        <v>2639.2971061747194</v>
      </c>
      <c r="E84" s="18">
        <f ca="1">E83*EXP(-$B$4*E$42/365.25)</f>
        <v>1674.7941432489245</v>
      </c>
      <c r="F84" s="18">
        <f ca="1">F83*EXP(-$B$4*F$42/365.25)</f>
        <v>1545.4073717937592</v>
      </c>
      <c r="G84" s="18">
        <f ca="1">SUM(B84:F84)</f>
        <v>11864.65764017754</v>
      </c>
    </row>
    <row r="85" spans="1:7" hidden="1">
      <c r="A85" t="s">
        <v>41</v>
      </c>
      <c r="F85" s="38">
        <f>((1+$D$18)/($B$4-$D$18)*(1-(((1+$D$18)/(1+$B$4))^$B$16)))</f>
        <v>3.7907867694084496</v>
      </c>
      <c r="G85" s="18">
        <f ca="1">F85*F84</f>
        <v>5858.309818342067</v>
      </c>
    </row>
    <row r="86" spans="1:7" hidden="1">
      <c r="A86" t="s">
        <v>40</v>
      </c>
      <c r="B86" s="38"/>
      <c r="F86" s="18">
        <f>F83*EXP($C$18*$B$16)</f>
        <v>2275.3772501111789</v>
      </c>
    </row>
    <row r="87" spans="1:7" hidden="1">
      <c r="A87" t="s">
        <v>43</v>
      </c>
      <c r="F87" s="18">
        <f ca="1">F86*EXP(-$B$4*B$48/365.25)</f>
        <v>937.40111215239347</v>
      </c>
      <c r="G87" s="42">
        <f ca="1">F87*B$51</f>
        <v>19685.423355200262</v>
      </c>
    </row>
    <row r="88" spans="1:7" hidden="1">
      <c r="A88" t="s">
        <v>44</v>
      </c>
      <c r="G88" s="18">
        <f ca="1">SUM(G84:G85,G87)</f>
        <v>37408.390813719874</v>
      </c>
    </row>
    <row r="89" spans="1:7" hidden="1">
      <c r="A89" t="s">
        <v>25</v>
      </c>
      <c r="G89" s="43">
        <f ca="1">G88/$G$4</f>
        <v>63.938033968417564</v>
      </c>
    </row>
    <row r="90" spans="1:7" hidden="1"/>
    <row r="91" spans="1:7" hidden="1">
      <c r="A91" s="41" t="s">
        <v>47</v>
      </c>
    </row>
    <row r="92" spans="1:7" hidden="1">
      <c r="A92" t="s">
        <v>37</v>
      </c>
      <c r="B92" s="18">
        <f>$G$3*(1+C$9)</f>
        <v>38219.942999999999</v>
      </c>
      <c r="C92" s="18">
        <f>B92*(1+D$9)</f>
        <v>38984.34186</v>
      </c>
      <c r="D92" s="18">
        <f>C92*(1+E$9)</f>
        <v>39764.028697200003</v>
      </c>
      <c r="E92" s="18">
        <f>D92*(1+F$9)</f>
        <v>40559.309271144004</v>
      </c>
      <c r="F92" s="18">
        <f>E92*(1+G$9)</f>
        <v>41370.495456566881</v>
      </c>
    </row>
    <row r="93" spans="1:7" hidden="1">
      <c r="A93" t="s">
        <v>38</v>
      </c>
      <c r="B93" s="18">
        <f>B92*C$10</f>
        <v>2293.1965799999998</v>
      </c>
      <c r="C93" s="18">
        <f>C92*D$10</f>
        <v>3898.4341860000004</v>
      </c>
      <c r="D93" s="18">
        <f>D92*E$10</f>
        <v>3976.4028697200006</v>
      </c>
      <c r="E93" s="18">
        <f>E92*F$10</f>
        <v>4055.9309271144007</v>
      </c>
      <c r="F93" s="18">
        <f>F92*G$10</f>
        <v>4137.0495456566887</v>
      </c>
    </row>
    <row r="94" spans="1:7" hidden="1">
      <c r="A94" t="s">
        <v>39</v>
      </c>
      <c r="B94" s="38">
        <f>B93-(C$12*B93)</f>
        <v>2751.8358959999996</v>
      </c>
      <c r="C94" s="38">
        <f t="shared" ref="C94" si="5">C93-(D$12*C93)</f>
        <v>3508.5907674000005</v>
      </c>
      <c r="D94" s="38">
        <f t="shared" ref="D94" si="6">D93-(E$12*D93)</f>
        <v>3181.1222957760006</v>
      </c>
      <c r="E94" s="38">
        <f t="shared" ref="E94" si="7">E93-(F$12*E93)</f>
        <v>2230.7620099129203</v>
      </c>
      <c r="F94" s="38">
        <f t="shared" ref="F94" si="8">F93-(G$12*F93)</f>
        <v>2275.3772501111789</v>
      </c>
    </row>
    <row r="95" spans="1:7" hidden="1">
      <c r="A95" t="s">
        <v>42</v>
      </c>
      <c r="B95" s="18">
        <f ca="1">B94*EXP(-$B$4*B$42/365.25)</f>
        <v>2788.2383238508269</v>
      </c>
      <c r="C95" s="18">
        <f ca="1">C94*EXP(-$B$4*C$42/365.25)</f>
        <v>3216.9206951093106</v>
      </c>
      <c r="D95" s="18">
        <f ca="1">D94*EXP(-$B$4*D$42/365.25)</f>
        <v>2639.2971061747194</v>
      </c>
      <c r="E95" s="18">
        <f ca="1">E94*EXP(-$B$4*E$42/365.25)</f>
        <v>1674.7941432489245</v>
      </c>
      <c r="F95" s="18">
        <f ca="1">F94*EXP(-$B$4*F$42/365.25)</f>
        <v>1545.4073717937592</v>
      </c>
      <c r="G95" s="18">
        <f ca="1">SUM(B95:F95)</f>
        <v>11864.65764017754</v>
      </c>
    </row>
    <row r="96" spans="1:7" hidden="1">
      <c r="A96" t="s">
        <v>41</v>
      </c>
      <c r="F96" s="38">
        <f>((1+$D$17)/($B$4-$D$17)*(1-(((1+$D$17)/(1+$B$4))^$B$16)))</f>
        <v>4.9986365289112209</v>
      </c>
      <c r="G96" s="18">
        <f ca="1">F96*F95</f>
        <v>7724.929740696969</v>
      </c>
    </row>
    <row r="97" spans="1:7" hidden="1">
      <c r="A97" t="s">
        <v>40</v>
      </c>
      <c r="B97" s="38"/>
      <c r="F97" s="18">
        <f>F94*EXP($C$17*$B$16)</f>
        <v>3751.4628711254663</v>
      </c>
    </row>
    <row r="98" spans="1:7" hidden="1">
      <c r="A98" t="s">
        <v>43</v>
      </c>
      <c r="F98" s="18">
        <f ca="1">F97*EXP(-$B$4*B$48/365.25)</f>
        <v>1545.5131527836074</v>
      </c>
      <c r="G98" s="42">
        <f ca="1">F98*B$51</f>
        <v>32455.776208455754</v>
      </c>
    </row>
    <row r="99" spans="1:7" hidden="1">
      <c r="A99" t="s">
        <v>44</v>
      </c>
      <c r="G99" s="18">
        <f ca="1">SUM(G95:G96,G98)</f>
        <v>52045.363589330263</v>
      </c>
    </row>
    <row r="100" spans="1:7" hidden="1">
      <c r="A100" t="s">
        <v>25</v>
      </c>
      <c r="G100" s="43">
        <f ca="1">G99/$G$4</f>
        <v>88.955396174186262</v>
      </c>
    </row>
    <row r="101" spans="1:7" hidden="1"/>
    <row r="102" spans="1:7" hidden="1">
      <c r="A102" s="41" t="s">
        <v>48</v>
      </c>
    </row>
    <row r="103" spans="1:7" hidden="1">
      <c r="A103" t="s">
        <v>37</v>
      </c>
      <c r="B103" s="18">
        <f>$G$3*(1+C$8)</f>
        <v>40899.57</v>
      </c>
      <c r="C103" s="18">
        <f>B103*(1+D$8)</f>
        <v>47034.505499999999</v>
      </c>
      <c r="D103" s="18">
        <f>C103*(1+E$8)</f>
        <v>54089.681324999998</v>
      </c>
      <c r="E103" s="18">
        <f>D103*(1+F$8)</f>
        <v>62203.133523749995</v>
      </c>
      <c r="F103" s="18">
        <f>E103*(1+G$8)</f>
        <v>71533.603552312488</v>
      </c>
    </row>
    <row r="104" spans="1:7" hidden="1">
      <c r="A104" t="s">
        <v>38</v>
      </c>
      <c r="B104" s="18">
        <f>B103*C$11</f>
        <v>2453.9742000000001</v>
      </c>
      <c r="C104" s="18">
        <f>C103*D$11</f>
        <v>3292.4153850000002</v>
      </c>
      <c r="D104" s="18">
        <f>D103*E$11</f>
        <v>3786.2776927500004</v>
      </c>
      <c r="E104" s="18">
        <f>E103*F$11</f>
        <v>4354.2193466625004</v>
      </c>
      <c r="F104" s="18">
        <f>F103*G$11</f>
        <v>5007.3522486618749</v>
      </c>
    </row>
    <row r="105" spans="1:7" hidden="1">
      <c r="A105" t="s">
        <v>39</v>
      </c>
      <c r="B105" s="38">
        <f>B104-(C$12*B104)</f>
        <v>2944.7690400000001</v>
      </c>
      <c r="C105" s="38">
        <f t="shared" ref="C105" si="9">C104-(D$12*C104)</f>
        <v>2963.1738465000003</v>
      </c>
      <c r="D105" s="38">
        <f t="shared" ref="D105" si="10">D104-(E$12*D104)</f>
        <v>3029.0221542000004</v>
      </c>
      <c r="E105" s="38">
        <f t="shared" ref="E105" si="11">E104-(F$12*E104)</f>
        <v>2394.8206406643749</v>
      </c>
      <c r="F105" s="38">
        <f t="shared" ref="F105" si="12">F104-(G$12*F104)</f>
        <v>2754.0437367640311</v>
      </c>
    </row>
    <row r="106" spans="1:7" hidden="1">
      <c r="A106" t="s">
        <v>42</v>
      </c>
      <c r="B106" s="18">
        <f ca="1">B105*EXP(-$B$4*B$42/365.25)</f>
        <v>2983.723667589446</v>
      </c>
      <c r="C106" s="18">
        <f ca="1">C105*EXP(-$B$4*C$42/365.25)</f>
        <v>2716.8444261387331</v>
      </c>
      <c r="D106" s="18">
        <f ca="1">D105*EXP(-$B$4*D$42/365.25)</f>
        <v>2513.1034467723935</v>
      </c>
      <c r="E106" s="18">
        <f ca="1">E105*EXP(-$B$4*E$42/365.25)</f>
        <v>1797.9648054311713</v>
      </c>
      <c r="F106" s="18">
        <f ca="1">F105*EXP(-$B$4*F$42/365.25)</f>
        <v>1870.5115790489701</v>
      </c>
      <c r="G106" s="18">
        <f ca="1">SUM(B106:F106)</f>
        <v>11882.147924980714</v>
      </c>
    </row>
    <row r="107" spans="1:7" hidden="1">
      <c r="A107" t="s">
        <v>41</v>
      </c>
      <c r="F107" s="38">
        <f>((1+$D$18)/($B$4-$D$18)*(1-(((1+$D$18)/(1+$B$4))^$B$16)))</f>
        <v>3.7907867694084496</v>
      </c>
      <c r="G107" s="18">
        <f ca="1">F107*F106</f>
        <v>7090.7105458841434</v>
      </c>
    </row>
    <row r="108" spans="1:7" hidden="1">
      <c r="A108" t="s">
        <v>40</v>
      </c>
      <c r="B108" s="38"/>
      <c r="F108" s="18">
        <f>F105*EXP($C$18*$B$16)</f>
        <v>2754.0437367640311</v>
      </c>
    </row>
    <row r="109" spans="1:7" hidden="1">
      <c r="A109" t="s">
        <v>43</v>
      </c>
      <c r="F109" s="18">
        <f ca="1">F108*EXP(-$B$4*B$48/365.25)</f>
        <v>1134.6002785396543</v>
      </c>
      <c r="G109" s="42">
        <f ca="1">F109*B$51</f>
        <v>23826.60584933274</v>
      </c>
    </row>
    <row r="110" spans="1:7" hidden="1">
      <c r="A110" t="s">
        <v>44</v>
      </c>
      <c r="G110" s="18">
        <f ca="1">SUM(G106:G107,G109)</f>
        <v>42799.4643201976</v>
      </c>
    </row>
    <row r="111" spans="1:7" hidden="1">
      <c r="A111" t="s">
        <v>25</v>
      </c>
      <c r="G111" s="43">
        <f ca="1">G110/$G$4</f>
        <v>73.152400945598231</v>
      </c>
    </row>
    <row r="112" spans="1:7" hidden="1"/>
    <row r="113" spans="1:7" hidden="1">
      <c r="A113" s="41" t="s">
        <v>49</v>
      </c>
    </row>
    <row r="114" spans="1:7" hidden="1">
      <c r="A114" t="s">
        <v>37</v>
      </c>
      <c r="B114" s="18">
        <f>$G$3*(1+C$8)</f>
        <v>40899.57</v>
      </c>
      <c r="C114" s="18">
        <f>B114*(1+D$8)</f>
        <v>47034.505499999999</v>
      </c>
      <c r="D114" s="18">
        <f>C114*(1+E$8)</f>
        <v>54089.681324999998</v>
      </c>
      <c r="E114" s="18">
        <f>D114*(1+F$8)</f>
        <v>62203.133523749995</v>
      </c>
      <c r="F114" s="18">
        <f>E114*(1+G$8)</f>
        <v>71533.603552312488</v>
      </c>
    </row>
    <row r="115" spans="1:7" hidden="1">
      <c r="A115" t="s">
        <v>38</v>
      </c>
      <c r="B115" s="18">
        <f>B114*C$11</f>
        <v>2453.9742000000001</v>
      </c>
      <c r="C115" s="18">
        <f>C114*D$11</f>
        <v>3292.4153850000002</v>
      </c>
      <c r="D115" s="18">
        <f>D114*E$11</f>
        <v>3786.2776927500004</v>
      </c>
      <c r="E115" s="18">
        <f>E114*F$11</f>
        <v>4354.2193466625004</v>
      </c>
      <c r="F115" s="18">
        <f>F114*G$11</f>
        <v>5007.3522486618749</v>
      </c>
    </row>
    <row r="116" spans="1:7" hidden="1">
      <c r="A116" t="s">
        <v>39</v>
      </c>
      <c r="B116" s="38">
        <f>B115-(C$12*B115)</f>
        <v>2944.7690400000001</v>
      </c>
      <c r="C116" s="38">
        <f t="shared" ref="C116" si="13">C115-(D$12*C115)</f>
        <v>2963.1738465000003</v>
      </c>
      <c r="D116" s="38">
        <f t="shared" ref="D116" si="14">D115-(E$12*D115)</f>
        <v>3029.0221542000004</v>
      </c>
      <c r="E116" s="38">
        <f t="shared" ref="E116" si="15">E115-(F$12*E115)</f>
        <v>2394.8206406643749</v>
      </c>
      <c r="F116" s="38">
        <f t="shared" ref="F116" si="16">F115-(G$12*F115)</f>
        <v>2754.0437367640311</v>
      </c>
    </row>
    <row r="117" spans="1:7" hidden="1">
      <c r="A117" t="s">
        <v>42</v>
      </c>
      <c r="B117" s="18">
        <f ca="1">B116*EXP(-$B$4*B$42/365.25)</f>
        <v>2983.723667589446</v>
      </c>
      <c r="C117" s="18">
        <f ca="1">C116*EXP(-$B$4*C$42/365.25)</f>
        <v>2716.8444261387331</v>
      </c>
      <c r="D117" s="18">
        <f ca="1">D116*EXP(-$B$4*D$42/365.25)</f>
        <v>2513.1034467723935</v>
      </c>
      <c r="E117" s="18">
        <f ca="1">E116*EXP(-$B$4*E$42/365.25)</f>
        <v>1797.9648054311713</v>
      </c>
      <c r="F117" s="18">
        <f ca="1">F116*EXP(-$B$4*F$42/365.25)</f>
        <v>1870.5115790489701</v>
      </c>
      <c r="G117" s="18">
        <f ca="1">SUM(B117:F117)</f>
        <v>11882.147924980714</v>
      </c>
    </row>
    <row r="118" spans="1:7" hidden="1">
      <c r="A118" t="s">
        <v>41</v>
      </c>
      <c r="F118" s="38">
        <f>((1+$D$17)/($B$4-$D$17)*(1-(((1+$D$17)/(1+$B$4))^$B$16)))</f>
        <v>4.9986365289112209</v>
      </c>
      <c r="G118" s="18">
        <f ca="1">F118*F117</f>
        <v>9350.0075067855905</v>
      </c>
    </row>
    <row r="119" spans="1:7" hidden="1">
      <c r="A119" t="s">
        <v>40</v>
      </c>
      <c r="B119" s="38"/>
      <c r="F119" s="18">
        <f>F116*EXP($C$17*$B$16)</f>
        <v>4540.6504892413232</v>
      </c>
    </row>
    <row r="120" spans="1:7" hidden="1">
      <c r="A120" t="s">
        <v>43</v>
      </c>
      <c r="F120" s="18">
        <f ca="1">F119*EXP(-$B$4*B$48/365.25)</f>
        <v>1870.6396129706184</v>
      </c>
      <c r="G120" s="42">
        <f ca="1">F120*B$51</f>
        <v>39283.431872382986</v>
      </c>
    </row>
    <row r="121" spans="1:7" hidden="1">
      <c r="A121" t="s">
        <v>44</v>
      </c>
      <c r="G121" s="18">
        <f ca="1">SUM(G117:G118,G120)</f>
        <v>60515.587304149289</v>
      </c>
    </row>
    <row r="122" spans="1:7" hidden="1">
      <c r="A122" t="s">
        <v>25</v>
      </c>
      <c r="G122" s="43">
        <f ca="1">G121/$G$4</f>
        <v>103.43261478257315</v>
      </c>
    </row>
    <row r="123" spans="1:7" hidden="1"/>
    <row r="124" spans="1:7" hidden="1">
      <c r="A124" s="41" t="s">
        <v>50</v>
      </c>
    </row>
    <row r="125" spans="1:7" hidden="1">
      <c r="A125" t="s">
        <v>37</v>
      </c>
      <c r="B125" s="18">
        <f>$G$3*(1+C$8)</f>
        <v>40899.57</v>
      </c>
      <c r="C125" s="18">
        <f>B125*(1+D$8)</f>
        <v>47034.505499999999</v>
      </c>
      <c r="D125" s="18">
        <f>C125*(1+E$8)</f>
        <v>54089.681324999998</v>
      </c>
      <c r="E125" s="18">
        <f>D125*(1+F$8)</f>
        <v>62203.133523749995</v>
      </c>
      <c r="F125" s="18">
        <f>E125*(1+G$8)</f>
        <v>71533.603552312488</v>
      </c>
    </row>
    <row r="126" spans="1:7" hidden="1">
      <c r="A126" t="s">
        <v>38</v>
      </c>
      <c r="B126" s="18">
        <f>B125*C$10</f>
        <v>2453.9742000000001</v>
      </c>
      <c r="C126" s="18">
        <f>C125*D$10</f>
        <v>4703.4505500000005</v>
      </c>
      <c r="D126" s="18">
        <f>D125*E$10</f>
        <v>5408.9681325000001</v>
      </c>
      <c r="E126" s="18">
        <f>E125*F$10</f>
        <v>6220.3133523750002</v>
      </c>
      <c r="F126" s="18">
        <f>F125*G$10</f>
        <v>7153.3603552312488</v>
      </c>
    </row>
    <row r="127" spans="1:7" hidden="1">
      <c r="A127" t="s">
        <v>39</v>
      </c>
      <c r="B127" s="38">
        <f>B126-(C$12*B126)</f>
        <v>2944.7690400000001</v>
      </c>
      <c r="C127" s="38">
        <f t="shared" ref="C127" si="17">C126-(D$12*C126)</f>
        <v>4233.1054950000007</v>
      </c>
      <c r="D127" s="38">
        <f t="shared" ref="D127" si="18">D126-(E$12*D126)</f>
        <v>4327.1745060000003</v>
      </c>
      <c r="E127" s="38">
        <f t="shared" ref="E127" si="19">E126-(F$12*E126)</f>
        <v>3421.17234380625</v>
      </c>
      <c r="F127" s="38">
        <f t="shared" ref="F127" si="20">F126-(G$12*F126)</f>
        <v>3934.3481953771866</v>
      </c>
    </row>
    <row r="128" spans="1:7" hidden="1">
      <c r="A128" t="s">
        <v>42</v>
      </c>
      <c r="B128" s="18">
        <f ca="1">B127*EXP(-$B$4*B$42/365.25)</f>
        <v>2983.723667589446</v>
      </c>
      <c r="C128" s="18">
        <f ca="1">C127*EXP(-$B$4*C$42/365.25)</f>
        <v>3881.2063230553331</v>
      </c>
      <c r="D128" s="18">
        <f ca="1">D127*EXP(-$B$4*D$42/365.25)</f>
        <v>3590.1477811034188</v>
      </c>
      <c r="E128" s="18">
        <f ca="1">E127*EXP(-$B$4*E$42/365.25)</f>
        <v>2568.521150615959</v>
      </c>
      <c r="F128" s="18">
        <f ca="1">F127*EXP(-$B$4*F$42/365.25)</f>
        <v>2672.1593986413855</v>
      </c>
      <c r="G128" s="18">
        <f ca="1">SUM(B128:F128)</f>
        <v>15695.758321005542</v>
      </c>
    </row>
    <row r="129" spans="1:11" hidden="1">
      <c r="A129" t="s">
        <v>41</v>
      </c>
      <c r="F129" s="38">
        <f>((1+$D$18)/($B$4-$D$18)*(1-(((1+$D$18)/(1+$B$4))^$B$16)))</f>
        <v>3.7907867694084496</v>
      </c>
      <c r="G129" s="18">
        <f ca="1">F129*F128</f>
        <v>10129.586494120203</v>
      </c>
    </row>
    <row r="130" spans="1:11" hidden="1">
      <c r="A130" t="s">
        <v>40</v>
      </c>
      <c r="B130" s="38"/>
      <c r="F130" s="18">
        <f>F127*EXP($C$18*$B$16)</f>
        <v>3934.3481953771866</v>
      </c>
    </row>
    <row r="131" spans="1:11" hidden="1">
      <c r="A131" t="s">
        <v>43</v>
      </c>
      <c r="F131" s="18">
        <f ca="1">F130*EXP(-$B$4*B$48/365.25)</f>
        <v>1620.8575407709343</v>
      </c>
      <c r="G131" s="42">
        <f ca="1">F131*B$51</f>
        <v>34038.008356189617</v>
      </c>
    </row>
    <row r="132" spans="1:11" hidden="1">
      <c r="A132" t="s">
        <v>44</v>
      </c>
      <c r="G132" s="18">
        <f ca="1">SUM(G128:G129,G131)</f>
        <v>59863.353171315364</v>
      </c>
    </row>
    <row r="133" spans="1:11" hidden="1">
      <c r="A133" t="s">
        <v>25</v>
      </c>
      <c r="G133" s="43">
        <f ca="1">G132/$G$4</f>
        <v>102.31782296091581</v>
      </c>
    </row>
    <row r="134" spans="1:11" hidden="1"/>
    <row r="135" spans="1:11" hidden="1">
      <c r="A135" s="41" t="s">
        <v>49</v>
      </c>
    </row>
    <row r="136" spans="1:11" hidden="1">
      <c r="A136" t="s">
        <v>37</v>
      </c>
      <c r="B136" s="18">
        <f>$G$3*(1+C$8)</f>
        <v>40899.57</v>
      </c>
      <c r="C136" s="18">
        <f>B136*(1+D$8)</f>
        <v>47034.505499999999</v>
      </c>
      <c r="D136" s="18">
        <f>C136*(1+E$8)</f>
        <v>54089.681324999998</v>
      </c>
      <c r="E136" s="18">
        <f>D136*(1+F$8)</f>
        <v>62203.133523749995</v>
      </c>
      <c r="F136" s="18">
        <f>E136*(1+G$8)</f>
        <v>71533.603552312488</v>
      </c>
    </row>
    <row r="137" spans="1:11" hidden="1">
      <c r="A137" t="s">
        <v>38</v>
      </c>
      <c r="B137" s="18">
        <f>B136*C$10</f>
        <v>2453.9742000000001</v>
      </c>
      <c r="C137" s="18">
        <f>C136*D$10</f>
        <v>4703.4505500000005</v>
      </c>
      <c r="D137" s="18">
        <f>D136*E$10</f>
        <v>5408.9681325000001</v>
      </c>
      <c r="E137" s="18">
        <f>E136*F$10</f>
        <v>6220.3133523750002</v>
      </c>
      <c r="F137" s="18">
        <f>F136*G$10</f>
        <v>7153.3603552312488</v>
      </c>
    </row>
    <row r="138" spans="1:11" hidden="1">
      <c r="A138" t="s">
        <v>39</v>
      </c>
      <c r="B138" s="38">
        <f>B137-(C$12*B137)</f>
        <v>2944.7690400000001</v>
      </c>
      <c r="C138" s="38">
        <f t="shared" ref="C138" si="21">C137-(D$12*C137)</f>
        <v>4233.1054950000007</v>
      </c>
      <c r="D138" s="38">
        <f t="shared" ref="D138" si="22">D137-(E$12*D137)</f>
        <v>4327.1745060000003</v>
      </c>
      <c r="E138" s="38">
        <f t="shared" ref="E138" si="23">E137-(F$12*E137)</f>
        <v>3421.17234380625</v>
      </c>
      <c r="F138" s="38">
        <f t="shared" ref="F138" si="24">F137-(G$12*F137)</f>
        <v>3934.3481953771866</v>
      </c>
    </row>
    <row r="139" spans="1:11" hidden="1">
      <c r="A139" t="s">
        <v>42</v>
      </c>
      <c r="B139" s="18">
        <f ca="1">B138*EXP(-$B$4*B$42/365.25)</f>
        <v>2983.723667589446</v>
      </c>
      <c r="C139" s="18">
        <f ca="1">C138*EXP(-$B$4*C$42/365.25)</f>
        <v>3881.2063230553331</v>
      </c>
      <c r="D139" s="18">
        <f ca="1">D138*EXP(-$B$4*D$42/365.25)</f>
        <v>3590.1477811034188</v>
      </c>
      <c r="E139" s="18">
        <f ca="1">E138*EXP(-$B$4*E$42/365.25)</f>
        <v>2568.521150615959</v>
      </c>
      <c r="F139" s="18">
        <f ca="1">F138*EXP(-$B$4*F$42/365.25)</f>
        <v>2672.1593986413855</v>
      </c>
      <c r="G139" s="18">
        <f ca="1">SUM(B139:F139)</f>
        <v>15695.758321005542</v>
      </c>
      <c r="H139" s="18"/>
      <c r="I139" s="18"/>
      <c r="J139" s="18"/>
      <c r="K139" s="18"/>
    </row>
    <row r="140" spans="1:11" hidden="1">
      <c r="A140" t="s">
        <v>41</v>
      </c>
      <c r="F140" s="38">
        <f>((1+$D$17)/($B$4-$D$17)*(1-(((1+$D$17)/(1+$B$4))^$B$16)))</f>
        <v>4.9986365289112209</v>
      </c>
      <c r="G140" s="18">
        <f ca="1">F140*F139</f>
        <v>13357.153581122271</v>
      </c>
    </row>
    <row r="141" spans="1:11" hidden="1">
      <c r="A141" t="s">
        <v>40</v>
      </c>
      <c r="B141" s="38"/>
      <c r="F141" s="18">
        <f>F138*EXP($C$17*$B$16)</f>
        <v>6486.6435560590317</v>
      </c>
    </row>
    <row r="142" spans="1:11" hidden="1">
      <c r="A142" t="s">
        <v>43</v>
      </c>
      <c r="F142" s="18">
        <f ca="1">F141*EXP(-$B$4*B$48/365.25)</f>
        <v>2672.3423042437398</v>
      </c>
      <c r="G142" s="42">
        <f ca="1">F142*B$51</f>
        <v>56119.188389118535</v>
      </c>
    </row>
    <row r="143" spans="1:11" hidden="1">
      <c r="A143" t="s">
        <v>44</v>
      </c>
      <c r="G143" s="18">
        <f ca="1">SUM(G139:G140,G142)</f>
        <v>85172.100291246345</v>
      </c>
    </row>
    <row r="144" spans="1:11" hidden="1">
      <c r="A144" t="s">
        <v>25</v>
      </c>
      <c r="G144" s="43">
        <f ca="1">G143/$G$4</f>
        <v>145.5752712994514</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C5" sqref="C5"/>
    </sheetView>
  </sheetViews>
  <sheetFormatPr defaultColWidth="9.15234375" defaultRowHeight="14.6"/>
  <cols>
    <col min="1" max="1" width="4.69140625" style="77" bestFit="1" customWidth="1"/>
    <col min="2" max="2" width="14.3828125" style="77" bestFit="1" customWidth="1"/>
    <col min="3" max="3" width="9.3046875" style="77" bestFit="1" customWidth="1"/>
    <col min="4" max="4" width="12.3046875" style="77" bestFit="1" customWidth="1"/>
    <col min="5" max="7" width="12.3046875" style="77" customWidth="1"/>
    <col min="8" max="8" width="16.15234375" style="77" bestFit="1" customWidth="1"/>
    <col min="9" max="10" width="12.3046875" style="77" customWidth="1"/>
    <col min="11" max="11" width="10.84375" style="77" bestFit="1" customWidth="1"/>
    <col min="12" max="12" width="10.53515625" style="77" bestFit="1" customWidth="1"/>
    <col min="13" max="14" width="9.15234375" style="77"/>
    <col min="15" max="15" width="13.84375" style="77" bestFit="1" customWidth="1"/>
    <col min="16" max="16384" width="9.15234375" style="77"/>
  </cols>
  <sheetData>
    <row r="1" spans="1:15">
      <c r="A1" s="77" t="s">
        <v>100</v>
      </c>
      <c r="B1" s="78">
        <f ca="1">MAX(C5:C12)+10</f>
        <v>155</v>
      </c>
      <c r="D1" s="77" t="s">
        <v>101</v>
      </c>
      <c r="E1" s="77">
        <v>5</v>
      </c>
    </row>
    <row r="2" spans="1:15">
      <c r="A2" s="77" t="s">
        <v>102</v>
      </c>
      <c r="B2" s="78">
        <f ca="1">MIN(C5:C12)-10</f>
        <v>36</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-2% | 7% | 0%</v>
      </c>
      <c r="C5" s="89">
        <f ca="1">'Valuation Model'!K2</f>
        <v>46</v>
      </c>
      <c r="D5" s="84">
        <f t="shared" ref="D5:D12" ca="1" si="0">IF(ABS(INDEX($K$6:$K$55,MATCH(C5,$K$6:$K$55,1)+IF(C5&gt;=MAX($K$6:$K$55),0,1),1)-C5)&lt;ABS(INDEX($K$6:$K$55,MATCH(C5,$K$6:$K$55,1))-C5),INDEX($K$6:$K$55,MATCH(C5,$K$6:$K$55,1)+IF(C5&gt;=MAX($K$6:$K$55),0,1),1),INDEX($K$6:$K$55,MATCH(C5,$K$6:$K$55,1)))</f>
        <v>46.5</v>
      </c>
      <c r="E5" s="85">
        <f>IF(H5="N",5%/COUNTIF('Valuation Model'!$L$2:$L$9,"No"),IF(G5&lt;&gt;"Y",50%/(COUNTIF('Valuation Model'!$L$2:$L$9,"Yes")-COUNTIF(G$5:G$12,"Y")),45%/(COUNTIF(G$5:G$12,"Y"))))</f>
        <v>1.2500000000000001E-2</v>
      </c>
      <c r="F5" s="79" t="s">
        <v>51</v>
      </c>
      <c r="G5" s="79" t="str">
        <f>IF(LEFT('Valuation Model'!L2,1)="M","Y","")</f>
        <v/>
      </c>
      <c r="H5" s="79" t="str">
        <f>IF(LEFT('Valuation Model'!L2,1)="M","Y",LEFT('Valuation Model'!L2,1))</f>
        <v>N</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-9.1484649682580947</v>
      </c>
      <c r="O5" s="84">
        <f ca="1">_xlfn.NORM.DIST(N5,0+0.03^3,AVERAGE('Valuation Model'!$K$22:$L$22),FALSE)/scaling</f>
        <v>0</v>
      </c>
    </row>
    <row r="6" spans="1:15" s="79" customFormat="1" ht="12">
      <c r="A6" s="82"/>
      <c r="B6" s="88" t="str">
        <f>'Valuation Model'!I3</f>
        <v>-2% | 7% | 10%</v>
      </c>
      <c r="C6" s="89">
        <f ca="1">'Valuation Model'!K3</f>
        <v>63</v>
      </c>
      <c r="D6" s="84">
        <f t="shared" ca="1" si="0"/>
        <v>62.000000000000014</v>
      </c>
      <c r="E6" s="85">
        <f>IF(H6="N",5%/COUNTIF('Valuation Model'!$L$2:$L$9,"No"),IF(G6&lt;&gt;"Y",50%/(COUNTIF('Valuation Model'!$L$2:$L$9,"Yes")-COUNTIF(G$5:G$12,"Y")),45%/(COUNTIF(G$5:G$12,"Y"))))</f>
        <v>0.125</v>
      </c>
      <c r="F6" s="79" t="s">
        <v>51</v>
      </c>
      <c r="G6" s="79" t="str">
        <f>IF(LEFT('Valuation Model'!L6,1)="M","Y","")</f>
        <v/>
      </c>
      <c r="H6" s="79" t="str">
        <f>IF(LEFT('Valuation Model'!L3,1)="M","Y",LEFT('Valuation Model'!L3,1))</f>
        <v>Y</v>
      </c>
      <c r="J6" s="86">
        <v>0.02</v>
      </c>
      <c r="K6" s="84">
        <f t="shared" ca="1" si="1"/>
        <v>3.1</v>
      </c>
      <c r="L6" s="87" t="str">
        <f t="shared" ca="1" si="2"/>
        <v/>
      </c>
      <c r="M6" s="85" t="str">
        <f t="shared" ca="1" si="3"/>
        <v/>
      </c>
      <c r="N6" s="84">
        <f ca="1">LN('Histogram Data'!K6+0.01)-LN(price)</f>
        <v>-3.4086720560788608</v>
      </c>
      <c r="O6" s="84">
        <f ca="1">_xlfn.NORM.DIST(N6,0+0.03^3,AVERAGE('Valuation Model'!$K$22:$L$22),FALSE)/scaling</f>
        <v>6.247538173465346E-46</v>
      </c>
    </row>
    <row r="7" spans="1:15" s="79" customFormat="1" ht="12">
      <c r="A7" s="82"/>
      <c r="B7" s="88" t="str">
        <f>'Valuation Model'!I4</f>
        <v>-2% | 9% | 0%</v>
      </c>
      <c r="C7" s="89">
        <f ca="1">'Valuation Model'!K4</f>
        <v>63</v>
      </c>
      <c r="D7" s="84">
        <f t="shared" ca="1" si="0"/>
        <v>62.000000000000014</v>
      </c>
      <c r="E7" s="85">
        <f>IF(H7="N",5%/COUNTIF('Valuation Model'!$L$2:$L$9,"No"),IF(G7&lt;&gt;"Y",50%/(COUNTIF('Valuation Model'!$L$2:$L$9,"Yes")-COUNTIF(G$5:G$12,"Y")),45%/(COUNTIF(G$5:G$12,"Y"))))</f>
        <v>1.2500000000000001E-2</v>
      </c>
      <c r="F7" s="79" t="s">
        <v>51</v>
      </c>
      <c r="G7" s="79" t="str">
        <f>IF(LEFT('Valuation Model'!L4,1)="M","Y","")</f>
        <v/>
      </c>
      <c r="H7" s="79" t="str">
        <f>IF(LEFT('Valuation Model'!L4,1)="M","Y",LEFT('Valuation Model'!L4,1))</f>
        <v>N</v>
      </c>
      <c r="J7" s="86">
        <f>J6+2%</f>
        <v>0.04</v>
      </c>
      <c r="K7" s="84">
        <f t="shared" ca="1" si="1"/>
        <v>6.2</v>
      </c>
      <c r="L7" s="87" t="str">
        <f t="shared" ca="1" si="2"/>
        <v/>
      </c>
      <c r="M7" s="85" t="str">
        <f t="shared" ca="1" si="3"/>
        <v/>
      </c>
      <c r="N7" s="84">
        <f ca="1">LN('Histogram Data'!K7+0.01)-LN(price)</f>
        <v>-2.7171338863246164</v>
      </c>
      <c r="O7" s="84">
        <f ca="1">_xlfn.NORM.DIST(N7,0+0.03^3,AVERAGE('Valuation Model'!$K$22:$L$22),FALSE)/scaling</f>
        <v>1.2707776514130241E-29</v>
      </c>
    </row>
    <row r="8" spans="1:15" s="79" customFormat="1" ht="12">
      <c r="A8" s="82"/>
      <c r="B8" s="88" t="str">
        <f>'Valuation Model'!I6</f>
        <v>9% | 7% | 0%</v>
      </c>
      <c r="C8" s="89">
        <f ca="1">'Valuation Model'!K6</f>
        <v>73</v>
      </c>
      <c r="D8" s="84">
        <f t="shared" ca="1" si="0"/>
        <v>74.40000000000002</v>
      </c>
      <c r="E8" s="85">
        <f>IF(H8="N",5%/COUNTIF('Valuation Model'!$L$2:$L$9,"No"),IF(G8&lt;&gt;"Y",50%/(COUNTIF('Valuation Model'!$L$2:$L$9,"Yes")-COUNTIF(G$5:G$12,"Y")),45%/(COUNTIF(G$5:G$12,"Y"))))</f>
        <v>0.125</v>
      </c>
      <c r="F8" s="79" t="s">
        <v>51</v>
      </c>
      <c r="G8" s="79" t="str">
        <f>IF(LEFT('Valuation Model'!L3,1)="M","Y","")</f>
        <v/>
      </c>
      <c r="H8" s="79" t="str">
        <f>IF(LEFT('Valuation Model'!L6,1)="M","Y",LEFT('Valuation Model'!L6,1))</f>
        <v>Y</v>
      </c>
      <c r="J8" s="86">
        <f t="shared" ref="J8:J55" si="4">J7+2%</f>
        <v>0.06</v>
      </c>
      <c r="K8" s="84">
        <f t="shared" ca="1" si="1"/>
        <v>9.2999999999999989</v>
      </c>
      <c r="L8" s="87" t="str">
        <f t="shared" ca="1" si="2"/>
        <v/>
      </c>
      <c r="M8" s="85" t="str">
        <f t="shared" ca="1" si="3"/>
        <v/>
      </c>
      <c r="N8" s="84">
        <f ca="1">LN('Histogram Data'!K8+0.01)-LN(price)</f>
        <v>-2.3122056909810285</v>
      </c>
      <c r="O8" s="84">
        <f ca="1">_xlfn.NORM.DIST(N8,0+0.03^3,AVERAGE('Valuation Model'!$K$22:$L$22),FALSE)/scaling</f>
        <v>8.7933386236262568E-22</v>
      </c>
    </row>
    <row r="9" spans="1:15" s="79" customFormat="1" ht="12">
      <c r="A9" s="82"/>
      <c r="B9" s="88" t="str">
        <f>'Valuation Model'!I5</f>
        <v>-2% | 9% | 10%</v>
      </c>
      <c r="C9" s="89">
        <f ca="1">'Valuation Model'!K5</f>
        <v>88</v>
      </c>
      <c r="D9" s="84">
        <f t="shared" ca="1" si="0"/>
        <v>86.800000000000026</v>
      </c>
      <c r="E9" s="85">
        <f>IF(H9="N",5%/COUNTIF('Valuation Model'!$L$2:$L$9,"No"),IF(G9&lt;&gt;"Y",50%/(COUNTIF('Valuation Model'!$L$2:$L$9,"Yes")-COUNTIF(G$5:G$12,"Y")),45%/(COUNTIF(G$5:G$12,"Y"))))</f>
        <v>0.125</v>
      </c>
      <c r="F9" s="79" t="s">
        <v>51</v>
      </c>
      <c r="G9" s="79" t="str">
        <f>IF(LEFT('Valuation Model'!L8,1)="M","Y","")</f>
        <v/>
      </c>
      <c r="H9" s="79" t="str">
        <f>IF(LEFT('Valuation Model'!L5,1)="M","Y",LEFT('Valuation Model'!L5,1))</f>
        <v>Y</v>
      </c>
      <c r="J9" s="86">
        <f t="shared" si="4"/>
        <v>0.08</v>
      </c>
      <c r="K9" s="84">
        <f t="shared" ca="1" si="1"/>
        <v>12.4</v>
      </c>
      <c r="L9" s="87" t="str">
        <f t="shared" ca="1" si="2"/>
        <v/>
      </c>
      <c r="M9" s="85" t="str">
        <f t="shared" ca="1" si="3"/>
        <v/>
      </c>
      <c r="N9" s="84">
        <f ca="1">LN('Histogram Data'!K9+0.01)-LN(price)</f>
        <v>-2.0247921830534881</v>
      </c>
      <c r="O9" s="84">
        <f ca="1">_xlfn.NORM.DIST(N9,0+0.03^3,AVERAGE('Valuation Model'!$K$22:$L$22),FALSE)/scaling</f>
        <v>5.532381691865541E-17</v>
      </c>
    </row>
    <row r="10" spans="1:15" s="79" customFormat="1" ht="12">
      <c r="A10" s="82"/>
      <c r="B10" s="88" t="str">
        <f>'Valuation Model'!I8</f>
        <v>9% | 9% | 0%</v>
      </c>
      <c r="C10" s="89">
        <f ca="1">'Valuation Model'!K8</f>
        <v>102</v>
      </c>
      <c r="D10" s="84">
        <f t="shared" ca="1" si="0"/>
        <v>102.30000000000004</v>
      </c>
      <c r="E10" s="85">
        <f>IF(H10="N",5%/COUNTIF('Valuation Model'!$L$2:$L$9,"No"),IF(G10&lt;&gt;"Y",50%/(COUNTIF('Valuation Model'!$L$2:$L$9,"Yes")-COUNTIF(G$5:G$12,"Y")),45%/(COUNTIF(G$5:G$12,"Y"))))</f>
        <v>0.125</v>
      </c>
      <c r="F10" s="79" t="s">
        <v>51</v>
      </c>
      <c r="G10" s="79" t="str">
        <f>IF(LEFT('Valuation Model'!L5,1)="M","Y","")</f>
        <v/>
      </c>
      <c r="H10" s="79" t="str">
        <f>IF(LEFT('Valuation Model'!L8,1)="M","Y",LEFT('Valuation Model'!L8,1))</f>
        <v>Y</v>
      </c>
      <c r="J10" s="86">
        <f t="shared" si="4"/>
        <v>0.1</v>
      </c>
      <c r="K10" s="84">
        <f t="shared" ca="1" si="1"/>
        <v>15.5</v>
      </c>
      <c r="L10" s="87" t="str">
        <f t="shared" ca="1" si="2"/>
        <v/>
      </c>
      <c r="M10" s="85" t="str">
        <f t="shared" ca="1" si="3"/>
        <v/>
      </c>
      <c r="N10" s="84">
        <f ca="1">LN('Histogram Data'!K10+0.01)-LN(price)</f>
        <v>-1.8018098050815565</v>
      </c>
      <c r="O10" s="84">
        <f ca="1">_xlfn.NORM.DIST(N10,0+0.03^3,AVERAGE('Valuation Model'!$K$22:$L$22),FALSE)/scaling</f>
        <v>1.0660401211011537E-13</v>
      </c>
    </row>
    <row r="11" spans="1:15" s="79" customFormat="1" ht="12">
      <c r="A11" s="82"/>
      <c r="B11" s="88" t="str">
        <f>'Valuation Model'!I7</f>
        <v>9% | 7% | 10%</v>
      </c>
      <c r="C11" s="89">
        <f ca="1">'Valuation Model'!K7</f>
        <v>103</v>
      </c>
      <c r="D11" s="84">
        <f t="shared" ca="1" si="0"/>
        <v>102.30000000000004</v>
      </c>
      <c r="E11" s="85">
        <f>IF(H11="N",5%/COUNTIF('Valuation Model'!$L$2:$L$9,"No"),IF(G11&lt;&gt;"Y",50%/(COUNTIF('Valuation Model'!$L$2:$L$9,"Yes")-COUNTIF(G$5:G$12,"Y")),45%/(COUNTIF(G$5:G$12,"Y"))))</f>
        <v>1.2500000000000001E-2</v>
      </c>
      <c r="F11" s="79" t="s">
        <v>51</v>
      </c>
      <c r="G11" s="79" t="str">
        <f>IF(LEFT('Valuation Model'!L7,1)="M","Y","")</f>
        <v/>
      </c>
      <c r="H11" s="79" t="str">
        <f>IF(LEFT('Valuation Model'!L7,1)="M","Y",LEFT('Valuation Model'!L7,1))</f>
        <v>N</v>
      </c>
      <c r="J11" s="86">
        <f t="shared" si="4"/>
        <v>0.12000000000000001</v>
      </c>
      <c r="K11" s="84">
        <f t="shared" ca="1" si="1"/>
        <v>18.600000000000001</v>
      </c>
      <c r="L11" s="87" t="str">
        <f t="shared" ca="1" si="2"/>
        <v/>
      </c>
      <c r="M11" s="85" t="str">
        <f t="shared" ca="1" si="3"/>
        <v/>
      </c>
      <c r="N11" s="84">
        <f ca="1">LN('Histogram Data'!K11+0.01)-LN(price)</f>
        <v>-1.6195957116158444</v>
      </c>
      <c r="O11" s="84">
        <f ca="1">_xlfn.NORM.DIST(N11,0+0.03^3,AVERAGE('Valuation Model'!$K$22:$L$22),FALSE)/scaling</f>
        <v>2.678085773306294E-11</v>
      </c>
    </row>
    <row r="12" spans="1:15" s="79" customFormat="1" ht="12">
      <c r="A12" s="82"/>
      <c r="B12" s="88" t="str">
        <f>'Valuation Model'!I9</f>
        <v>9% | 9% | 10%</v>
      </c>
      <c r="C12" s="89">
        <f ca="1">'Valuation Model'!K9</f>
        <v>145</v>
      </c>
      <c r="D12" s="84">
        <f t="shared" ca="1" si="0"/>
        <v>145.70000000000007</v>
      </c>
      <c r="E12" s="85">
        <f>IF(H12="N",5%/COUNTIF('Valuation Model'!$L$2:$L$9,"No"),IF(G12&lt;&gt;"Y",50%/(COUNTIF('Valuation Model'!$L$2:$L$9,"Yes")-COUNTIF(G$5:G$12,"Y")),45%/(COUNTIF(G$5:G$12,"Y"))))</f>
        <v>1.2500000000000001E-2</v>
      </c>
      <c r="F12" s="79" t="s">
        <v>51</v>
      </c>
      <c r="G12" s="79" t="str">
        <f>IF(LEFT('Valuation Model'!L9,1)="M","Y","")</f>
        <v/>
      </c>
      <c r="H12" s="79" t="str">
        <f>IF(LEFT('Valuation Model'!L9,1)="M","Y",LEFT('Valuation Model'!L9,1))</f>
        <v>N</v>
      </c>
      <c r="J12" s="86">
        <f t="shared" si="4"/>
        <v>0.14000000000000001</v>
      </c>
      <c r="K12" s="84">
        <f t="shared" ca="1" si="1"/>
        <v>21.700000000000003</v>
      </c>
      <c r="L12" s="87" t="str">
        <f t="shared" ca="1" si="2"/>
        <v/>
      </c>
      <c r="M12" s="85" t="str">
        <f t="shared" ca="1" si="3"/>
        <v/>
      </c>
      <c r="N12" s="84">
        <f ca="1">LN('Histogram Data'!K12+0.01)-LN(price)</f>
        <v>-1.465521798379803</v>
      </c>
      <c r="O12" s="84">
        <f ca="1">_xlfn.NORM.DIST(N12,0+0.03^3,AVERAGE('Valuation Model'!$K$22:$L$22),FALSE)/scaling</f>
        <v>1.8103345819495175E-9</v>
      </c>
    </row>
    <row r="13" spans="1:15" s="79" customFormat="1" ht="12">
      <c r="A13" s="82"/>
      <c r="J13" s="86">
        <f t="shared" si="4"/>
        <v>0.16</v>
      </c>
      <c r="K13" s="84">
        <f t="shared" ca="1" si="1"/>
        <v>24.8</v>
      </c>
      <c r="L13" s="87" t="str">
        <f t="shared" ca="1" si="2"/>
        <v/>
      </c>
      <c r="M13" s="85" t="str">
        <f t="shared" ca="1" si="3"/>
        <v/>
      </c>
      <c r="N13" s="84">
        <f ca="1">LN('Histogram Data'!K13+0.01)-LN(price)</f>
        <v>-1.332047984566294</v>
      </c>
      <c r="O13" s="84">
        <f ca="1">_xlfn.NORM.DIST(N13,0+0.03^3,AVERAGE('Valuation Model'!$K$22:$L$22),FALSE)/scaling</f>
        <v>4.9576301603409821E-8</v>
      </c>
    </row>
    <row r="14" spans="1:15" s="79" customFormat="1" ht="12">
      <c r="A14" s="82"/>
      <c r="J14" s="86">
        <f t="shared" si="4"/>
        <v>0.18</v>
      </c>
      <c r="K14" s="84">
        <f t="shared" ca="1" si="1"/>
        <v>27.9</v>
      </c>
      <c r="L14" s="87" t="str">
        <f t="shared" ca="1" si="2"/>
        <v/>
      </c>
      <c r="M14" s="85" t="str">
        <f t="shared" ca="1" si="3"/>
        <v/>
      </c>
      <c r="N14" s="84">
        <f ca="1">LN('Histogram Data'!K14+0.01)-LN(price)</f>
        <v>-1.2143097347217728</v>
      </c>
      <c r="O14" s="84">
        <f ca="1">_xlfn.NORM.DIST(N14,0+0.03^3,AVERAGE('Valuation Model'!$K$22:$L$22),FALSE)/scaling</f>
        <v>7.0705539996509819E-7</v>
      </c>
    </row>
    <row r="15" spans="1:15" s="79" customFormat="1" ht="12">
      <c r="A15" s="82"/>
      <c r="J15" s="86">
        <f t="shared" si="4"/>
        <v>0.19999999999999998</v>
      </c>
      <c r="K15" s="84">
        <f t="shared" ca="1" si="1"/>
        <v>30.999999999999996</v>
      </c>
      <c r="L15" s="87" t="str">
        <f t="shared" ca="1" si="2"/>
        <v/>
      </c>
      <c r="M15" s="85" t="str">
        <f t="shared" ca="1" si="3"/>
        <v/>
      </c>
      <c r="N15" s="84">
        <f ca="1">LN('Histogram Data'!K15+0.01)-LN(price)</f>
        <v>-1.1089850491576465</v>
      </c>
      <c r="O15" s="84">
        <f ca="1">_xlfn.NORM.DIST(N15,0+0.03^3,AVERAGE('Valuation Model'!$K$22:$L$22),FALSE)/scaling</f>
        <v>6.1872617678698045E-6</v>
      </c>
    </row>
    <row r="16" spans="1:15" s="79" customFormat="1" ht="12">
      <c r="A16" s="82"/>
      <c r="C16" s="83"/>
      <c r="D16" s="84"/>
      <c r="E16" s="85"/>
      <c r="J16" s="86">
        <f t="shared" si="4"/>
        <v>0.21999999999999997</v>
      </c>
      <c r="K16" s="84">
        <f t="shared" ca="1" si="1"/>
        <v>34.099999999999994</v>
      </c>
      <c r="L16" s="87" t="str">
        <f t="shared" ca="1" si="2"/>
        <v/>
      </c>
      <c r="M16" s="85" t="str">
        <f t="shared" ca="1" si="3"/>
        <v/>
      </c>
      <c r="N16" s="84">
        <f ca="1">LN('Histogram Data'!K16+0.01)-LN(price)</f>
        <v>-1.0137041858394498</v>
      </c>
      <c r="O16" s="84">
        <f ca="1">_xlfn.NORM.DIST(N16,0+0.03^3,AVERAGE('Valuation Model'!$K$22:$L$22),FALSE)/scaling</f>
        <v>3.7164379311245579E-5</v>
      </c>
    </row>
    <row r="17" spans="4:15" s="79" customFormat="1" ht="12">
      <c r="J17" s="86">
        <f t="shared" si="4"/>
        <v>0.23999999999999996</v>
      </c>
      <c r="K17" s="84">
        <f t="shared" ca="1" si="1"/>
        <v>37.199999999999996</v>
      </c>
      <c r="L17" s="87" t="str">
        <f t="shared" ca="1" si="2"/>
        <v/>
      </c>
      <c r="M17" s="85" t="str">
        <f t="shared" ca="1" si="3"/>
        <v/>
      </c>
      <c r="N17" s="84">
        <f ca="1">LN('Histogram Data'!K17+0.01)-LN(price)</f>
        <v>-0.92671723991147292</v>
      </c>
      <c r="O17" s="84">
        <f ca="1">_xlfn.NORM.DIST(N17,0+0.03^3,AVERAGE('Valuation Model'!$K$22:$L$22),FALSE)/scaling</f>
        <v>1.6593624742486667E-4</v>
      </c>
    </row>
    <row r="18" spans="4:15" s="79" customFormat="1" ht="12">
      <c r="D18" s="86"/>
      <c r="J18" s="86">
        <f t="shared" si="4"/>
        <v>0.25999999999999995</v>
      </c>
      <c r="K18" s="84">
        <f t="shared" ca="1" si="1"/>
        <v>40.29999999999999</v>
      </c>
      <c r="L18" s="87" t="str">
        <f t="shared" ca="1" si="2"/>
        <v/>
      </c>
      <c r="M18" s="85" t="str">
        <f t="shared" ca="1" si="3"/>
        <v/>
      </c>
      <c r="N18" s="84">
        <f ca="1">LN('Histogram Data'!K18+0.01)-LN(price)</f>
        <v>-0.84669520514092955</v>
      </c>
      <c r="O18" s="84">
        <f ca="1">_xlfn.NORM.DIST(N18,0+0.03^3,AVERAGE('Valuation Model'!$K$22:$L$22),FALSE)/scaling</f>
        <v>5.8381743037116225E-4</v>
      </c>
    </row>
    <row r="19" spans="4:15" s="79" customFormat="1" ht="12">
      <c r="D19" s="90"/>
      <c r="J19" s="86">
        <f t="shared" si="4"/>
        <v>0.27999999999999997</v>
      </c>
      <c r="K19" s="84">
        <f t="shared" ca="1" si="1"/>
        <v>43.4</v>
      </c>
      <c r="L19" s="87" t="str">
        <f t="shared" ca="1" si="2"/>
        <v/>
      </c>
      <c r="M19" s="85" t="str">
        <f t="shared" ca="1" si="3"/>
        <v/>
      </c>
      <c r="N19" s="84">
        <f ca="1">LN('Histogram Data'!K19+0.01)-LN(price)</f>
        <v>-0.77260495295850173</v>
      </c>
      <c r="O19" s="84">
        <f ca="1">_xlfn.NORM.DIST(N19,0+0.03^3,AVERAGE('Valuation Model'!$K$22:$L$22),FALSE)/scaling</f>
        <v>1.6910558652456845E-3</v>
      </c>
    </row>
    <row r="20" spans="4:15" s="79" customFormat="1" ht="12">
      <c r="J20" s="86">
        <f t="shared" si="4"/>
        <v>0.3</v>
      </c>
      <c r="K20" s="84">
        <f t="shared" ca="1" si="1"/>
        <v>46.5</v>
      </c>
      <c r="L20" s="87" t="str">
        <f t="shared" ca="1" si="2"/>
        <v/>
      </c>
      <c r="M20" s="85">
        <f t="shared" ca="1" si="3"/>
        <v>1.2500000000000001E-2</v>
      </c>
      <c r="N20" s="84">
        <f ca="1">LN('Histogram Data'!K20+0.01)-LN(price)</f>
        <v>-0.70362743903399805</v>
      </c>
      <c r="O20" s="84">
        <f ca="1">_xlfn.NORM.DIST(N20,0+0.03^3,AVERAGE('Valuation Model'!$K$22:$L$22),FALSE)/scaling</f>
        <v>4.1703764827028325E-3</v>
      </c>
    </row>
    <row r="21" spans="4:15" s="79" customFormat="1" ht="12">
      <c r="J21" s="86">
        <f t="shared" si="4"/>
        <v>0.32</v>
      </c>
      <c r="K21" s="84">
        <f t="shared" ca="1" si="1"/>
        <v>49.6</v>
      </c>
      <c r="L21" s="87" t="str">
        <f t="shared" ca="1" si="2"/>
        <v/>
      </c>
      <c r="M21" s="85" t="str">
        <f t="shared" ca="1" si="3"/>
        <v/>
      </c>
      <c r="N21" s="84">
        <f ca="1">LN('Histogram Data'!K21+0.01)-LN(price)</f>
        <v>-0.63910235595704634</v>
      </c>
      <c r="O21" s="84">
        <f ca="1">_xlfn.NORM.DIST(N21,0+0.03^3,AVERAGE('Valuation Model'!$K$22:$L$22),FALSE)/scaling</f>
        <v>8.9893001645858263E-3</v>
      </c>
    </row>
    <row r="22" spans="4:15" s="79" customFormat="1" ht="12">
      <c r="J22" s="86">
        <f t="shared" si="4"/>
        <v>0.34</v>
      </c>
      <c r="K22" s="84">
        <f t="shared" ca="1" si="1"/>
        <v>52.7</v>
      </c>
      <c r="L22" s="87" t="str">
        <f t="shared" ca="1" si="2"/>
        <v/>
      </c>
      <c r="M22" s="85" t="str">
        <f t="shared" ca="1" si="3"/>
        <v/>
      </c>
      <c r="N22" s="84">
        <f ca="1">LN('Histogram Data'!K22+0.01)-LN(price)</f>
        <v>-0.57848959140288825</v>
      </c>
      <c r="O22" s="84">
        <f ca="1">_xlfn.NORM.DIST(N22,0+0.03^3,AVERAGE('Valuation Model'!$K$22:$L$22),FALSE)/scaling</f>
        <v>1.7292297059350988E-2</v>
      </c>
    </row>
    <row r="23" spans="4:15" s="79" customFormat="1" ht="12">
      <c r="J23" s="86">
        <f t="shared" si="4"/>
        <v>0.36000000000000004</v>
      </c>
      <c r="K23" s="84">
        <f t="shared" ca="1" si="1"/>
        <v>55.800000000000004</v>
      </c>
      <c r="L23" s="87" t="str">
        <f t="shared" ca="1" si="2"/>
        <v/>
      </c>
      <c r="M23" s="85" t="str">
        <f t="shared" ca="1" si="3"/>
        <v/>
      </c>
      <c r="N23" s="84">
        <f ca="1">LN('Histogram Data'!K23+0.01)-LN(price)</f>
        <v>-0.52134171746966196</v>
      </c>
      <c r="O23" s="84">
        <f ca="1">_xlfn.NORM.DIST(N23,0+0.03^3,AVERAGE('Valuation Model'!$K$22:$L$22),FALSE)/scaling</f>
        <v>3.0187695061723051E-2</v>
      </c>
    </row>
    <row r="24" spans="4:15" s="79" customFormat="1" ht="12">
      <c r="J24" s="86">
        <f t="shared" si="4"/>
        <v>0.38000000000000006</v>
      </c>
      <c r="K24" s="84">
        <f t="shared" ca="1" si="1"/>
        <v>58.900000000000013</v>
      </c>
      <c r="L24" s="87" t="str">
        <f t="shared" ca="1" si="2"/>
        <v/>
      </c>
      <c r="M24" s="85" t="str">
        <f t="shared" ca="1" si="3"/>
        <v/>
      </c>
      <c r="N24" s="84">
        <f ca="1">LN('Histogram Data'!K24+0.01)-LN(price)</f>
        <v>-0.46728392673640773</v>
      </c>
      <c r="O24" s="84">
        <f ca="1">_xlfn.NORM.DIST(N24,0+0.03^3,AVERAGE('Valuation Model'!$K$22:$L$22),FALSE)/scaling</f>
        <v>4.848199576637207E-2</v>
      </c>
    </row>
    <row r="25" spans="4:15" s="79" customFormat="1" ht="12">
      <c r="J25" s="86">
        <f t="shared" si="4"/>
        <v>0.40000000000000008</v>
      </c>
      <c r="K25" s="84">
        <f t="shared" ca="1" si="1"/>
        <v>62.000000000000014</v>
      </c>
      <c r="L25" s="87">
        <f t="shared" ca="1" si="2"/>
        <v>0.125</v>
      </c>
      <c r="M25" s="85" t="str">
        <f t="shared" ca="1" si="3"/>
        <v/>
      </c>
      <c r="N25" s="84">
        <f ca="1">LN('Histogram Data'!K25+0.01)-LN(price)</f>
        <v>-0.41599911990821692</v>
      </c>
      <c r="O25" s="84">
        <f ca="1">_xlfn.NORM.DIST(N25,0+0.03^3,AVERAGE('Valuation Model'!$K$22:$L$22),FALSE)/scaling</f>
        <v>7.2440058620200129E-2</v>
      </c>
    </row>
    <row r="26" spans="4:15" s="79" customFormat="1" ht="12">
      <c r="J26" s="86">
        <f t="shared" si="4"/>
        <v>0.4200000000000001</v>
      </c>
      <c r="K26" s="84">
        <f t="shared" ca="1" si="1"/>
        <v>65.100000000000009</v>
      </c>
      <c r="L26" s="87" t="str">
        <f t="shared" ca="1" si="2"/>
        <v/>
      </c>
      <c r="M26" s="85" t="str">
        <f t="shared" ca="1" si="3"/>
        <v/>
      </c>
      <c r="N26" s="84">
        <f ca="1">LN('Histogram Data'!K26+0.01)-LN(price)</f>
        <v>-0.36721663502123292</v>
      </c>
      <c r="O26" s="84">
        <f ca="1">_xlfn.NORM.DIST(N26,0+0.03^3,AVERAGE('Valuation Model'!$K$22:$L$22),FALSE)/scaling</f>
        <v>0.1016424913058885</v>
      </c>
    </row>
    <row r="27" spans="4:15" s="79" customFormat="1" ht="12">
      <c r="J27" s="86">
        <f t="shared" si="4"/>
        <v>0.44000000000000011</v>
      </c>
      <c r="K27" s="84">
        <f t="shared" ca="1" si="1"/>
        <v>68.200000000000017</v>
      </c>
      <c r="L27" s="87" t="str">
        <f t="shared" ca="1" si="2"/>
        <v/>
      </c>
      <c r="M27" s="85" t="str">
        <f t="shared" ca="1" si="3"/>
        <v/>
      </c>
      <c r="N27" s="84">
        <f ca="1">LN('Histogram Data'!K27+0.01)-LN(price)</f>
        <v>-0.32070360060337588</v>
      </c>
      <c r="O27" s="84">
        <f ca="1">_xlfn.NORM.DIST(N27,0+0.03^3,AVERAGE('Valuation Model'!$K$22:$L$22),FALSE)/scaling</f>
        <v>0.13497858469143509</v>
      </c>
    </row>
    <row r="28" spans="4:15" s="79" customFormat="1" ht="12">
      <c r="J28" s="86">
        <f t="shared" si="4"/>
        <v>0.46000000000000013</v>
      </c>
      <c r="K28" s="84">
        <f t="shared" ca="1" si="1"/>
        <v>71.300000000000026</v>
      </c>
      <c r="L28" s="87" t="str">
        <f t="shared" ca="1" si="2"/>
        <v/>
      </c>
      <c r="M28" s="85" t="str">
        <f t="shared" ca="1" si="3"/>
        <v/>
      </c>
      <c r="N28" s="84">
        <f ca="1">LN('Histogram Data'!K28+0.01)-LN(price)</f>
        <v>-0.27625821222979141</v>
      </c>
      <c r="O28" s="84">
        <f ca="1">_xlfn.NORM.DIST(N28,0+0.03^3,AVERAGE('Valuation Model'!$K$22:$L$22),FALSE)/scaling</f>
        <v>0.1707714105279893</v>
      </c>
    </row>
    <row r="29" spans="4:15" s="79" customFormat="1" ht="12">
      <c r="J29" s="86">
        <f t="shared" si="4"/>
        <v>0.48000000000000015</v>
      </c>
      <c r="K29" s="84">
        <f t="shared" ca="1" si="1"/>
        <v>74.40000000000002</v>
      </c>
      <c r="L29" s="87">
        <f t="shared" ca="1" si="2"/>
        <v>0.125</v>
      </c>
      <c r="M29" s="85" t="str">
        <f t="shared" ca="1" si="3"/>
        <v/>
      </c>
      <c r="N29" s="84">
        <f ca="1">LN('Histogram Data'!K29+0.01)-LN(price)</f>
        <v>-0.23370444086083353</v>
      </c>
      <c r="O29" s="84">
        <f ca="1">_xlfn.NORM.DIST(N29,0+0.03^3,AVERAGE('Valuation Model'!$K$22:$L$22),FALSE)/scaling</f>
        <v>0.20699781044260152</v>
      </c>
    </row>
    <row r="30" spans="4:15" s="79" customFormat="1" ht="12">
      <c r="J30" s="86">
        <f t="shared" si="4"/>
        <v>0.50000000000000011</v>
      </c>
      <c r="K30" s="84">
        <f t="shared" ca="1" si="1"/>
        <v>77.500000000000014</v>
      </c>
      <c r="L30" s="87">
        <f ca="1">L33</f>
        <v>0.125</v>
      </c>
      <c r="M30" s="85" t="str">
        <f t="shared" ca="1" si="3"/>
        <v/>
      </c>
      <c r="N30" s="84">
        <f ca="1">LN('Histogram Data'!K30+0.01)-LN(price)</f>
        <v>-0.1928878219765835</v>
      </c>
      <c r="O30" s="84">
        <f ca="1">_xlfn.NORM.DIST(N30,0+0.03^3,AVERAGE('Valuation Model'!$K$22:$L$22),FALSE)/scaling</f>
        <v>0.24154911536761406</v>
      </c>
    </row>
    <row r="31" spans="4:15" s="79" customFormat="1" ht="12">
      <c r="J31" s="86">
        <f t="shared" si="4"/>
        <v>0.52000000000000013</v>
      </c>
      <c r="K31" s="84">
        <f t="shared" ca="1" si="1"/>
        <v>80.600000000000023</v>
      </c>
      <c r="L31" s="87" t="str">
        <f t="shared" ca="1" si="2"/>
        <v/>
      </c>
      <c r="M31" s="85" t="str">
        <f t="shared" ca="1" si="3"/>
        <v/>
      </c>
      <c r="N31" s="84">
        <f ca="1">LN('Histogram Data'!K31+0.01)-LN(price)</f>
        <v>-0.15367207097449409</v>
      </c>
      <c r="O31" s="84">
        <f ca="1">_xlfn.NORM.DIST(N31,0+0.03^3,AVERAGE('Valuation Model'!$K$22:$L$22),FALSE)/scaling</f>
        <v>0.27247921881386522</v>
      </c>
    </row>
    <row r="32" spans="4:15" s="79" customFormat="1" ht="12">
      <c r="J32" s="86">
        <f t="shared" si="4"/>
        <v>0.54000000000000015</v>
      </c>
      <c r="K32" s="84">
        <f t="shared" ca="1" si="1"/>
        <v>83.700000000000017</v>
      </c>
      <c r="L32" s="87" t="str">
        <f t="shared" ca="1" si="2"/>
        <v/>
      </c>
      <c r="M32" s="85" t="str">
        <f t="shared" ca="1" si="3"/>
        <v/>
      </c>
      <c r="N32" s="84">
        <f ca="1">LN('Histogram Data'!K32+0.01)-LN(price)</f>
        <v>-0.1159363375980389</v>
      </c>
      <c r="O32" s="84">
        <f ca="1">_xlfn.NORM.DIST(N32,0+0.03^3,AVERAGE('Valuation Model'!$K$22:$L$22),FALSE)/scaling</f>
        <v>0.29819997282313926</v>
      </c>
    </row>
    <row r="33" spans="10:15" s="79" customFormat="1" ht="12">
      <c r="J33" s="86">
        <f t="shared" si="4"/>
        <v>0.56000000000000016</v>
      </c>
      <c r="K33" s="84">
        <f t="shared" ca="1" si="1"/>
        <v>86.800000000000026</v>
      </c>
      <c r="L33" s="87">
        <f t="shared" ca="1" si="2"/>
        <v>0.125</v>
      </c>
      <c r="M33" s="85" t="str">
        <f t="shared" ca="1" si="3"/>
        <v/>
      </c>
      <c r="N33" s="84">
        <f ca="1">LN('Histogram Data'!K33+0.01)-LN(price)</f>
        <v>-7.9572959866286652E-2</v>
      </c>
      <c r="O33" s="84">
        <f ca="1">_xlfn.NORM.DIST(N33,0+0.03^3,AVERAGE('Valuation Model'!$K$22:$L$22),FALSE)/scaling</f>
        <v>0.3176026706816592</v>
      </c>
    </row>
    <row r="34" spans="10:15" s="79" customFormat="1" ht="12">
      <c r="J34" s="86">
        <f t="shared" si="4"/>
        <v>0.58000000000000018</v>
      </c>
      <c r="K34" s="84">
        <f t="shared" ca="1" si="1"/>
        <v>89.900000000000034</v>
      </c>
      <c r="L34" s="87" t="str">
        <f t="shared" ca="1" si="2"/>
        <v/>
      </c>
      <c r="M34" s="85" t="str">
        <f t="shared" ca="1" si="3"/>
        <v/>
      </c>
      <c r="N34" s="84">
        <f ca="1">LN('Histogram Data'!K34+0.01)-LN(price)</f>
        <v>-4.4485612273321706E-2</v>
      </c>
      <c r="O34" s="84">
        <f ca="1">_xlfn.NORM.DIST(N34,0+0.03^3,AVERAGE('Valuation Model'!$K$22:$L$22),FALSE)/scaling</f>
        <v>0.33010245460211574</v>
      </c>
    </row>
    <row r="35" spans="10:15" s="79" customFormat="1" ht="12">
      <c r="J35" s="86">
        <f t="shared" si="4"/>
        <v>0.6000000000000002</v>
      </c>
      <c r="K35" s="84">
        <f t="shared" ca="1" si="1"/>
        <v>93.000000000000028</v>
      </c>
      <c r="L35" s="87" t="str">
        <f t="shared" ca="1" si="2"/>
        <v/>
      </c>
      <c r="M35" s="85" t="str">
        <f t="shared" ca="1" si="3"/>
        <v/>
      </c>
      <c r="N35" s="84">
        <f ca="1">LN('Histogram Data'!K35+0.01)-LN(price)</f>
        <v>-1.0587768015628107E-2</v>
      </c>
      <c r="O35" s="84">
        <f ca="1">_xlfn.NORM.DIST(N35,0+0.03^3,AVERAGE('Valuation Model'!$K$22:$L$22),FALSE)/scaling</f>
        <v>0.33561602466618945</v>
      </c>
    </row>
    <row r="36" spans="10:15" s="79" customFormat="1" ht="12">
      <c r="J36" s="86">
        <f t="shared" si="4"/>
        <v>0.62000000000000022</v>
      </c>
      <c r="K36" s="84">
        <f t="shared" ca="1" si="1"/>
        <v>96.100000000000037</v>
      </c>
      <c r="L36" s="87" t="str">
        <f t="shared" ca="1" si="2"/>
        <v/>
      </c>
      <c r="M36" s="85" t="str">
        <f t="shared" ca="1" si="3"/>
        <v/>
      </c>
      <c r="N36" s="84">
        <f ca="1">LN('Histogram Data'!K36+0.01)-LN(price)</f>
        <v>2.2198586565189693E-2</v>
      </c>
      <c r="O36" s="84">
        <f ca="1">_xlfn.NORM.DIST(N36,0+0.03^3,AVERAGE('Valuation Model'!$K$22:$L$22),FALSE)/scaling</f>
        <v>0.33449067429629153</v>
      </c>
    </row>
    <row r="37" spans="10:15" s="79" customFormat="1" ht="12">
      <c r="J37" s="86">
        <f t="shared" si="4"/>
        <v>0.64000000000000024</v>
      </c>
      <c r="K37" s="84">
        <f t="shared" ca="1" si="1"/>
        <v>99.200000000000031</v>
      </c>
      <c r="L37" s="87" t="str">
        <f t="shared" ca="1" si="2"/>
        <v/>
      </c>
      <c r="M37" s="85" t="str">
        <f t="shared" ca="1" si="3"/>
        <v/>
      </c>
      <c r="N37" s="84">
        <f ca="1">LN('Histogram Data'!K37+0.01)-LN(price)</f>
        <v>5.3944033391807977E-2</v>
      </c>
      <c r="O37" s="84">
        <f ca="1">_xlfn.NORM.DIST(N37,0+0.03^3,AVERAGE('Valuation Model'!$K$22:$L$22),FALSE)/scaling</f>
        <v>0.32740490801273275</v>
      </c>
    </row>
    <row r="38" spans="10:15" s="79" customFormat="1" ht="12">
      <c r="J38" s="86">
        <f t="shared" si="4"/>
        <v>0.66000000000000025</v>
      </c>
      <c r="K38" s="84">
        <f t="shared" ca="1" si="1"/>
        <v>102.30000000000004</v>
      </c>
      <c r="L38" s="87">
        <f t="shared" ca="1" si="2"/>
        <v>0.125</v>
      </c>
      <c r="M38" s="85" t="str">
        <f t="shared" ca="1" si="3"/>
        <v/>
      </c>
      <c r="N38" s="84">
        <f ca="1">LN('Histogram Data'!K38+0.01)-LN(price)</f>
        <v>8.4712637620845577E-2</v>
      </c>
      <c r="O38" s="84">
        <f ca="1">_xlfn.NORM.DIST(N38,0+0.03^3,AVERAGE('Valuation Model'!$K$22:$L$22),FALSE)/scaling</f>
        <v>0.31525915413228794</v>
      </c>
    </row>
    <row r="39" spans="10:15" s="79" customFormat="1" ht="12">
      <c r="J39" s="86">
        <f t="shared" si="4"/>
        <v>0.68000000000000027</v>
      </c>
      <c r="K39" s="84">
        <f t="shared" ca="1" si="1"/>
        <v>105.40000000000005</v>
      </c>
      <c r="L39" s="87" t="str">
        <f t="shared" ca="1" si="2"/>
        <v/>
      </c>
      <c r="M39" s="85" t="str">
        <f t="shared" ca="1" si="3"/>
        <v/>
      </c>
      <c r="N39" s="84">
        <f ca="1">LN('Histogram Data'!K39+0.01)-LN(price)</f>
        <v>0.11456272599709472</v>
      </c>
      <c r="O39" s="84">
        <f ca="1">_xlfn.NORM.DIST(N39,0+0.03^3,AVERAGE('Valuation Model'!$K$22:$L$22),FALSE)/scaling</f>
        <v>0.29907106309009313</v>
      </c>
    </row>
    <row r="40" spans="10:15" s="79" customFormat="1" ht="12">
      <c r="J40" s="86">
        <f t="shared" si="4"/>
        <v>0.70000000000000029</v>
      </c>
      <c r="K40" s="84">
        <f t="shared" ca="1" si="1"/>
        <v>108.50000000000004</v>
      </c>
      <c r="L40" s="87" t="str">
        <f t="shared" ca="1" si="2"/>
        <v/>
      </c>
      <c r="M40" s="85" t="str">
        <f t="shared" ca="1" si="3"/>
        <v/>
      </c>
      <c r="N40" s="84">
        <f ca="1">LN('Histogram Data'!K40+0.01)-LN(price)</f>
        <v>0.14354755236211325</v>
      </c>
      <c r="O40" s="84">
        <f ca="1">_xlfn.NORM.DIST(N40,0+0.03^3,AVERAGE('Valuation Model'!$K$22:$L$22),FALSE)/scaling</f>
        <v>0.27988506001118346</v>
      </c>
    </row>
    <row r="41" spans="10:15" s="79" customFormat="1" ht="12">
      <c r="J41" s="86">
        <f t="shared" si="4"/>
        <v>0.72000000000000031</v>
      </c>
      <c r="K41" s="84">
        <f t="shared" ca="1" si="1"/>
        <v>111.60000000000005</v>
      </c>
      <c r="L41" s="87" t="str">
        <f t="shared" ca="1" si="2"/>
        <v/>
      </c>
      <c r="M41" s="85" t="str">
        <f t="shared" ca="1" si="3"/>
        <v/>
      </c>
      <c r="N41" s="84">
        <f ca="1">LN('Histogram Data'!K41+0.01)-LN(price)</f>
        <v>0.1717158693976204</v>
      </c>
      <c r="O41" s="84">
        <f ca="1">_xlfn.NORM.DIST(N41,0+0.03^3,AVERAGE('Valuation Model'!$K$22:$L$22),FALSE)/scaling</f>
        <v>0.25870124984415399</v>
      </c>
    </row>
    <row r="42" spans="10:15" s="79" customFormat="1" ht="12">
      <c r="J42" s="86">
        <f t="shared" si="4"/>
        <v>0.74000000000000032</v>
      </c>
      <c r="K42" s="84">
        <f t="shared" ca="1" si="1"/>
        <v>114.70000000000005</v>
      </c>
      <c r="L42" s="87" t="str">
        <f t="shared" ca="1" si="2"/>
        <v/>
      </c>
      <c r="M42" s="85" t="str">
        <f t="shared" ca="1" si="3"/>
        <v/>
      </c>
      <c r="N42" s="84">
        <f ca="1">LN('Histogram Data'!K42+0.01)-LN(price)</f>
        <v>0.19911242202317325</v>
      </c>
      <c r="O42" s="84">
        <f ca="1">_xlfn.NORM.DIST(N42,0+0.03^3,AVERAGE('Valuation Model'!$K$22:$L$22),FALSE)/scaling</f>
        <v>0.23642505420014787</v>
      </c>
    </row>
    <row r="43" spans="10:15" s="79" customFormat="1" ht="12">
      <c r="J43" s="86">
        <f t="shared" si="4"/>
        <v>0.76000000000000034</v>
      </c>
      <c r="K43" s="84">
        <f t="shared" ca="1" si="1"/>
        <v>117.80000000000005</v>
      </c>
      <c r="L43" s="87" t="str">
        <f t="shared" ca="1" si="2"/>
        <v/>
      </c>
      <c r="M43" s="85" t="str">
        <f t="shared" ca="1" si="3"/>
        <v/>
      </c>
      <c r="N43" s="84">
        <f ca="1">LN('Histogram Data'!K43+0.01)-LN(price)</f>
        <v>0.22577837498802467</v>
      </c>
      <c r="O43" s="84">
        <f ca="1">_xlfn.NORM.DIST(N43,0+0.03^3,AVERAGE('Valuation Model'!$K$22:$L$22),FALSE)/scaling</f>
        <v>0.21383631674465495</v>
      </c>
    </row>
    <row r="44" spans="10:15" s="79" customFormat="1" ht="12">
      <c r="J44" s="86">
        <f t="shared" si="4"/>
        <v>0.78000000000000036</v>
      </c>
      <c r="K44" s="84">
        <f t="shared" ca="1" si="1"/>
        <v>120.90000000000006</v>
      </c>
      <c r="L44" s="87" t="str">
        <f t="shared" ca="1" si="2"/>
        <v/>
      </c>
      <c r="M44" s="85" t="str">
        <f t="shared" ca="1" si="3"/>
        <v/>
      </c>
      <c r="N44" s="84">
        <f ca="1">LN('Histogram Data'!K44+0.01)-LN(price)</f>
        <v>0.25175168491615185</v>
      </c>
      <c r="O44" s="84">
        <f ca="1">_xlfn.NORM.DIST(N44,0+0.03^3,AVERAGE('Valuation Model'!$K$22:$L$22),FALSE)/scaling</f>
        <v>0.19157501753485565</v>
      </c>
    </row>
    <row r="45" spans="10:15" s="79" customFormat="1" ht="12">
      <c r="J45" s="86">
        <f t="shared" si="4"/>
        <v>0.80000000000000038</v>
      </c>
      <c r="K45" s="84">
        <f t="shared" ca="1" si="1"/>
        <v>124.00000000000006</v>
      </c>
      <c r="L45" s="87" t="str">
        <f t="shared" ca="1" si="2"/>
        <v/>
      </c>
      <c r="M45" s="85" t="str">
        <f t="shared" ca="1" si="3"/>
        <v/>
      </c>
      <c r="N45" s="84">
        <f ca="1">LN('Histogram Data'!K45+0.01)-LN(price)</f>
        <v>0.27706742524467742</v>
      </c>
      <c r="O45" s="84">
        <f ca="1">_xlfn.NORM.DIST(N45,0+0.03^3,AVERAGE('Valuation Model'!$K$22:$L$22),FALSE)/scaling</f>
        <v>0.17014001122980676</v>
      </c>
    </row>
    <row r="46" spans="10:15" s="79" customFormat="1" ht="12">
      <c r="J46" s="86">
        <f t="shared" si="4"/>
        <v>0.8200000000000004</v>
      </c>
      <c r="K46" s="84">
        <f t="shared" ca="1" si="1"/>
        <v>127.10000000000007</v>
      </c>
      <c r="L46" s="87" t="str">
        <f t="shared" ca="1" si="2"/>
        <v/>
      </c>
      <c r="M46" s="85" t="str">
        <f t="shared" ca="1" si="3"/>
        <v/>
      </c>
      <c r="N46" s="84">
        <f ca="1">LN('Histogram Data'!K46+0.01)-LN(price)</f>
        <v>0.30175807103657437</v>
      </c>
      <c r="O46" s="84">
        <f ca="1">_xlfn.NORM.DIST(N46,0+0.03^3,AVERAGE('Valuation Model'!$K$22:$L$22),FALSE)/scaling</f>
        <v>0.14989711941413669</v>
      </c>
    </row>
    <row r="47" spans="10:15" s="79" customFormat="1" ht="12">
      <c r="J47" s="86">
        <f t="shared" si="4"/>
        <v>0.84000000000000041</v>
      </c>
      <c r="K47" s="84">
        <f t="shared" ca="1" si="1"/>
        <v>130.20000000000007</v>
      </c>
      <c r="L47" s="87" t="str">
        <f t="shared" ca="1" si="2"/>
        <v/>
      </c>
      <c r="M47" s="85" t="str">
        <f t="shared" ca="1" si="3"/>
        <v/>
      </c>
      <c r="N47" s="84">
        <f ca="1">LN('Histogram Data'!K47+0.01)-LN(price)</f>
        <v>0.3258537494706335</v>
      </c>
      <c r="O47" s="84">
        <f ca="1">_xlfn.NORM.DIST(N47,0+0.03^3,AVERAGE('Valuation Model'!$K$22:$L$22),FALSE)/scaling</f>
        <v>0.13109323645360649</v>
      </c>
    </row>
    <row r="48" spans="10:15" s="79" customFormat="1" ht="12">
      <c r="J48" s="86">
        <f t="shared" si="4"/>
        <v>0.86000000000000043</v>
      </c>
      <c r="K48" s="84">
        <f t="shared" ca="1" si="1"/>
        <v>133.30000000000007</v>
      </c>
      <c r="L48" s="87" t="str">
        <f t="shared" ca="1" si="2"/>
        <v/>
      </c>
      <c r="M48" s="85" t="str">
        <f t="shared" ca="1" si="3"/>
        <v/>
      </c>
      <c r="N48" s="84">
        <f ca="1">LN('Histogram Data'!K48+0.01)-LN(price)</f>
        <v>0.34938246085558244</v>
      </c>
      <c r="O48" s="84">
        <f ca="1">_xlfn.NORM.DIST(N48,0+0.03^3,AVERAGE('Valuation Model'!$K$22:$L$22),FALSE)/scaling</f>
        <v>0.11387365982087967</v>
      </c>
    </row>
    <row r="49" spans="10:15" s="79" customFormat="1" ht="12">
      <c r="J49" s="86">
        <f t="shared" si="4"/>
        <v>0.88000000000000045</v>
      </c>
      <c r="K49" s="84">
        <f t="shared" ca="1" si="1"/>
        <v>136.40000000000006</v>
      </c>
      <c r="L49" s="87" t="str">
        <f t="shared" ca="1" si="2"/>
        <v/>
      </c>
      <c r="M49" s="85" t="str">
        <f t="shared" ca="1" si="3"/>
        <v/>
      </c>
      <c r="N49" s="84">
        <f ca="1">LN('Histogram Data'!K49+0.01)-LN(price)</f>
        <v>0.37237027423502589</v>
      </c>
      <c r="O49" s="84">
        <f ca="1">_xlfn.NORM.DIST(N49,0+0.03^3,AVERAGE('Valuation Model'!$K$22:$L$22),FALSE)/scaling</f>
        <v>9.8300485863266299E-2</v>
      </c>
    </row>
    <row r="50" spans="10:15" s="79" customFormat="1" ht="12">
      <c r="J50" s="86">
        <f t="shared" si="4"/>
        <v>0.90000000000000047</v>
      </c>
      <c r="K50" s="84">
        <f t="shared" ca="1" si="1"/>
        <v>139.50000000000009</v>
      </c>
      <c r="L50" s="87" t="str">
        <f t="shared" ca="1" si="2"/>
        <v/>
      </c>
      <c r="M50" s="85" t="str">
        <f t="shared" ca="1" si="3"/>
        <v/>
      </c>
      <c r="N50" s="84">
        <f ca="1">LN('Histogram Data'!K50+0.01)-LN(price)</f>
        <v>0.39484150101001347</v>
      </c>
      <c r="O50" s="84">
        <f ca="1">_xlfn.NORM.DIST(N50,0+0.03^3,AVERAGE('Valuation Model'!$K$22:$L$22),FALSE)/scaling</f>
        <v>8.437052402536499E-2</v>
      </c>
    </row>
    <row r="51" spans="10:15" s="79" customFormat="1" ht="12">
      <c r="J51" s="86">
        <f t="shared" si="4"/>
        <v>0.92000000000000048</v>
      </c>
      <c r="K51" s="84">
        <f t="shared" ca="1" si="1"/>
        <v>142.60000000000008</v>
      </c>
      <c r="L51" s="87" t="str">
        <f t="shared" ca="1" si="2"/>
        <v/>
      </c>
      <c r="M51" s="85" t="str">
        <f t="shared" ca="1" si="3"/>
        <v/>
      </c>
      <c r="N51" s="84">
        <f ca="1">LN('Histogram Data'!K51+0.01)-LN(price)</f>
        <v>0.41681884947867243</v>
      </c>
      <c r="O51" s="84">
        <f ca="1">_xlfn.NORM.DIST(N51,0+0.03^3,AVERAGE('Valuation Model'!$K$22:$L$22),FALSE)/scaling</f>
        <v>7.2031720288062207E-2</v>
      </c>
    </row>
    <row r="52" spans="10:15" s="79" customFormat="1" ht="12">
      <c r="J52" s="86">
        <f t="shared" si="4"/>
        <v>0.9400000000000005</v>
      </c>
      <c r="K52" s="84">
        <f t="shared" ca="1" si="1"/>
        <v>145.70000000000007</v>
      </c>
      <c r="L52" s="87" t="str">
        <f t="shared" ca="1" si="2"/>
        <v/>
      </c>
      <c r="M52" s="85">
        <f t="shared" ca="1" si="3"/>
        <v>1.2500000000000001E-2</v>
      </c>
      <c r="N52" s="84">
        <f ca="1">LN('Histogram Data'!K52+0.01)-LN(price)</f>
        <v>0.43832356275575979</v>
      </c>
      <c r="O52" s="84">
        <f ca="1">_xlfn.NORM.DIST(N52,0+0.03^3,AVERAGE('Valuation Model'!$K$22:$L$22),FALSE)/scaling</f>
        <v>6.1197518297721555E-2</v>
      </c>
    </row>
    <row r="53" spans="10:15" s="79" customFormat="1" ht="12">
      <c r="J53" s="86">
        <f t="shared" si="4"/>
        <v>0.96000000000000052</v>
      </c>
      <c r="K53" s="84">
        <f t="shared" ca="1" si="1"/>
        <v>148.80000000000007</v>
      </c>
      <c r="L53" s="87" t="str">
        <f t="shared" ca="1" si="2"/>
        <v/>
      </c>
      <c r="M53" s="85" t="str">
        <f t="shared" ca="1" si="3"/>
        <v/>
      </c>
      <c r="N53" s="84">
        <f ca="1">LN('Histogram Data'!K53+0.01)-LN(price)</f>
        <v>0.45937554217195586</v>
      </c>
      <c r="O53" s="84">
        <f ca="1">_xlfn.NORM.DIST(N53,0+0.03^3,AVERAGE('Valuation Model'!$K$22:$L$22),FALSE)/scaling</f>
        <v>5.1758919579343879E-2</v>
      </c>
    </row>
    <row r="54" spans="10:15" s="79" customFormat="1" ht="12">
      <c r="J54" s="86">
        <f t="shared" si="4"/>
        <v>0.98000000000000054</v>
      </c>
      <c r="K54" s="84">
        <f t="shared" ca="1" si="1"/>
        <v>151.90000000000009</v>
      </c>
      <c r="L54" s="87" t="str">
        <f t="shared" ca="1" si="2"/>
        <v/>
      </c>
      <c r="M54" s="85" t="str">
        <f t="shared" ca="1" si="3"/>
        <v/>
      </c>
      <c r="N54" s="84">
        <f ca="1">LN('Histogram Data'!K54+0.01)-LN(price)</f>
        <v>0.47999345794956838</v>
      </c>
      <c r="O54" s="84">
        <f ca="1">_xlfn.NORM.DIST(N54,0+0.03^3,AVERAGE('Valuation Model'!$K$22:$L$22),FALSE)/scaling</f>
        <v>4.3594240443112053E-2</v>
      </c>
    </row>
    <row r="55" spans="10:15">
      <c r="J55" s="86">
        <f t="shared" si="4"/>
        <v>1.0000000000000004</v>
      </c>
      <c r="K55" s="84">
        <f t="shared" ca="1" si="1"/>
        <v>155.00000000000006</v>
      </c>
      <c r="L55" s="87" t="str">
        <f t="shared" ca="1" si="2"/>
        <v/>
      </c>
      <c r="M55" s="85" t="str">
        <f t="shared" ca="1" si="3"/>
        <v/>
      </c>
      <c r="N55" s="84">
        <f ca="1">LN('Histogram Data'!K55+0.01)-LN(price)</f>
        <v>0.50019484869719921</v>
      </c>
      <c r="O55" s="84">
        <f ca="1">_xlfn.NORM.DIST(N55,0+0.03^3,AVERAGE('Valuation Model'!$K$22:$L$22),FALSE)/scaling</f>
        <v>3.6576717409493358E-2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45" workbookViewId="0">
      <selection activeCell="B69" sqref="B69"/>
    </sheetView>
  </sheetViews>
  <sheetFormatPr defaultRowHeight="14.6"/>
  <cols>
    <col min="1" max="1" width="10.69140625" bestFit="1" customWidth="1"/>
    <col min="3" max="3" width="10.6914062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4.6"/>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6"/>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4.6"/>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4.6"/>
  <cols>
    <col min="1" max="5" width="6.3046875" bestFit="1" customWidth="1"/>
    <col min="6" max="7" width="11" bestFit="1" customWidth="1"/>
    <col min="8" max="8" width="6.15234375" bestFit="1" customWidth="1"/>
    <col min="9" max="10" width="11" bestFit="1" customWidth="1"/>
    <col min="11" max="11" width="6.15234375" bestFit="1" customWidth="1"/>
    <col min="12" max="13" width="11" bestFit="1" customWidth="1"/>
    <col min="14" max="14" width="6.15234375" bestFit="1" customWidth="1"/>
    <col min="15" max="16" width="11" bestFit="1" customWidth="1"/>
    <col min="17" max="17" width="6.15234375" bestFit="1" customWidth="1"/>
    <col min="18" max="19" width="11" bestFit="1" customWidth="1"/>
    <col min="20" max="20" width="6.15234375" bestFit="1" customWidth="1"/>
    <col min="21" max="22" width="11" bestFit="1" customWidth="1"/>
    <col min="23" max="23" width="6.15234375" bestFit="1" customWidth="1"/>
    <col min="24" max="25" width="11" bestFit="1" customWidth="1"/>
    <col min="26" max="26" width="6.15234375" bestFit="1" customWidth="1"/>
    <col min="27" max="28" width="11" bestFit="1" customWidth="1"/>
    <col min="29" max="29" width="6.1523437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zoomScaleNormal="100" workbookViewId="0">
      <selection activeCell="B11" sqref="B11:K11"/>
    </sheetView>
  </sheetViews>
  <sheetFormatPr defaultRowHeight="14.6"/>
  <cols>
    <col min="1" max="1" width="38.69140625" bestFit="1" customWidth="1"/>
    <col min="2" max="7" width="11.69140625" customWidth="1"/>
    <col min="8" max="11" width="10.69140625" customWidth="1"/>
    <col min="12" max="12" width="11.53515625" bestFit="1" customWidth="1"/>
  </cols>
  <sheetData>
    <row r="1" spans="1:11" s="9" customFormat="1" ht="1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39082</v>
      </c>
      <c r="C2" s="106">
        <f>DATE(YEAR('Valuation Model'!$B3)+C1,MONTH('Valuation Model'!$B3),DAY('Valuation Model'!$B3))</f>
        <v>39447</v>
      </c>
      <c r="D2" s="106">
        <f>DATE(YEAR('Valuation Model'!$B3)+D1,MONTH('Valuation Model'!$B3),DAY('Valuation Model'!$B3))</f>
        <v>39813</v>
      </c>
      <c r="E2" s="106">
        <f>DATE(YEAR('Valuation Model'!$B3)+E1,MONTH('Valuation Model'!$B3),DAY('Valuation Model'!$B3))</f>
        <v>40178</v>
      </c>
      <c r="F2" s="106">
        <f>DATE(YEAR('Valuation Model'!$B3)+F1,MONTH('Valuation Model'!$B3),DAY('Valuation Model'!$B3))</f>
        <v>40543</v>
      </c>
      <c r="G2" s="106">
        <f>DATE(YEAR('Valuation Model'!$B3)+G1,MONTH('Valuation Model'!$B3),DAY('Valuation Model'!$B3))</f>
        <v>40908</v>
      </c>
      <c r="H2" s="106">
        <f>DATE(YEAR('Valuation Model'!$B3)+H1,MONTH('Valuation Model'!$B3),DAY('Valuation Model'!$B3))</f>
        <v>41274</v>
      </c>
      <c r="I2" s="106">
        <f>DATE(YEAR('Valuation Model'!$B3)+I1,MONTH('Valuation Model'!$B3),DAY('Valuation Model'!$B3))</f>
        <v>41639</v>
      </c>
      <c r="J2" s="106">
        <f>DATE(YEAR('Valuation Model'!$B3)+J1,MONTH('Valuation Model'!$B3),DAY('Valuation Model'!$B3))</f>
        <v>42004</v>
      </c>
      <c r="K2" s="106">
        <f>DATE(YEAR('Valuation Model'!$B3)+K1,MONTH('Valuation Model'!$B3),DAY('Valuation Model'!$B3))</f>
        <v>42369</v>
      </c>
    </row>
    <row r="3" spans="1:11">
      <c r="A3" s="1" t="s">
        <v>37</v>
      </c>
      <c r="B3" s="107">
        <v>41517</v>
      </c>
      <c r="C3" s="107">
        <v>44958</v>
      </c>
      <c r="D3" s="107">
        <v>51324</v>
      </c>
      <c r="E3" s="107">
        <v>32396</v>
      </c>
      <c r="F3" s="107">
        <v>42588</v>
      </c>
      <c r="G3" s="107">
        <v>60138</v>
      </c>
      <c r="H3" s="107">
        <v>65875</v>
      </c>
      <c r="I3" s="107">
        <v>55656</v>
      </c>
      <c r="J3" s="107">
        <v>55184</v>
      </c>
      <c r="K3" s="107">
        <v>47011</v>
      </c>
    </row>
    <row r="4" spans="1:11">
      <c r="A4" s="108" t="s">
        <v>131</v>
      </c>
      <c r="B4" s="108"/>
      <c r="C4" s="109">
        <f t="shared" ref="C4:F4" si="0">IFERROR(C3/B3-1,"")</f>
        <v>8.2881711106293832E-2</v>
      </c>
      <c r="D4" s="109">
        <f t="shared" si="0"/>
        <v>0.14159882557053249</v>
      </c>
      <c r="E4" s="109">
        <f t="shared" si="0"/>
        <v>-0.36879432624113473</v>
      </c>
      <c r="F4" s="109">
        <f t="shared" si="0"/>
        <v>0.31460674157303381</v>
      </c>
      <c r="G4" s="109">
        <f>IFERROR(G3/F3-1,"")</f>
        <v>0.41208791208791218</v>
      </c>
      <c r="H4" s="109">
        <f t="shared" ref="H4:K4" si="1">IFERROR(H3/G3-1,"")</f>
        <v>9.5397252984801728E-2</v>
      </c>
      <c r="I4" s="109">
        <f t="shared" si="1"/>
        <v>-0.15512713472485773</v>
      </c>
      <c r="J4" s="109">
        <f t="shared" si="1"/>
        <v>-8.4806669541469537E-3</v>
      </c>
      <c r="K4" s="109">
        <f t="shared" si="1"/>
        <v>-0.14810452305015942</v>
      </c>
    </row>
    <row r="5" spans="1:11">
      <c r="A5" s="108" t="s">
        <v>132</v>
      </c>
      <c r="B5" s="108"/>
      <c r="C5" s="108"/>
      <c r="D5" s="108"/>
      <c r="E5" s="109">
        <f>IFERROR(SUM(C3:E3)/SUM(B3:D3)-1,"")</f>
        <v>-6.6190610962343688E-2</v>
      </c>
      <c r="F5" s="109">
        <f t="shared" ref="F5:K5" si="2">IFERROR(SUM(D3:F3)/SUM(C3:E3)-1,"")</f>
        <v>-1.8418066802405986E-2</v>
      </c>
      <c r="G5" s="109">
        <f t="shared" si="2"/>
        <v>6.978180321119809E-2</v>
      </c>
      <c r="H5" s="109">
        <f t="shared" si="2"/>
        <v>0.24776868311599887</v>
      </c>
      <c r="I5" s="109">
        <f t="shared" si="2"/>
        <v>7.750843707925803E-2</v>
      </c>
      <c r="J5" s="109">
        <f t="shared" si="2"/>
        <v>-2.726937452179512E-2</v>
      </c>
      <c r="K5" s="109">
        <f t="shared" si="2"/>
        <v>-0.10674815380697733</v>
      </c>
    </row>
    <row r="6" spans="1:11">
      <c r="A6" s="108" t="s">
        <v>133</v>
      </c>
      <c r="B6" s="108"/>
      <c r="C6" s="108"/>
      <c r="D6" s="108"/>
      <c r="E6" s="108"/>
      <c r="F6" s="110"/>
      <c r="G6" s="109">
        <f>IFERROR(SUM(C3:G3)/SUM(B3:F3)-1,"")</f>
        <v>8.751169031360595E-2</v>
      </c>
      <c r="H6" s="109">
        <f t="shared" ref="H6:K6" si="3">IFERROR(SUM(D3:H3)/SUM(C3:G3)-1,"")</f>
        <v>9.0391695908454528E-2</v>
      </c>
      <c r="I6" s="109">
        <f t="shared" si="3"/>
        <v>1.7168606655807439E-2</v>
      </c>
      <c r="J6" s="109">
        <f t="shared" si="3"/>
        <v>8.8789143318020791E-2</v>
      </c>
      <c r="K6" s="109">
        <f t="shared" si="3"/>
        <v>1.5828028098954672E-2</v>
      </c>
    </row>
    <row r="8" spans="1:11" s="9" customFormat="1" ht="15" thickBot="1">
      <c r="A8" s="59" t="s">
        <v>134</v>
      </c>
      <c r="B8" s="111">
        <f t="shared" ref="B8:J8" si="4">B2</f>
        <v>39082</v>
      </c>
      <c r="C8" s="111">
        <f t="shared" si="4"/>
        <v>39447</v>
      </c>
      <c r="D8" s="111">
        <f t="shared" si="4"/>
        <v>39813</v>
      </c>
      <c r="E8" s="111">
        <f t="shared" si="4"/>
        <v>40178</v>
      </c>
      <c r="F8" s="111">
        <f t="shared" si="4"/>
        <v>40543</v>
      </c>
      <c r="G8" s="111">
        <f t="shared" si="4"/>
        <v>40908</v>
      </c>
      <c r="H8" s="111">
        <f t="shared" si="4"/>
        <v>41274</v>
      </c>
      <c r="I8" s="111">
        <f t="shared" si="4"/>
        <v>41639</v>
      </c>
      <c r="J8" s="111">
        <f t="shared" si="4"/>
        <v>42004</v>
      </c>
      <c r="K8" s="111">
        <f>K2</f>
        <v>42369</v>
      </c>
    </row>
    <row r="9" spans="1:11">
      <c r="A9" s="112" t="s">
        <v>135</v>
      </c>
      <c r="B9" s="113">
        <v>5799</v>
      </c>
      <c r="C9" s="113">
        <v>7955</v>
      </c>
      <c r="D9" s="113">
        <v>4672</v>
      </c>
      <c r="E9" s="113">
        <v>6499</v>
      </c>
      <c r="F9" s="113">
        <v>5009</v>
      </c>
      <c r="G9" s="113">
        <v>6957</v>
      </c>
      <c r="H9" s="113">
        <v>5184</v>
      </c>
      <c r="I9" s="113">
        <v>10191</v>
      </c>
      <c r="J9" s="113">
        <v>8057</v>
      </c>
      <c r="K9" s="113">
        <v>6675</v>
      </c>
    </row>
    <row r="10" spans="1:11">
      <c r="A10" s="114" t="s">
        <v>136</v>
      </c>
      <c r="B10" s="113">
        <v>-1642.7020000000002</v>
      </c>
      <c r="C10" s="113">
        <v>-1870.3410000000003</v>
      </c>
      <c r="D10" s="113">
        <v>-1981.8096999999998</v>
      </c>
      <c r="E10" s="113">
        <v>-2399.5695999999998</v>
      </c>
      <c r="F10" s="113">
        <v>-2330.3413</v>
      </c>
      <c r="G10" s="113">
        <v>-2601.8598000000002</v>
      </c>
      <c r="H10" s="113">
        <v>-2861.9742999999999</v>
      </c>
      <c r="I10" s="113">
        <v>-3133.3575000000001</v>
      </c>
      <c r="J10" s="113">
        <v>-3186.9281000000001</v>
      </c>
      <c r="K10" s="113">
        <v>-3068.2206000000001</v>
      </c>
    </row>
    <row r="11" spans="1:11">
      <c r="A11" s="115" t="s">
        <v>137</v>
      </c>
      <c r="B11" s="5">
        <f t="shared" ref="B11:K11" si="5">B9+B10</f>
        <v>4156.2979999999998</v>
      </c>
      <c r="C11" s="5">
        <f t="shared" si="5"/>
        <v>6084.6589999999997</v>
      </c>
      <c r="D11" s="5">
        <f t="shared" si="5"/>
        <v>2690.1903000000002</v>
      </c>
      <c r="E11" s="5">
        <f t="shared" si="5"/>
        <v>4099.4304000000002</v>
      </c>
      <c r="F11" s="5">
        <f t="shared" si="5"/>
        <v>2678.6587</v>
      </c>
      <c r="G11" s="5">
        <f t="shared" si="5"/>
        <v>4355.1401999999998</v>
      </c>
      <c r="H11" s="5">
        <f t="shared" si="5"/>
        <v>2322.0257000000001</v>
      </c>
      <c r="I11" s="5">
        <f t="shared" si="5"/>
        <v>7057.6424999999999</v>
      </c>
      <c r="J11" s="5">
        <f t="shared" si="5"/>
        <v>4870.0718999999999</v>
      </c>
      <c r="K11" s="5">
        <f t="shared" si="5"/>
        <v>3606.7793999999999</v>
      </c>
    </row>
    <row r="12" spans="1:11">
      <c r="A12" s="108" t="s">
        <v>127</v>
      </c>
      <c r="B12" s="109">
        <f t="shared" ref="B12:K12" si="6">IFERROR(B11/B$3,"")</f>
        <v>0.10011074981332947</v>
      </c>
      <c r="C12" s="109">
        <f t="shared" si="6"/>
        <v>0.13534096267627563</v>
      </c>
      <c r="D12" s="109">
        <f t="shared" si="6"/>
        <v>5.2415834697217681E-2</v>
      </c>
      <c r="E12" s="109">
        <f t="shared" si="6"/>
        <v>0.12654125200642055</v>
      </c>
      <c r="F12" s="109">
        <f t="shared" si="6"/>
        <v>6.289702967972198E-2</v>
      </c>
      <c r="G12" s="109">
        <f t="shared" si="6"/>
        <v>7.2419106056071034E-2</v>
      </c>
      <c r="H12" s="109">
        <f t="shared" si="6"/>
        <v>3.5248966982922202E-2</v>
      </c>
      <c r="I12" s="109">
        <f t="shared" si="6"/>
        <v>0.12680829560155238</v>
      </c>
      <c r="J12" s="109">
        <f t="shared" si="6"/>
        <v>8.8251520368222675E-2</v>
      </c>
      <c r="K12" s="109">
        <f t="shared" si="6"/>
        <v>7.6722031014017991E-2</v>
      </c>
    </row>
    <row r="13" spans="1:11">
      <c r="A13" s="108" t="s">
        <v>138</v>
      </c>
      <c r="B13" s="108"/>
      <c r="C13" s="109">
        <f t="shared" ref="C13:F13" si="7">IFERROR(C11/B11-1,"")</f>
        <v>0.46396119816240322</v>
      </c>
      <c r="D13" s="109">
        <f t="shared" si="7"/>
        <v>-0.55787328427114802</v>
      </c>
      <c r="E13" s="109">
        <f t="shared" si="7"/>
        <v>0.52384401951044124</v>
      </c>
      <c r="F13" s="109">
        <f t="shared" si="7"/>
        <v>-0.34657783188610791</v>
      </c>
      <c r="G13" s="109">
        <f>IFERROR(G11/F11-1,"")</f>
        <v>0.62586603511675443</v>
      </c>
      <c r="H13" s="109">
        <f t="shared" ref="H13:K13" si="8">IFERROR(H11/G11-1,"")</f>
        <v>-0.46683101040007846</v>
      </c>
      <c r="I13" s="109">
        <f t="shared" si="8"/>
        <v>2.03943341367841</v>
      </c>
      <c r="J13" s="109">
        <f t="shared" si="8"/>
        <v>-0.30995769479681068</v>
      </c>
      <c r="K13" s="109">
        <f t="shared" si="8"/>
        <v>-0.25939914767993466</v>
      </c>
    </row>
    <row r="14" spans="1:11">
      <c r="A14" s="108" t="s">
        <v>139</v>
      </c>
      <c r="B14" s="108"/>
      <c r="C14" s="108"/>
      <c r="D14" s="108"/>
      <c r="E14" s="109">
        <f>IFERROR(SUM(C11:E11)/SUM(B11:D11)-1,"")</f>
        <v>-4.3977226985884021E-3</v>
      </c>
      <c r="F14" s="109">
        <f t="shared" ref="F14:K14" si="9">IFERROR(SUM(D11:F11)/SUM(C11:E11)-1,"")</f>
        <v>-0.26455851351435222</v>
      </c>
      <c r="G14" s="109">
        <f t="shared" si="9"/>
        <v>0.17584503262546303</v>
      </c>
      <c r="H14" s="109">
        <f t="shared" si="9"/>
        <v>-0.15964862054893625</v>
      </c>
      <c r="I14" s="109">
        <f t="shared" si="9"/>
        <v>0.46804894140490827</v>
      </c>
      <c r="J14" s="109">
        <f t="shared" si="9"/>
        <v>3.749099987445037E-2</v>
      </c>
      <c r="K14" s="109">
        <f t="shared" si="9"/>
        <v>9.0159798774154476E-2</v>
      </c>
    </row>
    <row r="15" spans="1:11">
      <c r="A15" s="108" t="s">
        <v>133</v>
      </c>
      <c r="B15" s="108"/>
      <c r="C15" s="108"/>
      <c r="D15" s="108"/>
      <c r="E15" s="108"/>
      <c r="F15" s="109"/>
      <c r="G15" s="109">
        <f>IFERROR(SUM(C11:G11)/SUM(B11:F11)-1,"")</f>
        <v>1.0088782536496588E-2</v>
      </c>
      <c r="H15" s="109">
        <f t="shared" ref="H15:K15" si="10">IFERROR(SUM(D11:H11)/SUM(C11:G11)-1,"")</f>
        <v>-0.18900032371782982</v>
      </c>
      <c r="I15" s="109">
        <f t="shared" si="10"/>
        <v>0.27050676638816529</v>
      </c>
      <c r="J15" s="109">
        <f t="shared" si="10"/>
        <v>3.7568632125227541E-2</v>
      </c>
      <c r="K15" s="109">
        <f t="shared" si="10"/>
        <v>4.3607442352514791E-2</v>
      </c>
    </row>
    <row r="16" spans="1:11" s="9" customFormat="1">
      <c r="A16"/>
      <c r="B16"/>
      <c r="C16"/>
      <c r="D16"/>
      <c r="E16"/>
      <c r="F16"/>
      <c r="G16"/>
      <c r="H16"/>
      <c r="I16"/>
      <c r="J16"/>
      <c r="K16"/>
    </row>
    <row r="17" spans="1:11" s="9" customFormat="1" ht="15" thickBot="1">
      <c r="A17" s="59" t="s">
        <v>140</v>
      </c>
      <c r="B17" s="111">
        <f t="shared" ref="B17:J17" si="11">B2</f>
        <v>39082</v>
      </c>
      <c r="C17" s="111">
        <f t="shared" si="11"/>
        <v>39447</v>
      </c>
      <c r="D17" s="111">
        <f t="shared" si="11"/>
        <v>39813</v>
      </c>
      <c r="E17" s="111">
        <f t="shared" si="11"/>
        <v>40178</v>
      </c>
      <c r="F17" s="111">
        <f t="shared" si="11"/>
        <v>40543</v>
      </c>
      <c r="G17" s="111">
        <f t="shared" si="11"/>
        <v>40908</v>
      </c>
      <c r="H17" s="111">
        <f t="shared" si="11"/>
        <v>41274</v>
      </c>
      <c r="I17" s="111">
        <f t="shared" si="11"/>
        <v>41639</v>
      </c>
      <c r="J17" s="111">
        <f t="shared" si="11"/>
        <v>42004</v>
      </c>
      <c r="K17" s="111">
        <f>K2</f>
        <v>42369</v>
      </c>
    </row>
    <row r="18" spans="1:11">
      <c r="A18" s="112" t="s">
        <v>141</v>
      </c>
      <c r="B18" s="113">
        <v>-2675</v>
      </c>
      <c r="C18" s="113">
        <v>-3040</v>
      </c>
      <c r="D18" s="113">
        <v>-3886</v>
      </c>
      <c r="E18" s="113">
        <v>-2472</v>
      </c>
      <c r="F18" s="113">
        <v>-2586</v>
      </c>
      <c r="G18" s="113">
        <v>-3924</v>
      </c>
      <c r="H18" s="113">
        <v>-5076</v>
      </c>
      <c r="I18" s="113">
        <v>-4446</v>
      </c>
      <c r="J18" s="113">
        <v>-3379</v>
      </c>
      <c r="K18" s="113">
        <v>-3261</v>
      </c>
    </row>
    <row r="19" spans="1:11" s="117" customFormat="1">
      <c r="A19" s="114" t="s">
        <v>178</v>
      </c>
      <c r="B19" s="116">
        <f t="shared" ref="B19:K19" si="12">B18-B10</f>
        <v>-1032.2979999999998</v>
      </c>
      <c r="C19" s="116">
        <f t="shared" si="12"/>
        <v>-1169.6589999999997</v>
      </c>
      <c r="D19" s="116">
        <f t="shared" si="12"/>
        <v>-1904.1903000000002</v>
      </c>
      <c r="E19" s="116">
        <f t="shared" si="12"/>
        <v>-72.430400000000191</v>
      </c>
      <c r="F19" s="116">
        <f t="shared" si="12"/>
        <v>-255.65869999999995</v>
      </c>
      <c r="G19" s="116">
        <f t="shared" si="12"/>
        <v>-1322.1401999999998</v>
      </c>
      <c r="H19" s="116">
        <f t="shared" si="12"/>
        <v>-2214.0257000000001</v>
      </c>
      <c r="I19" s="116">
        <f t="shared" si="12"/>
        <v>-1312.6424999999999</v>
      </c>
      <c r="J19" s="116">
        <f t="shared" si="12"/>
        <v>-192.07189999999991</v>
      </c>
      <c r="K19" s="116">
        <f t="shared" si="12"/>
        <v>-192.7793999999999</v>
      </c>
    </row>
    <row r="20" spans="1:11" s="117" customFormat="1">
      <c r="A20" s="114" t="s">
        <v>142</v>
      </c>
      <c r="B20" s="113">
        <v>572</v>
      </c>
      <c r="C20" s="113">
        <v>408</v>
      </c>
      <c r="D20" s="113">
        <v>982</v>
      </c>
      <c r="E20" s="113">
        <v>1242</v>
      </c>
      <c r="F20" s="113">
        <v>1469</v>
      </c>
      <c r="G20" s="113">
        <v>1730</v>
      </c>
      <c r="H20" s="113">
        <v>2316</v>
      </c>
      <c r="I20" s="113">
        <v>1209</v>
      </c>
      <c r="J20" s="113">
        <v>1103</v>
      </c>
      <c r="K20" s="113">
        <v>938</v>
      </c>
    </row>
    <row r="21" spans="1:11" s="117" customFormat="1">
      <c r="A21" s="114" t="s">
        <v>143</v>
      </c>
      <c r="B21" s="113">
        <v>-513</v>
      </c>
      <c r="C21" s="113">
        <v>-229</v>
      </c>
      <c r="D21" s="113">
        <v>-117</v>
      </c>
      <c r="E21" s="113">
        <v>-19</v>
      </c>
      <c r="F21" s="113">
        <v>-1258</v>
      </c>
      <c r="G21" s="113">
        <v>-8192</v>
      </c>
      <c r="H21" s="113">
        <v>-1067</v>
      </c>
      <c r="I21" s="113">
        <v>-195</v>
      </c>
      <c r="J21" s="113">
        <v>-30</v>
      </c>
      <c r="K21" s="113">
        <v>-400</v>
      </c>
    </row>
    <row r="22" spans="1:11">
      <c r="A22" s="112" t="s">
        <v>144</v>
      </c>
      <c r="B22" s="113">
        <v>-1361</v>
      </c>
      <c r="C22" s="113">
        <v>-1805</v>
      </c>
      <c r="D22" s="113">
        <v>-3365</v>
      </c>
      <c r="E22" s="113">
        <v>2281</v>
      </c>
      <c r="F22" s="113">
        <v>489</v>
      </c>
      <c r="G22" s="113">
        <v>-920</v>
      </c>
      <c r="H22" s="113">
        <v>-2883</v>
      </c>
      <c r="I22" s="113">
        <v>-1635</v>
      </c>
      <c r="J22" s="113">
        <v>-1260</v>
      </c>
      <c r="K22" s="113">
        <v>-546</v>
      </c>
    </row>
    <row r="23" spans="1:11">
      <c r="A23" s="112" t="s">
        <v>189</v>
      </c>
      <c r="B23" s="113">
        <v>0</v>
      </c>
      <c r="C23" s="113">
        <v>0</v>
      </c>
      <c r="D23" s="113">
        <v>0</v>
      </c>
      <c r="E23" s="113">
        <v>0</v>
      </c>
      <c r="F23" s="113">
        <v>0</v>
      </c>
      <c r="G23" s="113">
        <v>0</v>
      </c>
      <c r="H23" s="113">
        <v>0</v>
      </c>
      <c r="I23" s="113">
        <v>0</v>
      </c>
      <c r="J23" s="113">
        <v>0</v>
      </c>
      <c r="K23" s="113">
        <v>0</v>
      </c>
    </row>
    <row r="24" spans="1:11">
      <c r="A24" s="118" t="s">
        <v>145</v>
      </c>
      <c r="B24" s="119">
        <v>68.706374502000003</v>
      </c>
      <c r="C24" s="119">
        <v>72.674023904400002</v>
      </c>
      <c r="D24" s="119">
        <v>64.918458498000007</v>
      </c>
      <c r="E24" s="119">
        <v>42.0206746032</v>
      </c>
      <c r="F24" s="119">
        <v>69.168948404800005</v>
      </c>
      <c r="G24" s="119">
        <v>96.8598412698</v>
      </c>
      <c r="H24" s="119">
        <v>93.861793992000003</v>
      </c>
      <c r="I24" s="119">
        <v>86.9647619048</v>
      </c>
      <c r="J24" s="119">
        <v>100.713452381</v>
      </c>
      <c r="K24" s="119">
        <v>78.791468253999994</v>
      </c>
    </row>
    <row r="25" spans="1:11">
      <c r="A25" s="120" t="s">
        <v>146</v>
      </c>
      <c r="B25" s="121">
        <v>15.491</v>
      </c>
      <c r="C25" s="121">
        <v>12.053132</v>
      </c>
      <c r="D25" s="121">
        <v>5.0675929999999996</v>
      </c>
      <c r="E25" s="121">
        <v>4.1931979999999998</v>
      </c>
      <c r="F25" s="121">
        <v>14.106279000000001</v>
      </c>
      <c r="G25" s="121">
        <v>11.532014999999999</v>
      </c>
      <c r="H25" s="121">
        <v>9.7858280000000004</v>
      </c>
      <c r="I25" s="121">
        <v>7.7630160000000004</v>
      </c>
      <c r="J25" s="121">
        <v>14.107614999999999</v>
      </c>
      <c r="K25" s="121">
        <v>4.8637280000000001</v>
      </c>
    </row>
    <row r="26" spans="1:11">
      <c r="A26" s="122" t="s">
        <v>147</v>
      </c>
      <c r="B26" s="123">
        <v>583</v>
      </c>
      <c r="C26" s="123">
        <v>427</v>
      </c>
      <c r="D26" s="123">
        <v>153</v>
      </c>
      <c r="E26" s="123">
        <v>110</v>
      </c>
      <c r="F26" s="123">
        <v>449</v>
      </c>
      <c r="G26" s="123">
        <v>312</v>
      </c>
      <c r="H26" s="123">
        <v>244</v>
      </c>
      <c r="I26" s="123">
        <v>224</v>
      </c>
      <c r="J26" s="123">
        <v>421</v>
      </c>
      <c r="K26" s="123">
        <v>57</v>
      </c>
    </row>
    <row r="27" spans="1:11">
      <c r="A27" s="112" t="s">
        <v>148</v>
      </c>
      <c r="B27" s="124">
        <f t="shared" ref="B27:E27" si="13">-B24*B25+B26</f>
        <v>-481.33044741048207</v>
      </c>
      <c r="C27" s="124">
        <f t="shared" si="13"/>
        <v>-448.94960309088856</v>
      </c>
      <c r="D27" s="124">
        <f t="shared" si="13"/>
        <v>-175.98032585525533</v>
      </c>
      <c r="E27" s="124">
        <f t="shared" si="13"/>
        <v>-66.201008704789018</v>
      </c>
      <c r="F27" s="124">
        <f>-F24*F25+F26</f>
        <v>-526.71648433471387</v>
      </c>
      <c r="G27" s="124">
        <f t="shared" ref="G27:K27" si="14">-G24*G25+G26</f>
        <v>-804.9891424209527</v>
      </c>
      <c r="H27" s="124">
        <f t="shared" si="14"/>
        <v>-674.51537177714545</v>
      </c>
      <c r="I27" s="124">
        <f t="shared" si="14"/>
        <v>-451.10883810315295</v>
      </c>
      <c r="J27" s="124">
        <f t="shared" si="14"/>
        <v>-999.82661151198113</v>
      </c>
      <c r="K27" s="124">
        <f t="shared" si="14"/>
        <v>-326.2202703080909</v>
      </c>
    </row>
    <row r="28" spans="1:11">
      <c r="A28" s="1" t="s">
        <v>149</v>
      </c>
      <c r="B28" s="5">
        <f>B19+B20+B21+B22+B23+B27</f>
        <v>-2815.6284474104818</v>
      </c>
      <c r="C28" s="5">
        <f t="shared" ref="C28:K28" si="15">C19+C20+C21+C22+C23+C27</f>
        <v>-3244.6086030908882</v>
      </c>
      <c r="D28" s="5">
        <f t="shared" si="15"/>
        <v>-4580.1706258552558</v>
      </c>
      <c r="E28" s="5">
        <f t="shared" si="15"/>
        <v>3365.368591295211</v>
      </c>
      <c r="F28" s="5">
        <f t="shared" si="15"/>
        <v>-82.375184334713822</v>
      </c>
      <c r="G28" s="5">
        <f t="shared" si="15"/>
        <v>-9509.1293424209525</v>
      </c>
      <c r="H28" s="5">
        <f t="shared" si="15"/>
        <v>-4522.5410717771456</v>
      </c>
      <c r="I28" s="5">
        <f t="shared" si="15"/>
        <v>-2384.7513381031531</v>
      </c>
      <c r="J28" s="5">
        <f t="shared" si="15"/>
        <v>-1378.898511511981</v>
      </c>
      <c r="K28" s="5">
        <f t="shared" si="15"/>
        <v>-526.9996703080908</v>
      </c>
    </row>
    <row r="29" spans="1:11">
      <c r="A29" s="108" t="s">
        <v>150</v>
      </c>
      <c r="B29" s="109">
        <f t="shared" ref="B29:E29" si="16">IFERROR(-B28/B11,"")</f>
        <v>0.67743661484582718</v>
      </c>
      <c r="C29" s="109">
        <f t="shared" si="16"/>
        <v>0.53324411492753965</v>
      </c>
      <c r="D29" s="109">
        <f t="shared" si="16"/>
        <v>1.7025452161712336</v>
      </c>
      <c r="E29" s="109">
        <f t="shared" si="16"/>
        <v>-0.8209356576209248</v>
      </c>
      <c r="F29" s="109">
        <f>IFERROR(-F28/F11,"")</f>
        <v>3.075240019742486E-2</v>
      </c>
      <c r="G29" s="109">
        <f t="shared" ref="G29:K29" si="17">IFERROR(-G28/G11,"")</f>
        <v>2.1834266879447308</v>
      </c>
      <c r="H29" s="109">
        <f t="shared" si="17"/>
        <v>1.9476705498036242</v>
      </c>
      <c r="I29" s="109">
        <f t="shared" si="17"/>
        <v>0.33789630717384073</v>
      </c>
      <c r="J29" s="109">
        <f t="shared" si="17"/>
        <v>0.28313719793582126</v>
      </c>
      <c r="K29" s="109">
        <f t="shared" si="17"/>
        <v>0.14611364096958379</v>
      </c>
    </row>
    <row r="31" spans="1:11" s="9" customFormat="1" ht="15" thickBot="1">
      <c r="A31" s="59" t="s">
        <v>151</v>
      </c>
      <c r="B31" s="111">
        <f t="shared" ref="B31:J31" si="18">B2</f>
        <v>39082</v>
      </c>
      <c r="C31" s="111">
        <f t="shared" si="18"/>
        <v>39447</v>
      </c>
      <c r="D31" s="111">
        <f t="shared" si="18"/>
        <v>39813</v>
      </c>
      <c r="E31" s="111">
        <f t="shared" si="18"/>
        <v>40178</v>
      </c>
      <c r="F31" s="111">
        <f t="shared" si="18"/>
        <v>40543</v>
      </c>
      <c r="G31" s="111">
        <f t="shared" si="18"/>
        <v>40908</v>
      </c>
      <c r="H31" s="111">
        <f t="shared" si="18"/>
        <v>41274</v>
      </c>
      <c r="I31" s="111">
        <f t="shared" si="18"/>
        <v>41639</v>
      </c>
      <c r="J31" s="111">
        <f t="shared" si="18"/>
        <v>42004</v>
      </c>
      <c r="K31" s="111">
        <f>K2</f>
        <v>42369</v>
      </c>
    </row>
    <row r="32" spans="1:11" ht="15" thickBot="1">
      <c r="A32" s="125" t="s">
        <v>152</v>
      </c>
      <c r="B32" s="4">
        <f t="shared" ref="B32:K32" si="19">B11+B28</f>
        <v>1340.6695525895179</v>
      </c>
      <c r="C32" s="4">
        <f t="shared" si="19"/>
        <v>2840.0503969091114</v>
      </c>
      <c r="D32" s="4">
        <f t="shared" si="19"/>
        <v>-1889.9803258552556</v>
      </c>
      <c r="E32" s="4">
        <f t="shared" si="19"/>
        <v>7464.7989912952107</v>
      </c>
      <c r="F32" s="4">
        <f t="shared" si="19"/>
        <v>2596.2835156652864</v>
      </c>
      <c r="G32" s="4">
        <f t="shared" si="19"/>
        <v>-5153.9891424209527</v>
      </c>
      <c r="H32" s="4">
        <f t="shared" si="19"/>
        <v>-2200.5153717771454</v>
      </c>
      <c r="I32" s="4">
        <f t="shared" si="19"/>
        <v>4672.8911618968468</v>
      </c>
      <c r="J32" s="4">
        <f t="shared" si="19"/>
        <v>3491.1733884880186</v>
      </c>
      <c r="K32" s="4">
        <f t="shared" si="19"/>
        <v>3079.7797296919089</v>
      </c>
    </row>
    <row r="33" spans="1:11" ht="15" thickTop="1">
      <c r="A33" s="108" t="s">
        <v>128</v>
      </c>
      <c r="B33" s="109">
        <f t="shared" ref="B33:K33" si="20">IFERROR(B32/B$3,"")</f>
        <v>3.2292062350110028E-2</v>
      </c>
      <c r="C33" s="109">
        <f t="shared" si="20"/>
        <v>6.3171190820523859E-2</v>
      </c>
      <c r="D33" s="109">
        <f t="shared" si="20"/>
        <v>-3.6824493918152436E-2</v>
      </c>
      <c r="E33" s="109">
        <f t="shared" si="20"/>
        <v>0.23042347793848655</v>
      </c>
      <c r="F33" s="109">
        <f t="shared" si="20"/>
        <v>6.0962795051781871E-2</v>
      </c>
      <c r="G33" s="109">
        <f t="shared" si="20"/>
        <v>-8.5702702823854351E-2</v>
      </c>
      <c r="H33" s="109">
        <f t="shared" si="20"/>
        <v>-3.3404407920715681E-2</v>
      </c>
      <c r="I33" s="109">
        <f t="shared" si="20"/>
        <v>8.3960240798779048E-2</v>
      </c>
      <c r="J33" s="109">
        <f t="shared" si="20"/>
        <v>6.3264232177588045E-2</v>
      </c>
      <c r="K33" s="109">
        <f t="shared" si="20"/>
        <v>6.5511895719978494E-2</v>
      </c>
    </row>
    <row r="34" spans="1:11">
      <c r="A34" s="108" t="s">
        <v>138</v>
      </c>
      <c r="B34" s="108"/>
      <c r="C34" s="109">
        <f t="shared" ref="C34:F34" si="21">IFERROR(C32/B32-1,"")</f>
        <v>1.1183821109560688</v>
      </c>
      <c r="D34" s="109">
        <f t="shared" si="21"/>
        <v>-1.6654742211307807</v>
      </c>
      <c r="E34" s="109">
        <f t="shared" si="21"/>
        <v>-4.9496702104119699</v>
      </c>
      <c r="F34" s="109">
        <f t="shared" si="21"/>
        <v>-0.65219645985205454</v>
      </c>
      <c r="G34" s="109">
        <f>IFERROR(G32/F32-1,"")</f>
        <v>-2.9851411108698835</v>
      </c>
      <c r="H34" s="109">
        <f t="shared" ref="H34:K34" si="22">IFERROR(H32/G32-1,"")</f>
        <v>-0.57304617627822352</v>
      </c>
      <c r="I34" s="109">
        <f t="shared" si="22"/>
        <v>-3.1235439760291248</v>
      </c>
      <c r="J34" s="109">
        <f t="shared" si="22"/>
        <v>-0.25288793007734822</v>
      </c>
      <c r="K34" s="109">
        <f t="shared" si="22"/>
        <v>-0.11783822028222979</v>
      </c>
    </row>
    <row r="35" spans="1:11">
      <c r="A35" s="108" t="s">
        <v>139</v>
      </c>
      <c r="B35" s="108"/>
      <c r="C35" s="108"/>
      <c r="D35" s="108"/>
      <c r="E35" s="109">
        <f>IFERROR(SUM(C32:E32)/SUM(B32:D32)-1,"")</f>
        <v>2.6734288679065989</v>
      </c>
      <c r="F35" s="109">
        <f t="shared" ref="F35" si="23">IFERROR(SUM(D32:F32)/SUM(C32:E32)-1,"")</f>
        <v>-2.8968588748994106E-2</v>
      </c>
      <c r="G35" s="109">
        <f t="shared" ref="G35:K35" si="24">IFERROR(SUM(E32:G32)/SUM(D32:F32)-1,"")</f>
        <v>-0.3994575938743431</v>
      </c>
      <c r="H35" s="109">
        <f t="shared" si="24"/>
        <v>-1.9696618028337225</v>
      </c>
      <c r="I35" s="109">
        <f t="shared" si="24"/>
        <v>-0.4364252200290567</v>
      </c>
      <c r="J35" s="109">
        <f t="shared" si="24"/>
        <v>-3.2238661563532434</v>
      </c>
      <c r="K35" s="109">
        <f t="shared" si="24"/>
        <v>0.88542828160290576</v>
      </c>
    </row>
    <row r="36" spans="1:11">
      <c r="A36" s="108" t="s">
        <v>133</v>
      </c>
      <c r="B36" s="108"/>
      <c r="C36" s="108"/>
      <c r="D36" s="108"/>
      <c r="E36" s="108"/>
      <c r="F36" s="109"/>
      <c r="G36" s="109">
        <f>IFERROR(SUM(C32:G32)/SUM(B32:F32)-1,"")</f>
        <v>-0.52580571727298286</v>
      </c>
      <c r="H36" s="109">
        <f t="shared" ref="H36" si="25">IFERROR(SUM(D32:H32)/SUM(C32:G32)-1,"")</f>
        <v>-0.86058137597036133</v>
      </c>
      <c r="I36" s="109">
        <f t="shared" ref="I36:K36" si="26">IFERROR(SUM(E32:I32)/SUM(D32:H32)-1,"")</f>
        <v>8.036848197973578</v>
      </c>
      <c r="J36" s="109">
        <f t="shared" si="26"/>
        <v>-0.53847038581336526</v>
      </c>
      <c r="K36" s="109">
        <f t="shared" si="26"/>
        <v>0.14196078201058393</v>
      </c>
    </row>
    <row r="38" spans="1:11" s="9" customFormat="1" ht="15" thickBot="1">
      <c r="A38" s="59" t="s">
        <v>153</v>
      </c>
      <c r="B38" s="126">
        <f t="shared" ref="B38:E38" si="27">B2</f>
        <v>39082</v>
      </c>
      <c r="C38" s="126">
        <f t="shared" si="27"/>
        <v>39447</v>
      </c>
      <c r="D38" s="126">
        <f t="shared" si="27"/>
        <v>39813</v>
      </c>
      <c r="E38" s="126">
        <f t="shared" si="27"/>
        <v>40178</v>
      </c>
      <c r="F38" s="126">
        <f>F2</f>
        <v>40543</v>
      </c>
      <c r="G38" s="126">
        <f t="shared" ref="G38:K38" si="28">G2</f>
        <v>40908</v>
      </c>
      <c r="H38" s="126">
        <f t="shared" si="28"/>
        <v>41274</v>
      </c>
      <c r="I38" s="126">
        <f t="shared" si="28"/>
        <v>41639</v>
      </c>
      <c r="J38" s="126">
        <f t="shared" si="28"/>
        <v>42004</v>
      </c>
      <c r="K38" s="126">
        <f t="shared" si="28"/>
        <v>42369</v>
      </c>
    </row>
    <row r="39" spans="1:11" s="117" customFormat="1" ht="15" thickBot="1">
      <c r="A39" s="127" t="s">
        <v>154</v>
      </c>
      <c r="B39" s="128">
        <f>VLOOKUP(B38,'GDP Data'!$A$2:$B$62,2,TRUE)</f>
        <v>14068.4</v>
      </c>
      <c r="C39" s="128">
        <f>VLOOKUP(C38,'GDP Data'!$A$2:$B$62,2,TRUE)</f>
        <v>14690</v>
      </c>
      <c r="D39" s="128">
        <f>VLOOKUP(D38,'GDP Data'!$A$2:$B$62,2,TRUE)</f>
        <v>14549.9</v>
      </c>
      <c r="E39" s="128">
        <f>VLOOKUP(E38,'GDP Data'!$A$2:$B$62,2,TRUE)</f>
        <v>14566.5</v>
      </c>
      <c r="F39" s="128">
        <f>VLOOKUP(F38,'GDP Data'!$A$2:$B$62,2,TRUE)</f>
        <v>15230.2</v>
      </c>
      <c r="G39" s="128">
        <f>VLOOKUP(G38,'GDP Data'!$A$2:$B$62,2,TRUE)</f>
        <v>15785.3</v>
      </c>
      <c r="H39" s="128">
        <f>VLOOKUP(H38,'GDP Data'!$A$2:$B$62,2,TRUE)</f>
        <v>16332.5</v>
      </c>
      <c r="I39" s="128">
        <f>VLOOKUP(I38,'GDP Data'!$A$2:$B$62,2,TRUE)</f>
        <v>17078.3</v>
      </c>
      <c r="J39" s="128">
        <f>VLOOKUP(J38,'GDP Data'!$A$2:$B$62,2,TRUE)</f>
        <v>17703.7</v>
      </c>
      <c r="K39" s="128">
        <f>VLOOKUP(K38,'GDP Data'!$A$2:$B$62,2,TRUE)</f>
        <v>17665</v>
      </c>
    </row>
    <row r="40" spans="1:11">
      <c r="A40" t="s">
        <v>155</v>
      </c>
      <c r="C40" s="129">
        <f t="shared" ref="C40" si="29">C39/B39-1</f>
        <v>4.4184128969890102E-2</v>
      </c>
      <c r="D40" s="129">
        <f t="shared" ref="D40" si="30">D39/C39-1</f>
        <v>-9.5371000680735118E-3</v>
      </c>
      <c r="E40" s="129">
        <f t="shared" ref="E40:F40" si="31">E39/D39-1</f>
        <v>1.1409013120364797E-3</v>
      </c>
      <c r="F40" s="129">
        <f t="shared" si="31"/>
        <v>4.5563450382727577E-2</v>
      </c>
      <c r="G40" s="129">
        <f>G39/F39-1</f>
        <v>3.6447321768591223E-2</v>
      </c>
      <c r="H40" s="129">
        <f t="shared" ref="H40:K40" si="32">H39/G39-1</f>
        <v>3.4665163158128287E-2</v>
      </c>
      <c r="I40" s="129">
        <f t="shared" si="32"/>
        <v>4.5663554262972639E-2</v>
      </c>
      <c r="J40" s="129">
        <f t="shared" si="32"/>
        <v>3.6619569863511003E-2</v>
      </c>
      <c r="K40" s="129">
        <f t="shared" si="32"/>
        <v>-2.1859837209171618E-3</v>
      </c>
    </row>
    <row r="41" spans="1:11">
      <c r="A41" s="130" t="s">
        <v>156</v>
      </c>
      <c r="B41" s="130"/>
      <c r="C41" s="131">
        <f t="shared" ref="C41:F41" si="33">C13</f>
        <v>0.46396119816240322</v>
      </c>
      <c r="D41" s="131">
        <f t="shared" si="33"/>
        <v>-0.55787328427114802</v>
      </c>
      <c r="E41" s="131">
        <f t="shared" si="33"/>
        <v>0.52384401951044124</v>
      </c>
      <c r="F41" s="131">
        <f t="shared" si="33"/>
        <v>-0.34657783188610791</v>
      </c>
      <c r="G41" s="131">
        <f>G13</f>
        <v>0.62586603511675443</v>
      </c>
      <c r="H41" s="131">
        <f t="shared" ref="H41:K41" si="34">H13</f>
        <v>-0.46683101040007846</v>
      </c>
      <c r="I41" s="131">
        <f t="shared" si="34"/>
        <v>2.03943341367841</v>
      </c>
      <c r="J41" s="131">
        <f t="shared" si="34"/>
        <v>-0.30995769479681068</v>
      </c>
      <c r="K41" s="131">
        <f t="shared" si="34"/>
        <v>-0.25939914767993466</v>
      </c>
    </row>
    <row r="42" spans="1:11">
      <c r="A42" t="s">
        <v>157</v>
      </c>
      <c r="D42" s="132"/>
      <c r="E42" s="132">
        <f t="shared" ref="E42" si="35">SUM(C39:E39)/SUM(B39:D39)-1</f>
        <v>1.1501259573799993E-2</v>
      </c>
      <c r="F42" s="132">
        <f t="shared" ref="F42" si="36">SUM(D39:F39)/SUM(C39:E39)-1</f>
        <v>1.2331531465721968E-2</v>
      </c>
      <c r="G42" s="132">
        <f t="shared" ref="G42:J42" si="37">SUM(E39:G39)/SUM(D39:F39)-1</f>
        <v>2.7857829010566659E-2</v>
      </c>
      <c r="H42" s="132">
        <f t="shared" si="37"/>
        <v>3.8743363608441994E-2</v>
      </c>
      <c r="I42" s="132">
        <f t="shared" si="37"/>
        <v>3.9032271690462084E-2</v>
      </c>
      <c r="J42" s="132">
        <f t="shared" si="37"/>
        <v>3.8994960982679627E-2</v>
      </c>
      <c r="K42" s="132">
        <f>SUM(I39:K39)/SUM(H39:J39)-1</f>
        <v>2.606892369092928E-2</v>
      </c>
    </row>
    <row r="43" spans="1:11">
      <c r="A43" s="130" t="s">
        <v>158</v>
      </c>
      <c r="B43" s="130"/>
      <c r="C43" s="130"/>
      <c r="D43" s="131"/>
      <c r="E43" s="131">
        <f t="shared" ref="E43:J43" si="38">E14</f>
        <v>-4.3977226985884021E-3</v>
      </c>
      <c r="F43" s="131">
        <f t="shared" si="38"/>
        <v>-0.26455851351435222</v>
      </c>
      <c r="G43" s="131">
        <f t="shared" si="38"/>
        <v>0.17584503262546303</v>
      </c>
      <c r="H43" s="131">
        <f t="shared" si="38"/>
        <v>-0.15964862054893625</v>
      </c>
      <c r="I43" s="131">
        <f t="shared" si="38"/>
        <v>0.46804894140490827</v>
      </c>
      <c r="J43" s="131">
        <f t="shared" si="38"/>
        <v>3.749099987445037E-2</v>
      </c>
      <c r="K43" s="131">
        <f>K14</f>
        <v>9.0159798774154476E-2</v>
      </c>
    </row>
    <row r="44" spans="1:11">
      <c r="A44" t="s">
        <v>159</v>
      </c>
      <c r="G44" s="132">
        <f t="shared" ref="G44:J44" si="39">SUM(C39:G39)/SUM(B39:F39)-1</f>
        <v>2.3485397715614642E-2</v>
      </c>
      <c r="H44" s="132">
        <f t="shared" si="39"/>
        <v>2.1952128988972586E-2</v>
      </c>
      <c r="I44" s="132">
        <f t="shared" si="39"/>
        <v>3.3066368139944791E-2</v>
      </c>
      <c r="J44" s="132">
        <f t="shared" si="39"/>
        <v>3.9715012001093841E-2</v>
      </c>
      <c r="K44" s="132">
        <f>SUM(G39:K39)/SUM(F39:J39)-1</f>
        <v>2.9645683672226975E-2</v>
      </c>
    </row>
    <row r="45" spans="1:11">
      <c r="A45" s="130" t="s">
        <v>160</v>
      </c>
      <c r="B45" s="130"/>
      <c r="C45" s="130"/>
      <c r="D45" s="130"/>
      <c r="E45" s="131"/>
      <c r="F45" s="131"/>
      <c r="G45" s="131">
        <f t="shared" ref="G45:J45" si="40">G15</f>
        <v>1.0088782536496588E-2</v>
      </c>
      <c r="H45" s="131">
        <f t="shared" si="40"/>
        <v>-0.18900032371782982</v>
      </c>
      <c r="I45" s="131">
        <f t="shared" si="40"/>
        <v>0.27050676638816529</v>
      </c>
      <c r="J45" s="131">
        <f t="shared" si="40"/>
        <v>3.7568632125227541E-2</v>
      </c>
      <c r="K45" s="131">
        <f>K15</f>
        <v>4.3607442352514791E-2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zoomScale="80" zoomScaleNormal="80" workbookViewId="0">
      <pane xSplit="1" ySplit="1" topLeftCell="J2" activePane="bottomRight" state="frozen"/>
      <selection activeCell="E16" sqref="E16"/>
      <selection pane="topRight" activeCell="E16" sqref="E16"/>
      <selection pane="bottomLeft" activeCell="E16" sqref="E16"/>
      <selection pane="bottomRight" activeCell="L9" sqref="L9"/>
    </sheetView>
  </sheetViews>
  <sheetFormatPr defaultRowHeight="14.6"/>
  <cols>
    <col min="1" max="1" width="22.69140625" customWidth="1"/>
    <col min="2" max="4" width="9.53515625" customWidth="1"/>
    <col min="5" max="5" width="9.3046875" customWidth="1"/>
    <col min="6" max="6" width="9.15234375" customWidth="1"/>
    <col min="17" max="17" width="10.15234375" customWidth="1"/>
  </cols>
  <sheetData>
    <row r="1" spans="1:17">
      <c r="B1">
        <v>2010</v>
      </c>
      <c r="C1">
        <v>2011</v>
      </c>
      <c r="D1">
        <v>2012</v>
      </c>
      <c r="E1">
        <v>2013</v>
      </c>
      <c r="F1">
        <v>2014</v>
      </c>
      <c r="G1">
        <v>2015</v>
      </c>
      <c r="I1" s="6" t="s">
        <v>197</v>
      </c>
      <c r="J1" s="6" t="s">
        <v>198</v>
      </c>
      <c r="K1" s="6" t="s">
        <v>199</v>
      </c>
    </row>
    <row r="2" spans="1:17">
      <c r="A2" s="140" t="s">
        <v>37</v>
      </c>
      <c r="B2" s="141"/>
      <c r="C2" s="141"/>
      <c r="D2" s="141"/>
      <c r="E2" s="141"/>
      <c r="F2" s="141"/>
      <c r="G2" s="141"/>
    </row>
    <row r="3" spans="1:17">
      <c r="A3" s="10" t="s">
        <v>200</v>
      </c>
      <c r="B3" s="144"/>
      <c r="C3" s="144"/>
      <c r="D3" s="144"/>
      <c r="E3" s="144"/>
    </row>
    <row r="4" spans="1:17">
      <c r="A4" t="s">
        <v>201</v>
      </c>
      <c r="B4" s="144">
        <v>4108</v>
      </c>
      <c r="C4" s="144">
        <v>5985</v>
      </c>
      <c r="D4" s="144">
        <v>7101</v>
      </c>
      <c r="E4" s="144">
        <v>7071</v>
      </c>
      <c r="F4" s="144">
        <v>8403</v>
      </c>
      <c r="G4" s="144">
        <v>8084</v>
      </c>
      <c r="I4" s="144">
        <v>2058</v>
      </c>
      <c r="J4" s="144">
        <v>2247</v>
      </c>
      <c r="K4" s="144">
        <v>1655</v>
      </c>
      <c r="L4" s="144"/>
      <c r="M4" s="144"/>
      <c r="N4" s="18"/>
      <c r="O4" s="18"/>
      <c r="P4" s="18"/>
      <c r="Q4" s="18"/>
    </row>
    <row r="5" spans="1:17">
      <c r="A5" t="s">
        <v>202</v>
      </c>
      <c r="B5" s="144">
        <v>2866</v>
      </c>
      <c r="C5" s="144">
        <v>4963</v>
      </c>
      <c r="D5" s="144">
        <v>6037</v>
      </c>
      <c r="E5" s="144">
        <v>4443</v>
      </c>
      <c r="F5" s="144">
        <v>3193</v>
      </c>
      <c r="G5" s="144">
        <v>2820</v>
      </c>
      <c r="I5" s="144">
        <v>604</v>
      </c>
      <c r="J5" s="144">
        <v>539</v>
      </c>
      <c r="K5" s="144">
        <v>454</v>
      </c>
      <c r="L5" s="144"/>
      <c r="M5" s="144"/>
    </row>
    <row r="6" spans="1:17">
      <c r="A6" t="s">
        <v>203</v>
      </c>
      <c r="B6" s="144">
        <v>6376</v>
      </c>
      <c r="C6" s="144">
        <v>8331</v>
      </c>
      <c r="D6" s="144">
        <v>8720</v>
      </c>
      <c r="E6" s="144">
        <v>8231</v>
      </c>
      <c r="F6" s="144">
        <v>9612</v>
      </c>
      <c r="G6" s="144">
        <v>7759</v>
      </c>
      <c r="I6" s="144">
        <v>1566</v>
      </c>
      <c r="J6" s="144">
        <v>1809</v>
      </c>
      <c r="K6" s="144">
        <v>1583</v>
      </c>
      <c r="L6" s="144"/>
      <c r="M6" s="144"/>
      <c r="N6" s="18"/>
      <c r="O6" s="18"/>
      <c r="P6" s="18"/>
      <c r="Q6" s="18"/>
    </row>
    <row r="7" spans="1:17">
      <c r="A7" t="s">
        <v>204</v>
      </c>
      <c r="B7" s="144">
        <v>1208</v>
      </c>
      <c r="C7" s="144">
        <v>970</v>
      </c>
      <c r="D7" s="144">
        <v>777</v>
      </c>
      <c r="E7" s="144">
        <v>602</v>
      </c>
      <c r="F7" s="144">
        <v>1436</v>
      </c>
      <c r="G7" s="144">
        <v>1576</v>
      </c>
      <c r="I7" s="144">
        <v>15</v>
      </c>
      <c r="J7" s="144">
        <v>14</v>
      </c>
      <c r="K7" s="144">
        <v>6</v>
      </c>
      <c r="L7" s="144"/>
    </row>
    <row r="8" spans="1:17">
      <c r="B8" s="144"/>
      <c r="C8" s="144"/>
      <c r="D8" s="144"/>
      <c r="E8" s="144"/>
      <c r="F8" s="144"/>
      <c r="G8" s="144"/>
      <c r="I8" s="144"/>
      <c r="J8" s="144"/>
      <c r="K8" s="144"/>
    </row>
    <row r="9" spans="1:17">
      <c r="A9" s="10" t="s">
        <v>205</v>
      </c>
      <c r="B9" s="144"/>
      <c r="C9" s="144"/>
      <c r="D9" s="144"/>
      <c r="E9" s="144"/>
      <c r="F9" s="144"/>
      <c r="G9" s="144"/>
      <c r="I9" s="144"/>
      <c r="J9" s="144"/>
      <c r="K9" s="144"/>
    </row>
    <row r="10" spans="1:17">
      <c r="A10" t="s">
        <v>201</v>
      </c>
      <c r="B10" s="144">
        <v>2048</v>
      </c>
      <c r="C10" s="144">
        <v>3045</v>
      </c>
      <c r="D10" s="144">
        <v>2650</v>
      </c>
      <c r="E10" s="144">
        <v>2731</v>
      </c>
      <c r="F10" s="144">
        <v>2445</v>
      </c>
      <c r="G10" s="144">
        <v>1449</v>
      </c>
      <c r="I10" s="144">
        <v>231</v>
      </c>
      <c r="J10" s="144">
        <v>277</v>
      </c>
      <c r="K10" s="144">
        <v>287</v>
      </c>
      <c r="L10" s="144"/>
    </row>
    <row r="11" spans="1:17">
      <c r="A11" t="s">
        <v>202</v>
      </c>
      <c r="B11" s="144">
        <v>1809</v>
      </c>
      <c r="C11" s="144">
        <v>2831</v>
      </c>
      <c r="D11" s="144">
        <v>3662</v>
      </c>
      <c r="E11" s="144">
        <v>2481</v>
      </c>
      <c r="F11" s="144">
        <v>1514</v>
      </c>
      <c r="G11" s="144">
        <v>1216</v>
      </c>
      <c r="I11" s="144">
        <v>268</v>
      </c>
      <c r="J11" s="144">
        <v>258</v>
      </c>
      <c r="K11" s="144">
        <v>254</v>
      </c>
      <c r="L11" s="144"/>
    </row>
    <row r="12" spans="1:17">
      <c r="A12" t="s">
        <v>203</v>
      </c>
      <c r="B12" s="144">
        <v>1900</v>
      </c>
      <c r="C12" s="144">
        <v>2363</v>
      </c>
      <c r="D12" s="144">
        <v>2191</v>
      </c>
      <c r="E12" s="144">
        <v>2168</v>
      </c>
      <c r="F12" s="144">
        <v>1963</v>
      </c>
      <c r="G12" s="144">
        <v>1634</v>
      </c>
      <c r="I12" s="144">
        <v>200</v>
      </c>
      <c r="J12" s="144">
        <v>277</v>
      </c>
      <c r="K12" s="144">
        <v>280</v>
      </c>
      <c r="L12" s="144"/>
    </row>
    <row r="13" spans="1:17">
      <c r="A13" t="s">
        <v>204</v>
      </c>
      <c r="B13" s="144">
        <v>108</v>
      </c>
      <c r="C13" s="144">
        <v>103</v>
      </c>
      <c r="D13" s="144">
        <v>65</v>
      </c>
      <c r="E13" s="144">
        <v>37</v>
      </c>
      <c r="F13" s="144">
        <v>251</v>
      </c>
      <c r="G13" s="144">
        <v>143</v>
      </c>
      <c r="I13" s="144">
        <v>1</v>
      </c>
      <c r="J13" s="144">
        <v>2</v>
      </c>
      <c r="K13" s="144">
        <v>0</v>
      </c>
      <c r="L13" s="144"/>
    </row>
    <row r="14" spans="1:17">
      <c r="B14" s="144"/>
      <c r="C14" s="144"/>
      <c r="D14" s="144"/>
      <c r="E14" s="144"/>
      <c r="F14" s="144"/>
      <c r="G14" s="144"/>
      <c r="I14" s="144"/>
      <c r="J14" s="144"/>
      <c r="K14" s="144"/>
    </row>
    <row r="15" spans="1:17">
      <c r="A15" s="10" t="s">
        <v>206</v>
      </c>
      <c r="B15" s="144"/>
      <c r="C15" s="144"/>
      <c r="D15" s="144"/>
      <c r="E15" s="144"/>
      <c r="F15" s="144"/>
      <c r="G15" s="144"/>
      <c r="I15" s="144"/>
      <c r="J15" s="144"/>
      <c r="K15" s="144"/>
    </row>
    <row r="16" spans="1:17">
      <c r="A16" t="s">
        <v>201</v>
      </c>
      <c r="B16" s="144">
        <v>2941</v>
      </c>
      <c r="C16" s="144">
        <v>4768</v>
      </c>
      <c r="D16" s="144">
        <v>4633</v>
      </c>
      <c r="E16" s="144">
        <v>4026</v>
      </c>
      <c r="F16" s="144">
        <v>4267</v>
      </c>
      <c r="G16" s="144">
        <v>3808</v>
      </c>
      <c r="I16" s="144">
        <v>847</v>
      </c>
      <c r="J16" s="144">
        <v>1010</v>
      </c>
      <c r="K16" s="144">
        <v>789</v>
      </c>
      <c r="L16" s="144"/>
      <c r="M16" s="144"/>
      <c r="N16" s="18"/>
      <c r="O16" s="18"/>
      <c r="P16" s="18"/>
      <c r="Q16" s="18"/>
    </row>
    <row r="17" spans="1:17">
      <c r="A17" t="s">
        <v>202</v>
      </c>
      <c r="B17" s="144">
        <v>1737</v>
      </c>
      <c r="C17" s="144">
        <v>3228</v>
      </c>
      <c r="D17" s="144">
        <v>4374</v>
      </c>
      <c r="E17" s="144">
        <v>3241</v>
      </c>
      <c r="F17" s="144">
        <v>2116</v>
      </c>
      <c r="G17" s="144">
        <v>1741</v>
      </c>
      <c r="I17" s="144">
        <v>262</v>
      </c>
      <c r="J17" s="144">
        <v>317</v>
      </c>
      <c r="K17" s="144">
        <v>303</v>
      </c>
      <c r="L17" s="144"/>
      <c r="M17" s="144"/>
    </row>
    <row r="18" spans="1:17">
      <c r="A18" t="s">
        <v>203</v>
      </c>
      <c r="B18" s="144">
        <v>4393</v>
      </c>
      <c r="C18" s="144">
        <v>5752</v>
      </c>
      <c r="D18" s="144">
        <v>6043</v>
      </c>
      <c r="E18" s="144">
        <v>5735</v>
      </c>
      <c r="F18" s="144">
        <v>6297</v>
      </c>
      <c r="G18" s="144">
        <v>5270</v>
      </c>
      <c r="I18" s="144">
        <v>982</v>
      </c>
      <c r="J18" s="144">
        <v>1062</v>
      </c>
      <c r="K18" s="144">
        <v>1094</v>
      </c>
      <c r="L18" s="144"/>
      <c r="M18" s="144"/>
      <c r="N18" s="18"/>
      <c r="O18" s="18"/>
      <c r="P18" s="18"/>
      <c r="Q18" s="18"/>
    </row>
    <row r="19" spans="1:17">
      <c r="A19" t="s">
        <v>204</v>
      </c>
      <c r="B19" s="144">
        <v>538</v>
      </c>
      <c r="C19" s="144">
        <v>585</v>
      </c>
      <c r="D19" s="144">
        <v>395</v>
      </c>
      <c r="E19" s="144">
        <v>142</v>
      </c>
      <c r="F19" s="144">
        <v>345</v>
      </c>
      <c r="G19" s="144">
        <v>296</v>
      </c>
      <c r="I19" s="144">
        <v>9</v>
      </c>
      <c r="J19" s="144">
        <v>9</v>
      </c>
      <c r="K19" s="144">
        <v>5</v>
      </c>
      <c r="L19" s="144"/>
    </row>
    <row r="20" spans="1:17">
      <c r="B20" s="144"/>
      <c r="C20" s="144"/>
      <c r="D20" s="144"/>
      <c r="E20" s="144"/>
      <c r="F20" s="144"/>
      <c r="G20" s="144"/>
      <c r="I20" s="144"/>
      <c r="J20" s="144"/>
      <c r="K20" s="144"/>
    </row>
    <row r="21" spans="1:17">
      <c r="A21" s="10" t="s">
        <v>193</v>
      </c>
      <c r="B21" s="144"/>
      <c r="C21" s="144"/>
      <c r="D21" s="144"/>
      <c r="E21" s="144"/>
      <c r="F21" s="144"/>
      <c r="G21" s="144"/>
      <c r="I21" s="144"/>
      <c r="J21" s="144"/>
      <c r="K21" s="144"/>
    </row>
    <row r="22" spans="1:17">
      <c r="A22" t="s">
        <v>201</v>
      </c>
      <c r="B22" s="144">
        <v>4475</v>
      </c>
      <c r="C22" s="144">
        <v>5869</v>
      </c>
      <c r="D22" s="144">
        <v>4950</v>
      </c>
      <c r="E22" s="144">
        <v>4704</v>
      </c>
      <c r="F22" s="144">
        <v>4247</v>
      </c>
      <c r="G22" s="144">
        <v>3227</v>
      </c>
      <c r="I22" s="144">
        <v>907</v>
      </c>
      <c r="J22" s="144">
        <v>892</v>
      </c>
      <c r="K22" s="144">
        <v>823</v>
      </c>
      <c r="L22" s="144"/>
      <c r="M22" s="144"/>
      <c r="N22" s="18"/>
      <c r="O22" s="18"/>
      <c r="P22" s="18"/>
      <c r="Q22" s="18"/>
    </row>
    <row r="23" spans="1:17">
      <c r="A23" t="s">
        <v>202</v>
      </c>
      <c r="B23" s="144">
        <v>2255</v>
      </c>
      <c r="C23" s="144">
        <v>4607</v>
      </c>
      <c r="D23" s="144">
        <v>7085</v>
      </c>
      <c r="E23" s="144">
        <v>3105</v>
      </c>
      <c r="F23" s="144">
        <v>2098</v>
      </c>
      <c r="G23" s="144">
        <v>1774</v>
      </c>
      <c r="I23" s="144">
        <v>315</v>
      </c>
      <c r="J23" s="144">
        <v>343</v>
      </c>
      <c r="K23" s="144">
        <v>366</v>
      </c>
      <c r="L23" s="144"/>
      <c r="M23" s="144"/>
    </row>
    <row r="24" spans="1:17">
      <c r="A24" t="s">
        <v>203</v>
      </c>
      <c r="B24" s="144">
        <v>2868</v>
      </c>
      <c r="C24" s="144">
        <v>3668</v>
      </c>
      <c r="D24" s="144">
        <v>4168</v>
      </c>
      <c r="E24" s="144">
        <v>4021</v>
      </c>
      <c r="F24" s="144">
        <v>3855</v>
      </c>
      <c r="G24" s="144">
        <v>3275</v>
      </c>
      <c r="I24" s="144">
        <v>530</v>
      </c>
      <c r="J24" s="144">
        <v>602</v>
      </c>
      <c r="K24" s="144">
        <v>577</v>
      </c>
      <c r="L24" s="144"/>
      <c r="M24" s="144"/>
      <c r="N24" s="18"/>
      <c r="O24" s="18"/>
      <c r="P24" s="18"/>
      <c r="Q24" s="18"/>
    </row>
    <row r="25" spans="1:17">
      <c r="A25" t="s">
        <v>204</v>
      </c>
      <c r="B25" s="144">
        <v>302</v>
      </c>
      <c r="C25" s="144">
        <v>363</v>
      </c>
      <c r="D25" s="144">
        <v>264</v>
      </c>
      <c r="E25" s="144">
        <v>105</v>
      </c>
      <c r="F25" s="144">
        <v>219</v>
      </c>
      <c r="G25" s="144">
        <v>182</v>
      </c>
      <c r="I25" s="144">
        <v>13</v>
      </c>
      <c r="J25" s="144">
        <v>16</v>
      </c>
      <c r="K25" s="144">
        <v>17</v>
      </c>
      <c r="L25" s="144"/>
      <c r="Q25" s="18"/>
    </row>
    <row r="26" spans="1:17">
      <c r="Q26" s="38"/>
    </row>
    <row r="27" spans="1:17">
      <c r="A27" s="10" t="s">
        <v>207</v>
      </c>
    </row>
    <row r="28" spans="1:17">
      <c r="A28" t="s">
        <v>201</v>
      </c>
      <c r="B28" s="144">
        <f t="shared" ref="B28:G31" si="0">B4+B10+B16+B22</f>
        <v>13572</v>
      </c>
      <c r="C28" s="144">
        <f t="shared" si="0"/>
        <v>19667</v>
      </c>
      <c r="D28" s="144">
        <f t="shared" si="0"/>
        <v>19334</v>
      </c>
      <c r="E28" s="144">
        <f t="shared" si="0"/>
        <v>18532</v>
      </c>
      <c r="F28" s="144">
        <f t="shared" si="0"/>
        <v>19362</v>
      </c>
      <c r="G28" s="144">
        <f t="shared" si="0"/>
        <v>16568</v>
      </c>
      <c r="H28" s="20">
        <f>D28/SUM(D$36:D$39)</f>
        <v>0.30632971559851063</v>
      </c>
      <c r="I28" s="144">
        <f t="shared" ref="I28:K31" si="1">I4+I10+I16+I22</f>
        <v>4043</v>
      </c>
      <c r="J28" s="144">
        <f t="shared" si="1"/>
        <v>4426</v>
      </c>
      <c r="K28" s="144">
        <f t="shared" si="1"/>
        <v>3554</v>
      </c>
      <c r="L28" s="144">
        <f>SUM(I28:K28)</f>
        <v>12023</v>
      </c>
    </row>
    <row r="29" spans="1:17">
      <c r="A29" t="s">
        <v>202</v>
      </c>
      <c r="B29" s="144">
        <f t="shared" si="0"/>
        <v>8667</v>
      </c>
      <c r="C29" s="144">
        <f t="shared" si="0"/>
        <v>15629</v>
      </c>
      <c r="D29" s="144">
        <f t="shared" si="0"/>
        <v>21158</v>
      </c>
      <c r="E29" s="144">
        <f t="shared" si="0"/>
        <v>13270</v>
      </c>
      <c r="F29" s="144">
        <f t="shared" si="0"/>
        <v>8921</v>
      </c>
      <c r="G29" s="144">
        <f t="shared" si="0"/>
        <v>7551</v>
      </c>
      <c r="H29" s="20">
        <f t="shared" ref="H29:H31" si="2">D29/SUM(D$36:D$39)</f>
        <v>0.33522934326229897</v>
      </c>
      <c r="I29" s="144">
        <f t="shared" si="1"/>
        <v>1449</v>
      </c>
      <c r="J29" s="144">
        <f t="shared" si="1"/>
        <v>1457</v>
      </c>
      <c r="K29" s="144">
        <f t="shared" si="1"/>
        <v>1377</v>
      </c>
      <c r="L29" s="144">
        <f t="shared" ref="L29:L31" si="3">SUM(I29:K29)</f>
        <v>4283</v>
      </c>
    </row>
    <row r="30" spans="1:17">
      <c r="A30" t="s">
        <v>203</v>
      </c>
      <c r="B30" s="144">
        <f t="shared" si="0"/>
        <v>15537</v>
      </c>
      <c r="C30" s="144">
        <f t="shared" si="0"/>
        <v>20114</v>
      </c>
      <c r="D30" s="144">
        <f t="shared" si="0"/>
        <v>21122</v>
      </c>
      <c r="E30" s="144">
        <f t="shared" si="0"/>
        <v>20155</v>
      </c>
      <c r="F30" s="144">
        <f t="shared" si="0"/>
        <v>21727</v>
      </c>
      <c r="G30" s="144">
        <f t="shared" si="0"/>
        <v>17938</v>
      </c>
      <c r="H30" s="20">
        <f t="shared" si="2"/>
        <v>0.33465895587419792</v>
      </c>
      <c r="I30" s="144">
        <f t="shared" si="1"/>
        <v>3278</v>
      </c>
      <c r="J30" s="144">
        <f t="shared" si="1"/>
        <v>3750</v>
      </c>
      <c r="K30" s="144">
        <f t="shared" si="1"/>
        <v>3534</v>
      </c>
      <c r="L30" s="144">
        <f t="shared" si="3"/>
        <v>10562</v>
      </c>
    </row>
    <row r="31" spans="1:17">
      <c r="A31" t="s">
        <v>204</v>
      </c>
      <c r="B31" s="144">
        <f t="shared" si="0"/>
        <v>2156</v>
      </c>
      <c r="C31" s="144">
        <f t="shared" si="0"/>
        <v>2021</v>
      </c>
      <c r="D31" s="144">
        <f t="shared" si="0"/>
        <v>1501</v>
      </c>
      <c r="E31" s="144">
        <f t="shared" si="0"/>
        <v>886</v>
      </c>
      <c r="F31" s="144">
        <f t="shared" si="0"/>
        <v>2251</v>
      </c>
      <c r="G31" s="144">
        <f t="shared" si="0"/>
        <v>2197</v>
      </c>
      <c r="H31" s="20">
        <f t="shared" si="2"/>
        <v>2.3781985264992474E-2</v>
      </c>
      <c r="I31" s="144">
        <f t="shared" si="1"/>
        <v>38</v>
      </c>
      <c r="J31" s="144">
        <f t="shared" si="1"/>
        <v>41</v>
      </c>
      <c r="K31" s="144">
        <f t="shared" si="1"/>
        <v>28</v>
      </c>
      <c r="L31" s="144">
        <f t="shared" si="3"/>
        <v>107</v>
      </c>
    </row>
    <row r="32" spans="1:17">
      <c r="A32" t="s">
        <v>208</v>
      </c>
      <c r="B32" s="144">
        <f>B33-SUM(B28:B31)</f>
        <v>2656</v>
      </c>
      <c r="C32" s="144">
        <f t="shared" ref="C32:G32" si="4">C33-SUM(C28:C31)</f>
        <v>2707</v>
      </c>
      <c r="D32" s="144">
        <f t="shared" si="4"/>
        <v>2760</v>
      </c>
      <c r="E32" s="144">
        <f t="shared" si="4"/>
        <v>2813</v>
      </c>
      <c r="F32" s="144">
        <f t="shared" si="4"/>
        <v>2923</v>
      </c>
      <c r="G32" s="144">
        <f t="shared" si="4"/>
        <v>2757</v>
      </c>
    </row>
    <row r="33" spans="1:12">
      <c r="A33" t="s">
        <v>8</v>
      </c>
      <c r="B33" s="144">
        <v>42588</v>
      </c>
      <c r="C33" s="144">
        <v>60138</v>
      </c>
      <c r="D33" s="144">
        <v>65875</v>
      </c>
      <c r="E33" s="144">
        <v>55656</v>
      </c>
      <c r="F33" s="144">
        <v>55184</v>
      </c>
      <c r="G33" s="144">
        <v>47011</v>
      </c>
    </row>
    <row r="35" spans="1:12">
      <c r="A35" s="10" t="s">
        <v>209</v>
      </c>
    </row>
    <row r="36" spans="1:12">
      <c r="A36" t="s">
        <v>200</v>
      </c>
      <c r="B36" s="144">
        <f t="shared" ref="B36:G36" si="5">SUM(B4:B7)</f>
        <v>14558</v>
      </c>
      <c r="C36" s="144">
        <f t="shared" si="5"/>
        <v>20249</v>
      </c>
      <c r="D36" s="144">
        <f t="shared" si="5"/>
        <v>22635</v>
      </c>
      <c r="E36" s="144">
        <f t="shared" si="5"/>
        <v>20347</v>
      </c>
      <c r="F36" s="144">
        <f t="shared" si="5"/>
        <v>22644</v>
      </c>
      <c r="G36" s="144">
        <f t="shared" si="5"/>
        <v>20239</v>
      </c>
      <c r="H36" s="20">
        <f>G36/SUM(G$36:G$39)</f>
        <v>0.45733718985854388</v>
      </c>
      <c r="I36" s="144">
        <f>SUM(I4:I7)</f>
        <v>4243</v>
      </c>
      <c r="J36" s="144">
        <f>SUM(J4:J7)</f>
        <v>4609</v>
      </c>
      <c r="K36" s="144">
        <f>SUM(K4:K7)</f>
        <v>3698</v>
      </c>
      <c r="L36" s="144">
        <f>SUM(I36:K36)</f>
        <v>12550</v>
      </c>
    </row>
    <row r="37" spans="1:12">
      <c r="A37" t="s">
        <v>205</v>
      </c>
      <c r="B37" s="144">
        <f t="shared" ref="B37:G37" si="6">SUM(B10:B13)</f>
        <v>5865</v>
      </c>
      <c r="C37" s="144">
        <f t="shared" si="6"/>
        <v>8342</v>
      </c>
      <c r="D37" s="144">
        <f t="shared" si="6"/>
        <v>8568</v>
      </c>
      <c r="E37" s="144">
        <f t="shared" si="6"/>
        <v>7417</v>
      </c>
      <c r="F37" s="144">
        <f t="shared" si="6"/>
        <v>6173</v>
      </c>
      <c r="G37" s="144">
        <f t="shared" si="6"/>
        <v>4442</v>
      </c>
      <c r="H37" s="20">
        <f t="shared" ref="H37:H39" si="7">G37/SUM(G$36:G$39)</f>
        <v>0.10037510733493017</v>
      </c>
      <c r="I37" s="144">
        <f>SUM(I10:I13)</f>
        <v>700</v>
      </c>
      <c r="J37" s="144">
        <f>SUM(J10:J13)</f>
        <v>814</v>
      </c>
      <c r="K37" s="144">
        <f>SUM(K10:K13)</f>
        <v>821</v>
      </c>
      <c r="L37" s="144">
        <f t="shared" ref="L37:L39" si="8">SUM(I37:K37)</f>
        <v>2335</v>
      </c>
    </row>
    <row r="38" spans="1:12">
      <c r="A38" t="s">
        <v>206</v>
      </c>
      <c r="B38" s="144">
        <f t="shared" ref="B38:G38" si="9">SUM(B16:B19)</f>
        <v>9609</v>
      </c>
      <c r="C38" s="144">
        <f t="shared" si="9"/>
        <v>14333</v>
      </c>
      <c r="D38" s="144">
        <f t="shared" si="9"/>
        <v>15445</v>
      </c>
      <c r="E38" s="144">
        <f t="shared" si="9"/>
        <v>13144</v>
      </c>
      <c r="F38" s="144">
        <f t="shared" si="9"/>
        <v>13025</v>
      </c>
      <c r="G38" s="144">
        <f t="shared" si="9"/>
        <v>11115</v>
      </c>
      <c r="H38" s="20">
        <f t="shared" si="7"/>
        <v>0.25116373661137975</v>
      </c>
      <c r="I38" s="144">
        <f>SUM(I16:I19)</f>
        <v>2100</v>
      </c>
      <c r="J38" s="144">
        <f>SUM(J16:J19)</f>
        <v>2398</v>
      </c>
      <c r="K38" s="144">
        <f>SUM(K16:K19)</f>
        <v>2191</v>
      </c>
      <c r="L38" s="144">
        <f t="shared" si="8"/>
        <v>6689</v>
      </c>
    </row>
    <row r="39" spans="1:12">
      <c r="A39" t="s">
        <v>193</v>
      </c>
      <c r="B39" s="144">
        <f t="shared" ref="B39:G39" si="10">SUM(B22:B25)</f>
        <v>9900</v>
      </c>
      <c r="C39" s="144">
        <f t="shared" si="10"/>
        <v>14507</v>
      </c>
      <c r="D39" s="144">
        <f t="shared" si="10"/>
        <v>16467</v>
      </c>
      <c r="E39" s="144">
        <f t="shared" si="10"/>
        <v>11935</v>
      </c>
      <c r="F39" s="144">
        <f t="shared" si="10"/>
        <v>10419</v>
      </c>
      <c r="G39" s="144">
        <f t="shared" si="10"/>
        <v>8458</v>
      </c>
      <c r="H39" s="20">
        <f t="shared" si="7"/>
        <v>0.19112396619514621</v>
      </c>
      <c r="I39" s="144">
        <f>SUM(I22:I25)</f>
        <v>1765</v>
      </c>
      <c r="J39" s="144">
        <f>SUM(J22:J25)</f>
        <v>1853</v>
      </c>
      <c r="K39" s="144">
        <f>SUM(K22:K25)</f>
        <v>1783</v>
      </c>
      <c r="L39" s="144">
        <f t="shared" si="8"/>
        <v>5401</v>
      </c>
    </row>
    <row r="42" spans="1:12">
      <c r="A42" s="145" t="s">
        <v>210</v>
      </c>
    </row>
    <row r="43" spans="1:12">
      <c r="A43" s="1" t="s">
        <v>201</v>
      </c>
      <c r="B43" s="1"/>
      <c r="C43" s="1"/>
      <c r="D43" s="1"/>
      <c r="E43" s="1"/>
      <c r="F43" s="1"/>
      <c r="G43" s="1"/>
      <c r="H43" s="3"/>
      <c r="I43" s="3"/>
      <c r="J43" s="3"/>
    </row>
    <row r="44" spans="1:12">
      <c r="A44" s="112" t="s">
        <v>211</v>
      </c>
      <c r="C44" s="20">
        <f t="shared" ref="C44:G47" si="11">B66/B$65</f>
        <v>0.39633068081343942</v>
      </c>
      <c r="D44" s="20">
        <f t="shared" si="11"/>
        <v>-1.5304825341943357E-2</v>
      </c>
      <c r="E44" s="20">
        <f t="shared" si="11"/>
        <v>-1.4585703941243405E-2</v>
      </c>
      <c r="F44" s="20">
        <f t="shared" si="11"/>
        <v>4.4679473343406002E-2</v>
      </c>
      <c r="G44" s="20">
        <f t="shared" si="11"/>
        <v>-0.10417312261130049</v>
      </c>
      <c r="H44" s="20"/>
      <c r="I44" s="20"/>
      <c r="J44" s="20"/>
    </row>
    <row r="45" spans="1:12">
      <c r="A45" s="112" t="s">
        <v>212</v>
      </c>
      <c r="C45" s="20">
        <f t="shared" si="11"/>
        <v>1.790450928381963E-2</v>
      </c>
      <c r="D45" s="20">
        <f t="shared" si="11"/>
        <v>1.3423501296588194E-2</v>
      </c>
      <c r="E45" s="20">
        <f t="shared" si="11"/>
        <v>-7.1894072618185582E-3</v>
      </c>
      <c r="F45" s="20">
        <f t="shared" si="11"/>
        <v>1.2249082667817828E-2</v>
      </c>
      <c r="G45" s="20">
        <f t="shared" si="11"/>
        <v>1.0329511414110113E-4</v>
      </c>
      <c r="H45" s="20"/>
      <c r="I45" s="20"/>
      <c r="J45" s="20"/>
    </row>
    <row r="46" spans="1:12">
      <c r="A46" s="112" t="s">
        <v>213</v>
      </c>
      <c r="C46" s="20">
        <f t="shared" si="11"/>
        <v>3.4851164161508991E-2</v>
      </c>
      <c r="D46" s="20">
        <f t="shared" si="11"/>
        <v>-1.5050592362841307E-2</v>
      </c>
      <c r="E46" s="20">
        <f t="shared" si="11"/>
        <v>-2.4206061859935863E-2</v>
      </c>
      <c r="F46" s="20">
        <f t="shared" si="11"/>
        <v>-1.2141161234621195E-2</v>
      </c>
      <c r="G46" s="20">
        <f t="shared" si="11"/>
        <v>-4.0233446957958892E-2</v>
      </c>
      <c r="H46" s="20"/>
      <c r="I46" s="20"/>
      <c r="J46" s="20"/>
    </row>
    <row r="47" spans="1:12">
      <c r="A47" s="112" t="s">
        <v>204</v>
      </c>
      <c r="C47" s="20">
        <f t="shared" si="11"/>
        <v>0</v>
      </c>
      <c r="D47" s="20">
        <f t="shared" si="11"/>
        <v>0</v>
      </c>
      <c r="E47" s="20">
        <f t="shared" si="11"/>
        <v>0</v>
      </c>
      <c r="F47" s="20">
        <f t="shared" si="11"/>
        <v>0</v>
      </c>
      <c r="G47" s="20">
        <f t="shared" si="11"/>
        <v>0</v>
      </c>
      <c r="H47" s="20"/>
      <c r="I47" s="20"/>
      <c r="J47" s="20"/>
    </row>
    <row r="48" spans="1:12">
      <c r="A48" s="146" t="s">
        <v>214</v>
      </c>
      <c r="B48" s="1"/>
      <c r="C48" s="1"/>
      <c r="D48" s="1"/>
      <c r="E48" s="1"/>
      <c r="F48" s="1"/>
      <c r="G48" s="1"/>
      <c r="H48" s="3"/>
      <c r="I48" s="3"/>
      <c r="J48" s="3"/>
    </row>
    <row r="49" spans="1:10">
      <c r="A49" s="112" t="s">
        <v>211</v>
      </c>
      <c r="C49" s="20">
        <f t="shared" ref="C49:G52" si="12">B71/B$70</f>
        <v>0.47478943117572403</v>
      </c>
      <c r="D49" s="20">
        <f t="shared" si="12"/>
        <v>0.1544564591464585</v>
      </c>
      <c r="E49" s="20">
        <f t="shared" si="12"/>
        <v>-0.36827677474241421</v>
      </c>
      <c r="F49" s="20">
        <f t="shared" si="12"/>
        <v>-0.20821401657874905</v>
      </c>
      <c r="G49" s="20">
        <f t="shared" si="12"/>
        <v>-0.12442551283488398</v>
      </c>
      <c r="H49" s="20"/>
      <c r="I49" s="20"/>
      <c r="J49" s="20"/>
    </row>
    <row r="50" spans="1:10">
      <c r="A50" s="112" t="s">
        <v>212</v>
      </c>
      <c r="C50" s="20">
        <f t="shared" si="12"/>
        <v>2.5845159801546093E-2</v>
      </c>
      <c r="D50" s="20">
        <f t="shared" si="12"/>
        <v>5.4386077164245955E-2</v>
      </c>
      <c r="E50" s="20">
        <f t="shared" si="12"/>
        <v>1.8432744115700916E-3</v>
      </c>
      <c r="F50" s="20">
        <f t="shared" si="12"/>
        <v>-5.7272042200452152E-3</v>
      </c>
      <c r="G50" s="20">
        <f t="shared" si="12"/>
        <v>-8.7434144154242797E-3</v>
      </c>
      <c r="H50" s="20"/>
      <c r="I50" s="20"/>
      <c r="J50" s="20"/>
    </row>
    <row r="51" spans="1:10">
      <c r="A51" s="112" t="s">
        <v>213</v>
      </c>
      <c r="C51" s="20">
        <f t="shared" si="12"/>
        <v>1.142263759086189E-2</v>
      </c>
      <c r="D51" s="20">
        <f t="shared" si="12"/>
        <v>-4.5428370337193677E-3</v>
      </c>
      <c r="E51" s="20">
        <f t="shared" si="12"/>
        <v>-4.2537101805463651E-3</v>
      </c>
      <c r="F51" s="20">
        <f t="shared" si="12"/>
        <v>-3.391107761868877E-3</v>
      </c>
      <c r="G51" s="20">
        <f t="shared" si="12"/>
        <v>-2.0401300302656654E-2</v>
      </c>
      <c r="H51" s="20"/>
      <c r="I51" s="20"/>
      <c r="J51" s="20"/>
    </row>
    <row r="52" spans="1:10">
      <c r="A52" s="112" t="s">
        <v>204</v>
      </c>
      <c r="C52" s="20">
        <f t="shared" si="12"/>
        <v>0.29121956847813546</v>
      </c>
      <c r="D52" s="20">
        <f t="shared" si="12"/>
        <v>0.14946573677138653</v>
      </c>
      <c r="E52" s="20">
        <f t="shared" si="12"/>
        <v>-2.1268550902731826E-3</v>
      </c>
      <c r="F52" s="20">
        <f t="shared" si="12"/>
        <v>0</v>
      </c>
      <c r="G52" s="20">
        <f t="shared" si="12"/>
        <v>0</v>
      </c>
      <c r="H52" s="20"/>
      <c r="I52" s="20"/>
      <c r="J52" s="20"/>
    </row>
    <row r="53" spans="1:10">
      <c r="A53" s="146" t="s">
        <v>203</v>
      </c>
      <c r="B53" s="1"/>
      <c r="C53" s="1"/>
      <c r="D53" s="1"/>
      <c r="E53" s="1"/>
      <c r="F53" s="1"/>
      <c r="G53" s="1"/>
      <c r="H53" s="3"/>
      <c r="I53" s="3"/>
      <c r="J53" s="3"/>
    </row>
    <row r="54" spans="1:10">
      <c r="A54" s="112" t="s">
        <v>211</v>
      </c>
      <c r="C54" s="20">
        <f t="shared" ref="C54:G57" si="13">B76/B$75</f>
        <v>0.20550942910471778</v>
      </c>
      <c r="D54" s="20">
        <f t="shared" si="13"/>
        <v>1.2478870438500546E-2</v>
      </c>
      <c r="E54" s="20">
        <f t="shared" si="13"/>
        <v>-5.3924817725594168E-2</v>
      </c>
      <c r="F54" s="20">
        <f t="shared" si="13"/>
        <v>6.712974448027785E-2</v>
      </c>
      <c r="G54" s="20">
        <f t="shared" si="13"/>
        <v>-0.14613154140010126</v>
      </c>
      <c r="H54" s="20"/>
      <c r="I54" s="20"/>
      <c r="J54" s="20"/>
    </row>
    <row r="55" spans="1:10">
      <c r="A55" s="112" t="s">
        <v>212</v>
      </c>
      <c r="C55" s="20">
        <f t="shared" si="13"/>
        <v>1.6476797322520435E-2</v>
      </c>
      <c r="D55" s="20">
        <f t="shared" si="13"/>
        <v>1.7003082430148156E-2</v>
      </c>
      <c r="E55" s="20">
        <f t="shared" si="13"/>
        <v>8.7112962787614812E-3</v>
      </c>
      <c r="F55" s="20">
        <f t="shared" si="13"/>
        <v>9.0300173654180096E-3</v>
      </c>
      <c r="G55" s="20">
        <f t="shared" si="13"/>
        <v>2.7155152575136926E-3</v>
      </c>
      <c r="H55" s="20"/>
      <c r="I55" s="20"/>
      <c r="J55" s="20"/>
    </row>
    <row r="56" spans="1:10">
      <c r="A56" s="112" t="s">
        <v>213</v>
      </c>
      <c r="C56" s="20">
        <f t="shared" si="13"/>
        <v>1.3837935251335521E-2</v>
      </c>
      <c r="D56" s="20">
        <f t="shared" si="13"/>
        <v>-9.645023366809188E-3</v>
      </c>
      <c r="E56" s="20">
        <f t="shared" si="13"/>
        <v>-5.6812801818009663E-4</v>
      </c>
      <c r="F56" s="20">
        <f t="shared" si="13"/>
        <v>1.8357727611014636E-3</v>
      </c>
      <c r="G56" s="20">
        <f t="shared" si="13"/>
        <v>-3.0975284208588392E-2</v>
      </c>
      <c r="H56" s="20"/>
      <c r="I56" s="20"/>
      <c r="J56" s="20"/>
    </row>
    <row r="57" spans="1:10">
      <c r="A57" s="112" t="s">
        <v>204</v>
      </c>
      <c r="C57" s="20">
        <f t="shared" si="13"/>
        <v>5.8762952951020145E-2</v>
      </c>
      <c r="D57" s="20">
        <f t="shared" si="13"/>
        <v>3.0277418713333996E-2</v>
      </c>
      <c r="E57" s="20">
        <f t="shared" si="13"/>
        <v>0</v>
      </c>
      <c r="F57" s="20">
        <f t="shared" si="13"/>
        <v>0</v>
      </c>
      <c r="G57" s="20">
        <f t="shared" si="13"/>
        <v>0</v>
      </c>
      <c r="H57" s="20"/>
      <c r="I57" s="20"/>
      <c r="J57" s="20"/>
    </row>
    <row r="58" spans="1:10">
      <c r="A58" s="146" t="s">
        <v>215</v>
      </c>
      <c r="B58" s="1"/>
      <c r="C58" s="1"/>
      <c r="D58" s="1"/>
      <c r="E58" s="1"/>
      <c r="F58" s="1"/>
      <c r="G58" s="1"/>
      <c r="H58" s="3"/>
      <c r="I58" s="3"/>
      <c r="J58" s="3"/>
    </row>
    <row r="59" spans="1:10">
      <c r="A59" s="112" t="s">
        <v>211</v>
      </c>
      <c r="C59" s="20">
        <f t="shared" ref="C59:G62" si="14">B81/B$80</f>
        <v>-8.534322820037106E-2</v>
      </c>
      <c r="D59" s="20">
        <f t="shared" si="14"/>
        <v>-0.11083621969322117</v>
      </c>
      <c r="E59" s="20">
        <f t="shared" si="14"/>
        <v>-0.15389740173217856</v>
      </c>
      <c r="F59" s="20">
        <f t="shared" si="14"/>
        <v>-4.2889390519187359E-2</v>
      </c>
      <c r="G59" s="20">
        <f t="shared" si="14"/>
        <v>-1.1994669035984007E-2</v>
      </c>
      <c r="H59" s="20"/>
      <c r="I59" s="20"/>
      <c r="J59" s="20"/>
    </row>
    <row r="60" spans="1:10">
      <c r="A60" s="112" t="s">
        <v>212</v>
      </c>
      <c r="C60" s="20">
        <f t="shared" si="14"/>
        <v>2.3191094619666049E-3</v>
      </c>
      <c r="D60" s="20">
        <f t="shared" si="14"/>
        <v>0</v>
      </c>
      <c r="E60" s="20">
        <f t="shared" si="14"/>
        <v>-6.6622251832111927E-4</v>
      </c>
      <c r="F60" s="20">
        <f t="shared" si="14"/>
        <v>3.3860045146726865E-2</v>
      </c>
      <c r="G60" s="20">
        <f t="shared" si="14"/>
        <v>9.3291870279875611E-3</v>
      </c>
      <c r="H60" s="20"/>
      <c r="I60" s="20"/>
      <c r="J60" s="20"/>
    </row>
    <row r="61" spans="1:10">
      <c r="A61" s="112" t="s">
        <v>213</v>
      </c>
      <c r="C61" s="20">
        <f t="shared" si="14"/>
        <v>2.0408163265306121E-2</v>
      </c>
      <c r="D61" s="20">
        <f t="shared" si="14"/>
        <v>-9.4012864918357249E-3</v>
      </c>
      <c r="E61" s="20">
        <f t="shared" si="14"/>
        <v>-6.6622251832111927E-4</v>
      </c>
      <c r="F61" s="20">
        <f t="shared" si="14"/>
        <v>-4.5146726862302479E-3</v>
      </c>
      <c r="G61" s="20">
        <f t="shared" si="14"/>
        <v>-2.132385606397157E-2</v>
      </c>
      <c r="H61" s="20"/>
      <c r="I61" s="20"/>
      <c r="J61" s="20"/>
    </row>
    <row r="62" spans="1:10">
      <c r="A62" s="112" t="s">
        <v>204</v>
      </c>
      <c r="C62" s="20">
        <f t="shared" si="14"/>
        <v>0</v>
      </c>
      <c r="D62" s="20">
        <f t="shared" si="14"/>
        <v>-0.13706086095992084</v>
      </c>
      <c r="E62" s="20">
        <f t="shared" si="14"/>
        <v>-0.25449700199866754</v>
      </c>
      <c r="F62" s="20">
        <f t="shared" si="14"/>
        <v>0</v>
      </c>
      <c r="G62" s="20">
        <f t="shared" si="14"/>
        <v>0</v>
      </c>
      <c r="H62" s="20"/>
      <c r="I62" s="20"/>
      <c r="J62" s="20"/>
    </row>
    <row r="64" spans="1:10">
      <c r="A64" s="145" t="s">
        <v>210</v>
      </c>
    </row>
    <row r="65" spans="1:10">
      <c r="A65" s="1" t="s">
        <v>201</v>
      </c>
      <c r="B65" s="147">
        <f t="shared" ref="B65:G65" si="15">B28</f>
        <v>13572</v>
      </c>
      <c r="C65" s="147">
        <f t="shared" si="15"/>
        <v>19667</v>
      </c>
      <c r="D65" s="147">
        <f t="shared" si="15"/>
        <v>19334</v>
      </c>
      <c r="E65" s="147">
        <f t="shared" si="15"/>
        <v>18532</v>
      </c>
      <c r="F65" s="147">
        <f t="shared" si="15"/>
        <v>19362</v>
      </c>
      <c r="G65" s="147">
        <f t="shared" si="15"/>
        <v>16568</v>
      </c>
      <c r="H65" s="148"/>
      <c r="I65" s="148"/>
      <c r="J65" s="148"/>
    </row>
    <row r="66" spans="1:10">
      <c r="A66" s="112" t="s">
        <v>211</v>
      </c>
      <c r="B66" s="144">
        <v>5379</v>
      </c>
      <c r="C66" s="144">
        <v>-301</v>
      </c>
      <c r="D66" s="144">
        <v>-282</v>
      </c>
      <c r="E66" s="144">
        <v>828</v>
      </c>
      <c r="F66" s="144">
        <v>-2017</v>
      </c>
      <c r="G66" s="144"/>
      <c r="H66" s="144"/>
      <c r="I66" s="144"/>
      <c r="J66" s="144"/>
    </row>
    <row r="67" spans="1:10">
      <c r="A67" s="112" t="s">
        <v>212</v>
      </c>
      <c r="B67" s="144">
        <v>243</v>
      </c>
      <c r="C67" s="144">
        <v>264</v>
      </c>
      <c r="D67" s="144">
        <v>-139</v>
      </c>
      <c r="E67" s="144">
        <v>227</v>
      </c>
      <c r="F67" s="144">
        <v>2</v>
      </c>
      <c r="G67" s="144"/>
      <c r="H67" s="144"/>
      <c r="I67" s="144"/>
      <c r="J67" s="144"/>
    </row>
    <row r="68" spans="1:10">
      <c r="A68" s="112" t="s">
        <v>213</v>
      </c>
      <c r="B68" s="144">
        <v>473</v>
      </c>
      <c r="C68" s="144">
        <v>-296</v>
      </c>
      <c r="D68" s="144">
        <v>-468</v>
      </c>
      <c r="E68" s="144">
        <v>-225</v>
      </c>
      <c r="F68" s="144">
        <v>-779</v>
      </c>
      <c r="G68" s="144"/>
      <c r="H68" s="144"/>
      <c r="I68" s="144"/>
      <c r="J68" s="144"/>
    </row>
    <row r="69" spans="1:10">
      <c r="A69" s="112" t="s">
        <v>204</v>
      </c>
      <c r="B69" s="144">
        <v>0</v>
      </c>
      <c r="C69" s="144">
        <v>0</v>
      </c>
      <c r="D69" s="144">
        <v>0</v>
      </c>
      <c r="E69" s="144">
        <v>0</v>
      </c>
      <c r="F69" s="144">
        <v>0</v>
      </c>
      <c r="G69" s="144"/>
      <c r="H69" s="144"/>
      <c r="I69" s="144"/>
      <c r="J69" s="144"/>
    </row>
    <row r="70" spans="1:10">
      <c r="A70" s="146" t="s">
        <v>214</v>
      </c>
      <c r="B70" s="147">
        <f t="shared" ref="B70:G70" si="16">B29</f>
        <v>8667</v>
      </c>
      <c r="C70" s="147">
        <f t="shared" si="16"/>
        <v>15629</v>
      </c>
      <c r="D70" s="147">
        <f t="shared" si="16"/>
        <v>21158</v>
      </c>
      <c r="E70" s="147">
        <f t="shared" si="16"/>
        <v>13270</v>
      </c>
      <c r="F70" s="147">
        <f t="shared" si="16"/>
        <v>8921</v>
      </c>
      <c r="G70" s="147">
        <f t="shared" si="16"/>
        <v>7551</v>
      </c>
      <c r="H70" s="148"/>
      <c r="I70" s="148"/>
      <c r="J70" s="148"/>
    </row>
    <row r="71" spans="1:10">
      <c r="A71" s="112" t="s">
        <v>211</v>
      </c>
      <c r="B71" s="144">
        <v>4115</v>
      </c>
      <c r="C71" s="144">
        <v>2414</v>
      </c>
      <c r="D71" s="144">
        <v>-7792</v>
      </c>
      <c r="E71" s="144">
        <v>-2763</v>
      </c>
      <c r="F71" s="144">
        <v>-1110</v>
      </c>
      <c r="G71" s="144"/>
      <c r="H71" s="144"/>
      <c r="I71" s="144"/>
      <c r="J71" s="144"/>
    </row>
    <row r="72" spans="1:10">
      <c r="A72" s="112" t="s">
        <v>212</v>
      </c>
      <c r="B72" s="144">
        <v>224</v>
      </c>
      <c r="C72" s="144">
        <v>850</v>
      </c>
      <c r="D72" s="144">
        <v>39</v>
      </c>
      <c r="E72" s="144">
        <v>-76</v>
      </c>
      <c r="F72" s="144">
        <v>-78</v>
      </c>
      <c r="G72" s="144"/>
      <c r="H72" s="144"/>
      <c r="I72" s="144"/>
      <c r="J72" s="144"/>
    </row>
    <row r="73" spans="1:10">
      <c r="A73" s="112" t="s">
        <v>213</v>
      </c>
      <c r="B73" s="144">
        <v>99</v>
      </c>
      <c r="C73" s="144">
        <v>-71</v>
      </c>
      <c r="D73" s="144">
        <v>-90</v>
      </c>
      <c r="E73" s="144">
        <v>-45</v>
      </c>
      <c r="F73" s="144">
        <v>-182</v>
      </c>
      <c r="G73" s="144"/>
      <c r="H73" s="144"/>
      <c r="I73" s="144"/>
      <c r="J73" s="144"/>
    </row>
    <row r="74" spans="1:10">
      <c r="A74" s="112" t="s">
        <v>204</v>
      </c>
      <c r="B74" s="144">
        <v>2524</v>
      </c>
      <c r="C74" s="144">
        <v>2336</v>
      </c>
      <c r="D74" s="144">
        <v>-45</v>
      </c>
      <c r="E74" s="144">
        <v>0</v>
      </c>
      <c r="F74" s="144">
        <v>0</v>
      </c>
      <c r="G74" s="144"/>
      <c r="H74" s="144"/>
      <c r="I74" s="144"/>
      <c r="J74" s="144"/>
    </row>
    <row r="75" spans="1:10">
      <c r="A75" s="146" t="s">
        <v>203</v>
      </c>
      <c r="B75" s="147">
        <f t="shared" ref="B75:G75" si="17">B30</f>
        <v>15537</v>
      </c>
      <c r="C75" s="147">
        <f t="shared" si="17"/>
        <v>20114</v>
      </c>
      <c r="D75" s="147">
        <f t="shared" si="17"/>
        <v>21122</v>
      </c>
      <c r="E75" s="147">
        <f t="shared" si="17"/>
        <v>20155</v>
      </c>
      <c r="F75" s="147">
        <f t="shared" si="17"/>
        <v>21727</v>
      </c>
      <c r="G75" s="147">
        <f t="shared" si="17"/>
        <v>17938</v>
      </c>
      <c r="H75" s="148"/>
      <c r="I75" s="148"/>
      <c r="J75" s="148"/>
    </row>
    <row r="76" spans="1:10">
      <c r="A76" s="112" t="s">
        <v>211</v>
      </c>
      <c r="B76" s="144">
        <v>3193</v>
      </c>
      <c r="C76" s="144">
        <v>251</v>
      </c>
      <c r="D76" s="144">
        <v>-1139</v>
      </c>
      <c r="E76" s="144">
        <v>1353</v>
      </c>
      <c r="F76" s="144">
        <v>-3175</v>
      </c>
      <c r="G76" s="144"/>
      <c r="H76" s="144"/>
      <c r="I76" s="144"/>
      <c r="J76" s="144"/>
    </row>
    <row r="77" spans="1:10">
      <c r="A77" s="112" t="s">
        <v>212</v>
      </c>
      <c r="B77" s="144">
        <v>256</v>
      </c>
      <c r="C77" s="144">
        <v>342</v>
      </c>
      <c r="D77" s="144">
        <v>184</v>
      </c>
      <c r="E77" s="144">
        <v>182</v>
      </c>
      <c r="F77" s="144">
        <v>59</v>
      </c>
      <c r="G77" s="144"/>
      <c r="H77" s="144"/>
      <c r="I77" s="144"/>
      <c r="J77" s="144"/>
    </row>
    <row r="78" spans="1:10">
      <c r="A78" s="112" t="s">
        <v>213</v>
      </c>
      <c r="B78" s="144">
        <v>215</v>
      </c>
      <c r="C78" s="144">
        <v>-194</v>
      </c>
      <c r="D78" s="144">
        <v>-12</v>
      </c>
      <c r="E78" s="144">
        <v>37</v>
      </c>
      <c r="F78" s="144">
        <v>-673</v>
      </c>
      <c r="G78" s="144"/>
      <c r="H78" s="144"/>
      <c r="I78" s="144"/>
      <c r="J78" s="144"/>
    </row>
    <row r="79" spans="1:10">
      <c r="A79" s="112" t="s">
        <v>204</v>
      </c>
      <c r="B79" s="144">
        <v>913</v>
      </c>
      <c r="C79" s="144">
        <v>609</v>
      </c>
      <c r="D79" s="144">
        <v>0</v>
      </c>
      <c r="E79" s="144">
        <v>0</v>
      </c>
      <c r="F79" s="144">
        <v>0</v>
      </c>
      <c r="G79" s="144"/>
      <c r="H79" s="144"/>
      <c r="I79" s="144"/>
      <c r="J79" s="144"/>
    </row>
    <row r="80" spans="1:10">
      <c r="A80" s="146" t="s">
        <v>215</v>
      </c>
      <c r="B80" s="147">
        <f t="shared" ref="B80:G80" si="18">B31</f>
        <v>2156</v>
      </c>
      <c r="C80" s="147">
        <f t="shared" si="18"/>
        <v>2021</v>
      </c>
      <c r="D80" s="147">
        <f t="shared" si="18"/>
        <v>1501</v>
      </c>
      <c r="E80" s="147">
        <f t="shared" si="18"/>
        <v>886</v>
      </c>
      <c r="F80" s="147">
        <f t="shared" si="18"/>
        <v>2251</v>
      </c>
      <c r="G80" s="147">
        <f t="shared" si="18"/>
        <v>2197</v>
      </c>
      <c r="H80" s="148"/>
      <c r="I80" s="148"/>
      <c r="J80" s="148"/>
    </row>
    <row r="81" spans="1:10">
      <c r="A81" s="112" t="s">
        <v>211</v>
      </c>
      <c r="B81" s="144">
        <v>-184</v>
      </c>
      <c r="C81" s="144">
        <v>-224</v>
      </c>
      <c r="D81" s="144">
        <v>-231</v>
      </c>
      <c r="E81" s="144">
        <v>-38</v>
      </c>
      <c r="F81" s="144">
        <v>-27</v>
      </c>
      <c r="G81" s="144"/>
      <c r="H81" s="144"/>
      <c r="I81" s="144"/>
      <c r="J81" s="144"/>
    </row>
    <row r="82" spans="1:10">
      <c r="A82" s="112" t="s">
        <v>212</v>
      </c>
      <c r="B82" s="144">
        <v>5</v>
      </c>
      <c r="C82" s="144">
        <v>0</v>
      </c>
      <c r="D82" s="144">
        <v>-1</v>
      </c>
      <c r="E82" s="144">
        <v>30</v>
      </c>
      <c r="F82" s="144">
        <v>21</v>
      </c>
      <c r="G82" s="144"/>
      <c r="H82" s="144"/>
      <c r="I82" s="144"/>
      <c r="J82" s="144"/>
    </row>
    <row r="83" spans="1:10">
      <c r="A83" s="112" t="s">
        <v>213</v>
      </c>
      <c r="B83" s="144">
        <v>44</v>
      </c>
      <c r="C83" s="144">
        <v>-19</v>
      </c>
      <c r="D83" s="144">
        <v>-1</v>
      </c>
      <c r="E83" s="144">
        <v>-4</v>
      </c>
      <c r="F83" s="144">
        <v>-48</v>
      </c>
      <c r="G83" s="144"/>
      <c r="H83" s="144"/>
      <c r="I83" s="144"/>
      <c r="J83" s="144"/>
    </row>
    <row r="84" spans="1:10">
      <c r="A84" s="112" t="s">
        <v>204</v>
      </c>
      <c r="B84" s="144">
        <v>0</v>
      </c>
      <c r="C84" s="144">
        <v>-277</v>
      </c>
      <c r="D84" s="144">
        <v>-382</v>
      </c>
      <c r="E84" s="144">
        <v>0</v>
      </c>
      <c r="F84" s="144">
        <v>0</v>
      </c>
      <c r="G84" s="144"/>
      <c r="H84" s="144"/>
      <c r="I84" s="144"/>
      <c r="J84" s="144"/>
    </row>
    <row r="85" spans="1:10">
      <c r="C85" s="144"/>
    </row>
    <row r="86" spans="1:10">
      <c r="A86" s="140" t="s">
        <v>216</v>
      </c>
      <c r="B86" s="141"/>
      <c r="C86" s="141"/>
      <c r="D86" s="141"/>
      <c r="E86" s="141"/>
      <c r="F86" s="141"/>
      <c r="G86" s="141"/>
      <c r="H86" s="142"/>
      <c r="I86" s="142"/>
      <c r="J86" s="142"/>
    </row>
    <row r="87" spans="1:10">
      <c r="A87" t="s">
        <v>201</v>
      </c>
      <c r="B87" s="144">
        <v>783</v>
      </c>
      <c r="C87" s="144">
        <v>2056</v>
      </c>
      <c r="D87" s="144">
        <v>1789</v>
      </c>
      <c r="E87" s="144">
        <v>1363</v>
      </c>
      <c r="F87" s="144">
        <v>2207</v>
      </c>
      <c r="G87" s="144">
        <v>1925</v>
      </c>
      <c r="H87" s="151"/>
      <c r="I87" s="151"/>
      <c r="J87" s="151"/>
    </row>
    <row r="88" spans="1:10">
      <c r="A88" t="s">
        <v>202</v>
      </c>
      <c r="B88" s="144">
        <v>1789</v>
      </c>
      <c r="C88" s="144">
        <v>3334</v>
      </c>
      <c r="D88" s="144">
        <v>4318</v>
      </c>
      <c r="E88" s="144">
        <v>1575</v>
      </c>
      <c r="F88" s="144">
        <v>404</v>
      </c>
      <c r="G88" s="144">
        <v>-88</v>
      </c>
      <c r="H88" s="151"/>
      <c r="I88" s="151"/>
      <c r="J88" s="151"/>
    </row>
    <row r="89" spans="1:10">
      <c r="A89" t="s">
        <v>203</v>
      </c>
      <c r="B89" s="144">
        <v>2288</v>
      </c>
      <c r="C89" s="144">
        <v>3053</v>
      </c>
      <c r="D89" s="144">
        <v>3434</v>
      </c>
      <c r="E89" s="144">
        <v>3400</v>
      </c>
      <c r="F89" s="144">
        <v>4135</v>
      </c>
      <c r="G89" s="144">
        <v>3239</v>
      </c>
      <c r="H89" s="151"/>
      <c r="I89" s="151"/>
      <c r="J89" s="151"/>
    </row>
    <row r="90" spans="1:10">
      <c r="A90" t="s">
        <v>204</v>
      </c>
      <c r="B90" s="144">
        <v>720</v>
      </c>
      <c r="C90" s="144">
        <v>837</v>
      </c>
      <c r="D90" s="144">
        <v>1014</v>
      </c>
      <c r="E90" s="144">
        <v>663</v>
      </c>
      <c r="F90" s="144">
        <v>850</v>
      </c>
      <c r="G90" s="144">
        <v>779</v>
      </c>
      <c r="H90" s="151"/>
      <c r="I90" s="151"/>
      <c r="J90" s="151"/>
    </row>
    <row r="91" spans="1:10">
      <c r="B91" s="144"/>
      <c r="C91" s="144"/>
      <c r="D91" s="144"/>
      <c r="E91" s="144"/>
      <c r="F91" s="144"/>
      <c r="G91" s="144"/>
      <c r="H91" s="151"/>
      <c r="I91" s="151"/>
      <c r="J91" s="151"/>
    </row>
    <row r="92" spans="1:10">
      <c r="A92" t="s">
        <v>201</v>
      </c>
      <c r="B92" s="20">
        <f t="shared" ref="B92:G95" si="19">B87/B28</f>
        <v>5.7692307692307696E-2</v>
      </c>
      <c r="C92" s="20">
        <f t="shared" si="19"/>
        <v>0.1045406010067626</v>
      </c>
      <c r="D92" s="20">
        <f t="shared" si="19"/>
        <v>9.2531292024412945E-2</v>
      </c>
      <c r="E92" s="20">
        <f t="shared" si="19"/>
        <v>7.3548456723505282E-2</v>
      </c>
      <c r="F92" s="20">
        <f t="shared" si="19"/>
        <v>0.1139861584547051</v>
      </c>
      <c r="G92" s="20">
        <f t="shared" si="19"/>
        <v>0.11618783196523419</v>
      </c>
      <c r="H92" s="152"/>
      <c r="I92" s="152"/>
      <c r="J92" s="152"/>
    </row>
    <row r="93" spans="1:10">
      <c r="A93" t="s">
        <v>202</v>
      </c>
      <c r="B93" s="20">
        <f t="shared" si="19"/>
        <v>0.20641513787931234</v>
      </c>
      <c r="C93" s="20">
        <f t="shared" si="19"/>
        <v>0.21332138972423059</v>
      </c>
      <c r="D93" s="20">
        <f t="shared" si="19"/>
        <v>0.20408356177332451</v>
      </c>
      <c r="E93" s="20">
        <f t="shared" si="19"/>
        <v>0.1186887716654107</v>
      </c>
      <c r="F93" s="20">
        <f t="shared" si="19"/>
        <v>4.5286402869633452E-2</v>
      </c>
      <c r="G93" s="20">
        <f t="shared" si="19"/>
        <v>-1.1654085551582571E-2</v>
      </c>
      <c r="H93" s="152"/>
      <c r="I93" s="152"/>
      <c r="J93" s="152"/>
    </row>
    <row r="94" spans="1:10">
      <c r="A94" t="s">
        <v>203</v>
      </c>
      <c r="B94" s="20">
        <f t="shared" si="19"/>
        <v>0.1472613760700264</v>
      </c>
      <c r="C94" s="20">
        <f t="shared" si="19"/>
        <v>0.15178482648901262</v>
      </c>
      <c r="D94" s="20">
        <f t="shared" si="19"/>
        <v>0.16257930120253763</v>
      </c>
      <c r="E94" s="20">
        <f t="shared" si="19"/>
        <v>0.16869263210121557</v>
      </c>
      <c r="F94" s="20">
        <f t="shared" si="19"/>
        <v>0.19031619643761219</v>
      </c>
      <c r="G94" s="20">
        <f t="shared" si="19"/>
        <v>0.18056639536180177</v>
      </c>
      <c r="H94" s="152"/>
      <c r="I94" s="152"/>
      <c r="J94" s="152"/>
    </row>
    <row r="95" spans="1:10">
      <c r="A95" t="s">
        <v>204</v>
      </c>
      <c r="B95" s="20">
        <f t="shared" si="19"/>
        <v>0.33395176252319109</v>
      </c>
      <c r="C95" s="20">
        <f t="shared" si="19"/>
        <v>0.4141514101929738</v>
      </c>
      <c r="D95" s="20">
        <f t="shared" si="19"/>
        <v>0.67554963357761488</v>
      </c>
      <c r="E95" s="20">
        <f t="shared" si="19"/>
        <v>0.74830699774266363</v>
      </c>
      <c r="F95" s="20">
        <f t="shared" si="19"/>
        <v>0.37760995113282986</v>
      </c>
      <c r="G95" s="20">
        <f t="shared" si="19"/>
        <v>0.35457441966317704</v>
      </c>
      <c r="H95" s="152"/>
      <c r="I95" s="152"/>
      <c r="J95" s="152"/>
    </row>
    <row r="96" spans="1:10">
      <c r="B96" s="144"/>
      <c r="C96" s="144"/>
      <c r="D96" s="144"/>
      <c r="E96" s="144"/>
      <c r="F96" s="144"/>
      <c r="G96" s="144"/>
      <c r="H96" s="151"/>
      <c r="I96" s="151"/>
      <c r="J96" s="151"/>
    </row>
    <row r="97" spans="1:10">
      <c r="H97" s="153"/>
      <c r="I97" s="153"/>
      <c r="J97" s="153"/>
    </row>
    <row r="98" spans="1:10">
      <c r="H98" s="153"/>
      <c r="I98" s="153"/>
      <c r="J98" s="153"/>
    </row>
    <row r="99" spans="1:10">
      <c r="A99" s="140" t="s">
        <v>217</v>
      </c>
      <c r="B99" s="141"/>
      <c r="C99" s="141"/>
      <c r="D99" s="141"/>
      <c r="E99" s="141"/>
      <c r="F99" s="141"/>
      <c r="G99" s="141"/>
      <c r="H99" s="142"/>
      <c r="I99" s="142"/>
      <c r="J99" s="142"/>
    </row>
    <row r="100" spans="1:10">
      <c r="B100">
        <v>2005</v>
      </c>
      <c r="C100">
        <v>2006</v>
      </c>
      <c r="D100">
        <v>2007</v>
      </c>
      <c r="E100">
        <v>2008</v>
      </c>
      <c r="F100">
        <v>2009</v>
      </c>
      <c r="G100">
        <v>2010</v>
      </c>
    </row>
    <row r="101" spans="1:10">
      <c r="A101" s="10" t="s">
        <v>200</v>
      </c>
    </row>
    <row r="102" spans="1:10">
      <c r="A102" t="s">
        <v>218</v>
      </c>
      <c r="B102" s="144">
        <v>12822</v>
      </c>
      <c r="C102" s="144">
        <v>14215</v>
      </c>
      <c r="D102" s="144">
        <v>12596</v>
      </c>
      <c r="E102" s="144">
        <v>12769</v>
      </c>
      <c r="F102" s="144">
        <v>6993</v>
      </c>
      <c r="G102" s="144">
        <v>10419</v>
      </c>
      <c r="H102" s="144"/>
      <c r="I102" s="144"/>
      <c r="J102" s="144"/>
    </row>
    <row r="103" spans="1:10">
      <c r="A103" t="s">
        <v>219</v>
      </c>
      <c r="B103" s="144">
        <v>4887</v>
      </c>
      <c r="C103" s="144">
        <v>5940</v>
      </c>
      <c r="D103" s="144">
        <v>5092</v>
      </c>
      <c r="E103" s="144">
        <v>5445</v>
      </c>
      <c r="F103" s="144">
        <v>3652</v>
      </c>
      <c r="G103" s="144">
        <v>4103</v>
      </c>
      <c r="H103" s="144"/>
      <c r="I103" s="144"/>
      <c r="J103" s="144"/>
    </row>
    <row r="104" spans="1:10">
      <c r="B104" s="144"/>
      <c r="C104" s="144"/>
      <c r="D104" s="144"/>
      <c r="E104" s="144"/>
      <c r="F104" s="144"/>
      <c r="G104" s="144"/>
      <c r="H104" s="144"/>
      <c r="I104" s="144"/>
      <c r="J104" s="144"/>
    </row>
    <row r="105" spans="1:10">
      <c r="A105" s="10" t="s">
        <v>205</v>
      </c>
      <c r="B105" s="144"/>
      <c r="C105" s="144"/>
      <c r="D105" s="144"/>
      <c r="E105" s="144"/>
      <c r="F105" s="144"/>
      <c r="G105" s="144"/>
      <c r="H105" s="144"/>
      <c r="I105" s="144"/>
      <c r="J105" s="144"/>
    </row>
    <row r="106" spans="1:10">
      <c r="A106" t="s">
        <v>218</v>
      </c>
      <c r="B106" s="144">
        <v>1982</v>
      </c>
      <c r="C106" s="144">
        <v>2544</v>
      </c>
      <c r="D106" s="144">
        <v>3149</v>
      </c>
      <c r="E106" s="144">
        <v>4106</v>
      </c>
      <c r="F106" s="144">
        <v>2555</v>
      </c>
      <c r="G106" s="144">
        <v>4292</v>
      </c>
      <c r="H106" s="144"/>
      <c r="I106" s="144"/>
      <c r="J106" s="144"/>
    </row>
    <row r="107" spans="1:10">
      <c r="A107" t="s">
        <v>219</v>
      </c>
      <c r="B107" s="144">
        <v>1022</v>
      </c>
      <c r="C107" s="144">
        <v>1102</v>
      </c>
      <c r="D107" s="144">
        <v>1130</v>
      </c>
      <c r="E107" s="144">
        <v>1574</v>
      </c>
      <c r="F107" s="144">
        <v>1080</v>
      </c>
      <c r="G107" s="144">
        <v>1565</v>
      </c>
      <c r="H107" s="144"/>
      <c r="I107" s="144"/>
      <c r="J107" s="144"/>
    </row>
    <row r="108" spans="1:10">
      <c r="B108" s="144"/>
      <c r="C108" s="144"/>
      <c r="D108" s="144"/>
      <c r="E108" s="144"/>
      <c r="F108" s="144"/>
      <c r="G108" s="144"/>
      <c r="H108" s="144"/>
      <c r="I108" s="144"/>
      <c r="J108" s="144"/>
    </row>
    <row r="109" spans="1:10">
      <c r="A109" s="10" t="s">
        <v>206</v>
      </c>
      <c r="B109" s="144"/>
      <c r="C109" s="144"/>
      <c r="D109" s="144"/>
      <c r="E109" s="144"/>
      <c r="F109" s="144"/>
      <c r="G109" s="144"/>
      <c r="H109" s="144"/>
      <c r="I109" s="144"/>
      <c r="J109" s="144"/>
    </row>
    <row r="110" spans="1:10">
      <c r="A110" t="s">
        <v>218</v>
      </c>
      <c r="B110" s="144">
        <v>5222</v>
      </c>
      <c r="C110" s="144">
        <v>6223</v>
      </c>
      <c r="D110" s="144">
        <v>9220</v>
      </c>
      <c r="E110" s="144">
        <v>9220</v>
      </c>
      <c r="F110" s="144">
        <v>4112</v>
      </c>
      <c r="G110" s="144">
        <v>5574</v>
      </c>
      <c r="H110" s="144"/>
      <c r="I110" s="144"/>
      <c r="J110" s="144"/>
    </row>
    <row r="111" spans="1:10">
      <c r="A111" t="s">
        <v>219</v>
      </c>
      <c r="B111" s="144">
        <v>3658</v>
      </c>
      <c r="C111" s="144">
        <v>4064</v>
      </c>
      <c r="D111" s="144">
        <v>6311</v>
      </c>
      <c r="E111" s="144">
        <v>6311</v>
      </c>
      <c r="F111" s="144">
        <v>4295</v>
      </c>
      <c r="G111" s="144">
        <v>4021</v>
      </c>
      <c r="H111" s="144"/>
      <c r="I111" s="144"/>
      <c r="J111" s="144"/>
    </row>
    <row r="112" spans="1:10">
      <c r="B112" s="144"/>
      <c r="C112" s="144"/>
      <c r="D112" s="144"/>
      <c r="E112" s="144"/>
      <c r="F112" s="144"/>
      <c r="G112" s="144"/>
      <c r="H112" s="144"/>
      <c r="I112" s="144"/>
      <c r="J112" s="144"/>
    </row>
    <row r="113" spans="1:10">
      <c r="A113" s="10" t="s">
        <v>193</v>
      </c>
      <c r="B113" s="144"/>
      <c r="C113" s="144"/>
      <c r="D113" s="144"/>
      <c r="E113" s="144"/>
      <c r="F113" s="144"/>
      <c r="G113" s="144"/>
      <c r="H113" s="144"/>
      <c r="I113" s="144"/>
      <c r="J113" s="144"/>
    </row>
    <row r="114" spans="1:10">
      <c r="A114" t="s">
        <v>218</v>
      </c>
      <c r="B114" s="144">
        <v>2905</v>
      </c>
      <c r="C114" s="144">
        <v>3080</v>
      </c>
      <c r="D114" s="144">
        <v>5709</v>
      </c>
      <c r="E114" s="144">
        <v>5709</v>
      </c>
      <c r="F114" s="144">
        <v>4488</v>
      </c>
      <c r="G114" s="144">
        <v>7482</v>
      </c>
      <c r="H114" s="144"/>
      <c r="I114" s="144"/>
      <c r="J114" s="144"/>
    </row>
    <row r="115" spans="1:10">
      <c r="A115" t="s">
        <v>219</v>
      </c>
      <c r="B115" s="144">
        <v>1508</v>
      </c>
      <c r="C115" s="144">
        <v>1701</v>
      </c>
      <c r="D115" s="144">
        <v>2910</v>
      </c>
      <c r="E115" s="144">
        <v>2910</v>
      </c>
      <c r="F115" s="144">
        <v>2365</v>
      </c>
      <c r="G115" s="144">
        <v>2411</v>
      </c>
      <c r="H115" s="144"/>
      <c r="I115" s="144"/>
      <c r="J115" s="144"/>
    </row>
    <row r="117" spans="1:10">
      <c r="A117" s="10" t="s">
        <v>207</v>
      </c>
    </row>
    <row r="118" spans="1:10">
      <c r="A118" t="s">
        <v>218</v>
      </c>
      <c r="B118" s="144">
        <f t="shared" ref="B118:G119" si="20">B102+B106+B110+B114</f>
        <v>22931</v>
      </c>
      <c r="C118" s="144">
        <f t="shared" si="20"/>
        <v>26062</v>
      </c>
      <c r="D118" s="144">
        <f t="shared" si="20"/>
        <v>30674</v>
      </c>
      <c r="E118" s="144">
        <f t="shared" si="20"/>
        <v>31804</v>
      </c>
      <c r="F118" s="144">
        <f t="shared" si="20"/>
        <v>18148</v>
      </c>
      <c r="G118" s="144">
        <f t="shared" si="20"/>
        <v>27767</v>
      </c>
      <c r="H118" s="144"/>
      <c r="I118" s="99">
        <f>1-I119</f>
        <v>0.69649083201645468</v>
      </c>
      <c r="J118" s="144"/>
    </row>
    <row r="119" spans="1:10">
      <c r="A119" t="s">
        <v>219</v>
      </c>
      <c r="B119" s="144">
        <f t="shared" si="20"/>
        <v>11075</v>
      </c>
      <c r="C119" s="144">
        <f t="shared" si="20"/>
        <v>12807</v>
      </c>
      <c r="D119" s="144">
        <f t="shared" si="20"/>
        <v>15443</v>
      </c>
      <c r="E119" s="144">
        <f t="shared" si="20"/>
        <v>16240</v>
      </c>
      <c r="F119" s="144">
        <f t="shared" si="20"/>
        <v>11392</v>
      </c>
      <c r="G119" s="144">
        <f>G103+G107+G111+G115</f>
        <v>12100</v>
      </c>
      <c r="H119" s="144"/>
      <c r="I119" s="20">
        <f>G119/SUM(G118:G119)</f>
        <v>0.30350916798354527</v>
      </c>
      <c r="J119" s="144"/>
    </row>
    <row r="121" spans="1:10">
      <c r="A121" s="10" t="s">
        <v>220</v>
      </c>
    </row>
    <row r="122" spans="1:10">
      <c r="A122" t="s">
        <v>218</v>
      </c>
      <c r="B122" s="144">
        <v>2431</v>
      </c>
      <c r="C122" s="144">
        <v>3027</v>
      </c>
      <c r="D122" s="144">
        <v>2758</v>
      </c>
      <c r="E122" s="144">
        <v>1803</v>
      </c>
      <c r="F122" s="144">
        <v>-1007</v>
      </c>
      <c r="G122" s="144">
        <v>1991</v>
      </c>
      <c r="H122" s="144"/>
      <c r="I122" s="144"/>
      <c r="J122" s="144"/>
    </row>
    <row r="123" spans="1:10">
      <c r="A123" t="s">
        <v>219</v>
      </c>
      <c r="B123" s="144">
        <v>1071</v>
      </c>
      <c r="C123" s="144">
        <v>1630</v>
      </c>
      <c r="D123" s="144">
        <v>1826</v>
      </c>
      <c r="E123" s="144">
        <v>2319</v>
      </c>
      <c r="F123" s="144">
        <v>1464</v>
      </c>
      <c r="G123" s="144">
        <v>1796</v>
      </c>
      <c r="H123" s="144"/>
      <c r="I123" s="144"/>
      <c r="J123" s="144"/>
    </row>
    <row r="125" spans="1:10">
      <c r="A125" s="10" t="s">
        <v>192</v>
      </c>
    </row>
    <row r="126" spans="1:10">
      <c r="A126" t="s">
        <v>218</v>
      </c>
      <c r="B126" s="20">
        <f>B122/B118</f>
        <v>0.10601369325367406</v>
      </c>
      <c r="C126" s="20">
        <f t="shared" ref="C126:G127" si="21">C122/C118</f>
        <v>0.11614611311487991</v>
      </c>
      <c r="D126" s="20">
        <f t="shared" si="21"/>
        <v>8.9913281606572346E-2</v>
      </c>
      <c r="E126" s="20">
        <f t="shared" si="21"/>
        <v>5.6690982266381584E-2</v>
      </c>
      <c r="F126" s="20">
        <f t="shared" si="21"/>
        <v>-5.5488208067004628E-2</v>
      </c>
      <c r="G126" s="20">
        <f t="shared" si="21"/>
        <v>7.1703821082580041E-2</v>
      </c>
      <c r="H126" s="20"/>
      <c r="I126" s="20"/>
      <c r="J126" s="20"/>
    </row>
    <row r="127" spans="1:10">
      <c r="A127" t="s">
        <v>219</v>
      </c>
      <c r="B127" s="20">
        <f>B123/B119</f>
        <v>9.6704288939051919E-2</v>
      </c>
      <c r="C127" s="20">
        <f t="shared" si="21"/>
        <v>0.12727414695088624</v>
      </c>
      <c r="D127" s="20">
        <f t="shared" si="21"/>
        <v>0.11824127436378942</v>
      </c>
      <c r="E127" s="20">
        <f t="shared" si="21"/>
        <v>0.14279556650246306</v>
      </c>
      <c r="F127" s="20">
        <f t="shared" si="21"/>
        <v>0.12851123595505617</v>
      </c>
      <c r="G127" s="20">
        <f t="shared" si="21"/>
        <v>0.14842975206611569</v>
      </c>
      <c r="H127" s="20"/>
      <c r="I127" s="20"/>
      <c r="J127" s="20"/>
    </row>
    <row r="129" spans="1:12">
      <c r="B129">
        <v>2005</v>
      </c>
      <c r="C129">
        <v>2006</v>
      </c>
      <c r="D129">
        <v>2007</v>
      </c>
      <c r="E129">
        <v>2008</v>
      </c>
      <c r="F129">
        <v>2009</v>
      </c>
      <c r="G129">
        <v>2010</v>
      </c>
      <c r="H129">
        <v>2011</v>
      </c>
      <c r="I129">
        <v>2012</v>
      </c>
      <c r="J129">
        <v>2013</v>
      </c>
      <c r="K129">
        <v>2014</v>
      </c>
      <c r="L129">
        <v>2015</v>
      </c>
    </row>
    <row r="130" spans="1:12">
      <c r="A130" t="s">
        <v>221</v>
      </c>
      <c r="B130" s="17">
        <v>33809</v>
      </c>
      <c r="C130" s="17">
        <v>38611</v>
      </c>
      <c r="D130" s="17">
        <v>41683</v>
      </c>
      <c r="E130" s="17">
        <v>47857</v>
      </c>
      <c r="F130" s="17">
        <v>27753</v>
      </c>
      <c r="G130" s="17">
        <v>37776</v>
      </c>
      <c r="H130" s="17">
        <v>55410</v>
      </c>
      <c r="I130" s="17">
        <v>60288</v>
      </c>
      <c r="J130" s="17">
        <v>50492</v>
      </c>
      <c r="K130" s="17">
        <v>50010</v>
      </c>
      <c r="L130" s="17">
        <v>44147</v>
      </c>
    </row>
    <row r="131" spans="1:12">
      <c r="A131" s="15" t="s">
        <v>222</v>
      </c>
      <c r="B131" s="149">
        <v>2868</v>
      </c>
      <c r="C131" s="149">
        <v>3360</v>
      </c>
      <c r="D131" s="149">
        <v>3674</v>
      </c>
      <c r="E131" s="149">
        <v>3819</v>
      </c>
      <c r="F131" s="149">
        <v>3139</v>
      </c>
      <c r="G131" s="149">
        <v>2946</v>
      </c>
      <c r="H131" s="149">
        <v>3003</v>
      </c>
      <c r="I131" s="149">
        <v>3090</v>
      </c>
      <c r="J131" s="149">
        <v>3224</v>
      </c>
      <c r="K131" s="149">
        <v>3313</v>
      </c>
      <c r="L131" s="149">
        <v>3078</v>
      </c>
    </row>
    <row r="132" spans="1:12">
      <c r="A132" s="143" t="s">
        <v>8</v>
      </c>
      <c r="B132" s="17">
        <f t="shared" ref="B132:G132" si="22">SUM(B130:B131)</f>
        <v>36677</v>
      </c>
      <c r="C132" s="17">
        <f t="shared" si="22"/>
        <v>41971</v>
      </c>
      <c r="D132" s="17">
        <f t="shared" si="22"/>
        <v>45357</v>
      </c>
      <c r="E132" s="17">
        <f t="shared" si="22"/>
        <v>51676</v>
      </c>
      <c r="F132" s="17">
        <f t="shared" si="22"/>
        <v>30892</v>
      </c>
      <c r="G132" s="17">
        <f t="shared" si="22"/>
        <v>40722</v>
      </c>
      <c r="H132" s="17">
        <f>SUM(H130:H131)</f>
        <v>58413</v>
      </c>
      <c r="I132" s="17">
        <f t="shared" ref="I132:L132" si="23">SUM(I130:I131)</f>
        <v>63378</v>
      </c>
      <c r="J132" s="17">
        <f t="shared" si="23"/>
        <v>53716</v>
      </c>
      <c r="K132" s="17">
        <f t="shared" si="23"/>
        <v>53323</v>
      </c>
      <c r="L132" s="17">
        <f t="shared" si="23"/>
        <v>47225</v>
      </c>
    </row>
    <row r="133" spans="1:12">
      <c r="B133" s="20">
        <f>B131/B132</f>
        <v>7.819614472285083E-2</v>
      </c>
      <c r="C133" s="20">
        <f t="shared" ref="C133:L133" si="24">C131/C132</f>
        <v>8.0055276262181035E-2</v>
      </c>
      <c r="D133" s="20">
        <f t="shared" si="24"/>
        <v>8.1001829927023386E-2</v>
      </c>
      <c r="E133" s="20">
        <f t="shared" si="24"/>
        <v>7.3902778852852388E-2</v>
      </c>
      <c r="F133" s="20">
        <f t="shared" si="24"/>
        <v>0.10161206784928137</v>
      </c>
      <c r="G133" s="20">
        <f t="shared" si="24"/>
        <v>7.2344187417120967E-2</v>
      </c>
      <c r="H133" s="20">
        <f t="shared" si="24"/>
        <v>5.1409788916850704E-2</v>
      </c>
      <c r="I133" s="20">
        <f t="shared" si="24"/>
        <v>4.8755088516519926E-2</v>
      </c>
      <c r="J133" s="20">
        <f t="shared" si="24"/>
        <v>6.0019361084220714E-2</v>
      </c>
      <c r="K133" s="20">
        <f t="shared" si="24"/>
        <v>6.2130787840144031E-2</v>
      </c>
      <c r="L133" s="20">
        <f t="shared" si="24"/>
        <v>6.5177342509264158E-2</v>
      </c>
    </row>
    <row r="134" spans="1:12">
      <c r="A134" s="10" t="s">
        <v>218</v>
      </c>
    </row>
    <row r="135" spans="1:12">
      <c r="A135" t="s">
        <v>191</v>
      </c>
      <c r="C135" s="20">
        <f>C130/B130-1</f>
        <v>0.14203318642964891</v>
      </c>
      <c r="D135" s="20">
        <f t="shared" ref="D135:L135" si="25">D130/C130-1</f>
        <v>7.9562818885809738E-2</v>
      </c>
      <c r="E135" s="20">
        <f t="shared" si="25"/>
        <v>0.14811793776839477</v>
      </c>
      <c r="F135" s="20">
        <f t="shared" si="25"/>
        <v>-0.42008483607413749</v>
      </c>
      <c r="G135" s="20">
        <f t="shared" si="25"/>
        <v>0.36115014593016981</v>
      </c>
      <c r="H135" s="20">
        <f t="shared" si="25"/>
        <v>0.46680432020330365</v>
      </c>
      <c r="I135" s="20">
        <f t="shared" si="25"/>
        <v>8.80346507850569E-2</v>
      </c>
      <c r="J135" s="20">
        <f t="shared" si="25"/>
        <v>-0.1624867303609342</v>
      </c>
      <c r="K135" s="20">
        <f t="shared" si="25"/>
        <v>-9.5460667036362246E-3</v>
      </c>
      <c r="L135" s="20">
        <f t="shared" si="25"/>
        <v>-0.11723655268946209</v>
      </c>
    </row>
    <row r="136" spans="1:12">
      <c r="A136" t="s">
        <v>139</v>
      </c>
      <c r="E136" s="20">
        <f>SUM(C131:E131)/SUM(B131:D131)-1</f>
        <v>9.6041203797212704E-2</v>
      </c>
      <c r="F136" s="20">
        <f t="shared" ref="F136:L136" si="26">SUM(D131:F131)/SUM(C131:E131)-1</f>
        <v>-2.0363033262692398E-2</v>
      </c>
      <c r="G136" s="20">
        <f t="shared" si="26"/>
        <v>-6.8472535741158747E-2</v>
      </c>
      <c r="H136" s="20">
        <f t="shared" si="26"/>
        <v>-8.2390953150242363E-2</v>
      </c>
      <c r="I136" s="20">
        <f t="shared" si="26"/>
        <v>-5.3917253521126307E-3</v>
      </c>
      <c r="J136" s="20">
        <f t="shared" si="26"/>
        <v>3.075561455913256E-2</v>
      </c>
      <c r="K136" s="20">
        <f t="shared" si="26"/>
        <v>3.3272512611355554E-2</v>
      </c>
      <c r="L136" s="20">
        <f t="shared" si="26"/>
        <v>-1.2464942349641461E-3</v>
      </c>
    </row>
    <row r="137" spans="1:12">
      <c r="A137" t="s">
        <v>133</v>
      </c>
      <c r="G137" s="20">
        <f>SUM(C130:G130)/SUM(B130:F130)-1</f>
        <v>2.0910533279216548E-2</v>
      </c>
      <c r="H137" s="20">
        <f t="shared" ref="H137:L137" si="27">SUM(D130:H130)/SUM(C130:G130)-1</f>
        <v>8.6735852953325088E-2</v>
      </c>
      <c r="I137" s="20">
        <f t="shared" si="27"/>
        <v>8.8393616465300529E-2</v>
      </c>
      <c r="J137" s="20">
        <f t="shared" si="27"/>
        <v>1.1502331022681611E-2</v>
      </c>
      <c r="K137" s="20">
        <f t="shared" si="27"/>
        <v>9.6051683288810974E-2</v>
      </c>
      <c r="L137" s="20">
        <f t="shared" si="27"/>
        <v>2.5085047406054217E-2</v>
      </c>
    </row>
    <row r="138" spans="1:12">
      <c r="A138" t="s">
        <v>223</v>
      </c>
      <c r="L138" s="150">
        <f>SUM(C130:L130)/SUM(B130:K130)-1</f>
        <v>2.3300104352372841E-2</v>
      </c>
    </row>
    <row r="140" spans="1:12">
      <c r="A140" s="10" t="s">
        <v>224</v>
      </c>
    </row>
    <row r="141" spans="1:12">
      <c r="A141" t="s">
        <v>191</v>
      </c>
      <c r="C141" s="20">
        <f t="shared" ref="C141:L141" si="28">C131/B131-1</f>
        <v>0.17154811715481166</v>
      </c>
      <c r="D141" s="20">
        <f t="shared" si="28"/>
        <v>9.3452380952380842E-2</v>
      </c>
      <c r="E141" s="20">
        <f t="shared" si="28"/>
        <v>3.946652150244967E-2</v>
      </c>
      <c r="F141" s="20">
        <f t="shared" si="28"/>
        <v>-0.17805708300602252</v>
      </c>
      <c r="G141" s="20">
        <f t="shared" si="28"/>
        <v>-6.1484549219496643E-2</v>
      </c>
      <c r="H141" s="20">
        <f t="shared" si="28"/>
        <v>1.9348268839103788E-2</v>
      </c>
      <c r="I141" s="20">
        <f t="shared" si="28"/>
        <v>2.8971028971028989E-2</v>
      </c>
      <c r="J141" s="20">
        <f t="shared" si="28"/>
        <v>4.3365695792880299E-2</v>
      </c>
      <c r="K141" s="20">
        <f t="shared" si="28"/>
        <v>2.7605459057072013E-2</v>
      </c>
      <c r="L141" s="20">
        <f t="shared" si="28"/>
        <v>-7.0932689405372784E-2</v>
      </c>
    </row>
    <row r="142" spans="1:12">
      <c r="A142" t="s">
        <v>139</v>
      </c>
      <c r="E142" s="20">
        <f t="shared" ref="E142:L142" si="29">SUM(C131:E131)/SUM(B131:D131)-1</f>
        <v>9.6041203797212704E-2</v>
      </c>
      <c r="F142" s="20">
        <f t="shared" si="29"/>
        <v>-2.0363033262692398E-2</v>
      </c>
      <c r="G142" s="20">
        <f t="shared" si="29"/>
        <v>-6.8472535741158747E-2</v>
      </c>
      <c r="H142" s="20">
        <f t="shared" si="29"/>
        <v>-8.2390953150242363E-2</v>
      </c>
      <c r="I142" s="20">
        <f t="shared" si="29"/>
        <v>-5.3917253521126307E-3</v>
      </c>
      <c r="J142" s="20">
        <f t="shared" si="29"/>
        <v>3.075561455913256E-2</v>
      </c>
      <c r="K142" s="20">
        <f t="shared" si="29"/>
        <v>3.3272512611355554E-2</v>
      </c>
      <c r="L142" s="20">
        <f t="shared" si="29"/>
        <v>-1.2464942349641461E-3</v>
      </c>
    </row>
    <row r="143" spans="1:12">
      <c r="A143" t="s">
        <v>133</v>
      </c>
      <c r="E143" s="20"/>
      <c r="F143" s="20"/>
      <c r="G143" s="20">
        <f t="shared" ref="G143:L143" si="30">SUM(C131:G131)/SUM(B131:F131)-1</f>
        <v>4.6263345195729499E-3</v>
      </c>
      <c r="H143" s="20">
        <f t="shared" si="30"/>
        <v>-2.1076868579525287E-2</v>
      </c>
      <c r="I143" s="20">
        <f t="shared" si="30"/>
        <v>-3.5221036125686056E-2</v>
      </c>
      <c r="J143" s="20">
        <f t="shared" si="30"/>
        <v>-3.7194473963868213E-2</v>
      </c>
      <c r="K143" s="20">
        <f t="shared" si="30"/>
        <v>1.129723412543826E-2</v>
      </c>
      <c r="L143" s="20">
        <f t="shared" si="30"/>
        <v>8.4745762711864181E-3</v>
      </c>
    </row>
    <row r="144" spans="1:12">
      <c r="A144" t="s">
        <v>223</v>
      </c>
      <c r="L144" s="150">
        <f>SUM(C131:L131)/SUM(B131:K131)-1</f>
        <v>6.4742878283388094E-3</v>
      </c>
    </row>
    <row r="146" spans="1:5">
      <c r="B146" t="s">
        <v>200</v>
      </c>
      <c r="C146" t="s">
        <v>206</v>
      </c>
      <c r="D146" t="s">
        <v>225</v>
      </c>
      <c r="E146" t="s">
        <v>226</v>
      </c>
    </row>
    <row r="147" spans="1:5">
      <c r="A147" t="s">
        <v>201</v>
      </c>
      <c r="B147" s="17">
        <v>5960</v>
      </c>
      <c r="C147" s="17">
        <v>2646</v>
      </c>
      <c r="D147" s="17">
        <v>2622</v>
      </c>
      <c r="E147" s="17">
        <v>795</v>
      </c>
    </row>
    <row r="148" spans="1:5">
      <c r="A148" t="s">
        <v>202</v>
      </c>
      <c r="B148" s="17">
        <v>1597</v>
      </c>
      <c r="C148" s="17">
        <v>882</v>
      </c>
      <c r="D148" s="17">
        <v>1024</v>
      </c>
      <c r="E148" s="17">
        <v>780</v>
      </c>
    </row>
    <row r="149" spans="1:5">
      <c r="A149" t="s">
        <v>203</v>
      </c>
      <c r="B149" s="17">
        <v>4958</v>
      </c>
      <c r="C149" s="17">
        <v>3138</v>
      </c>
      <c r="D149" s="17">
        <v>1709</v>
      </c>
      <c r="E149" s="17">
        <v>757</v>
      </c>
    </row>
    <row r="150" spans="1:5">
      <c r="A150" t="s">
        <v>204</v>
      </c>
      <c r="B150" s="17">
        <v>35</v>
      </c>
      <c r="C150" s="17">
        <v>23</v>
      </c>
      <c r="D150" s="17">
        <v>46</v>
      </c>
      <c r="E150" s="17">
        <v>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workbookViewId="0">
      <pane xSplit="1" ySplit="1" topLeftCell="B85" activePane="bottomRight" state="frozen"/>
      <selection activeCell="E16" sqref="E16"/>
      <selection pane="topRight" activeCell="E16" sqref="E16"/>
      <selection pane="bottomLeft" activeCell="E16" sqref="E16"/>
      <selection pane="bottomRight" activeCell="F68" sqref="F68"/>
    </sheetView>
  </sheetViews>
  <sheetFormatPr defaultRowHeight="14.6"/>
  <cols>
    <col min="1" max="1" width="27.3828125" customWidth="1"/>
    <col min="5" max="5" width="27.3828125" bestFit="1" customWidth="1"/>
  </cols>
  <sheetData>
    <row r="1" spans="1:7">
      <c r="A1" s="10" t="s">
        <v>207</v>
      </c>
      <c r="B1">
        <v>2010</v>
      </c>
      <c r="C1">
        <v>2011</v>
      </c>
      <c r="D1">
        <v>2012</v>
      </c>
      <c r="E1">
        <v>2013</v>
      </c>
      <c r="F1">
        <v>2014</v>
      </c>
      <c r="G1">
        <v>2015</v>
      </c>
    </row>
    <row r="2" spans="1:7">
      <c r="A2" t="s">
        <v>201</v>
      </c>
      <c r="B2" s="144">
        <v>13572</v>
      </c>
      <c r="C2" s="144">
        <v>19667</v>
      </c>
      <c r="D2" s="144">
        <v>19334</v>
      </c>
      <c r="E2" s="144">
        <v>18532</v>
      </c>
      <c r="F2" s="144">
        <v>19362</v>
      </c>
      <c r="G2" s="144">
        <v>16568</v>
      </c>
    </row>
    <row r="3" spans="1:7">
      <c r="A3" t="s">
        <v>202</v>
      </c>
      <c r="B3" s="144">
        <v>8667</v>
      </c>
      <c r="C3" s="144">
        <v>15629</v>
      </c>
      <c r="D3" s="144">
        <v>21158</v>
      </c>
      <c r="E3" s="144">
        <v>13270</v>
      </c>
      <c r="F3" s="144">
        <v>8921</v>
      </c>
      <c r="G3" s="144">
        <v>7551</v>
      </c>
    </row>
    <row r="4" spans="1:7">
      <c r="A4" t="s">
        <v>203</v>
      </c>
      <c r="B4" s="144">
        <v>15537</v>
      </c>
      <c r="C4" s="144">
        <v>20114</v>
      </c>
      <c r="D4" s="144">
        <v>21122</v>
      </c>
      <c r="E4" s="144">
        <v>20155</v>
      </c>
      <c r="F4" s="144">
        <v>21727</v>
      </c>
      <c r="G4" s="144">
        <v>17938</v>
      </c>
    </row>
    <row r="5" spans="1:7">
      <c r="A5" t="s">
        <v>204</v>
      </c>
      <c r="B5" s="144">
        <v>2156</v>
      </c>
      <c r="C5" s="144">
        <v>2021</v>
      </c>
      <c r="D5" s="144">
        <v>1501</v>
      </c>
      <c r="E5" s="144">
        <v>886</v>
      </c>
      <c r="F5" s="144">
        <v>2251</v>
      </c>
      <c r="G5" s="144">
        <v>2197</v>
      </c>
    </row>
    <row r="6" spans="1:7">
      <c r="A6" t="s">
        <v>208</v>
      </c>
      <c r="B6" s="144">
        <v>2946</v>
      </c>
      <c r="C6" s="144">
        <v>3003</v>
      </c>
      <c r="D6" s="144">
        <v>3090</v>
      </c>
      <c r="E6" s="144">
        <v>3224</v>
      </c>
      <c r="F6" s="144">
        <v>3313</v>
      </c>
      <c r="G6" s="144">
        <v>3078</v>
      </c>
    </row>
    <row r="8" spans="1:7">
      <c r="A8" s="10" t="s">
        <v>209</v>
      </c>
    </row>
    <row r="9" spans="1:7">
      <c r="A9" t="s">
        <v>200</v>
      </c>
      <c r="B9" s="144">
        <v>14558</v>
      </c>
      <c r="C9" s="144">
        <v>20249</v>
      </c>
      <c r="D9" s="144">
        <v>22635</v>
      </c>
      <c r="E9" s="144">
        <v>20347</v>
      </c>
      <c r="F9" s="144">
        <v>22644</v>
      </c>
      <c r="G9" s="144">
        <v>20239</v>
      </c>
    </row>
    <row r="10" spans="1:7">
      <c r="A10" t="s">
        <v>205</v>
      </c>
      <c r="B10" s="144">
        <v>5865</v>
      </c>
      <c r="C10" s="144">
        <v>8342</v>
      </c>
      <c r="D10" s="144">
        <v>8568</v>
      </c>
      <c r="E10" s="144">
        <v>7417</v>
      </c>
      <c r="F10" s="144">
        <v>6173</v>
      </c>
      <c r="G10" s="144">
        <v>4442</v>
      </c>
    </row>
    <row r="11" spans="1:7">
      <c r="A11" t="s">
        <v>206</v>
      </c>
      <c r="B11" s="144">
        <v>9609</v>
      </c>
      <c r="C11" s="144">
        <v>14333</v>
      </c>
      <c r="D11" s="144">
        <v>15445</v>
      </c>
      <c r="E11" s="144">
        <v>13144</v>
      </c>
      <c r="F11" s="144">
        <v>13025</v>
      </c>
      <c r="G11" s="144">
        <v>11115</v>
      </c>
    </row>
    <row r="12" spans="1:7">
      <c r="A12" t="s">
        <v>193</v>
      </c>
      <c r="B12" s="144">
        <v>9900</v>
      </c>
      <c r="C12" s="144">
        <v>14507</v>
      </c>
      <c r="D12" s="144">
        <v>16467</v>
      </c>
      <c r="E12" s="144">
        <v>11935</v>
      </c>
      <c r="F12" s="144">
        <v>10419</v>
      </c>
      <c r="G12" s="144">
        <v>8458</v>
      </c>
    </row>
    <row r="14" spans="1:7">
      <c r="A14" s="10" t="s">
        <v>190</v>
      </c>
    </row>
    <row r="15" spans="1:7">
      <c r="A15" t="s">
        <v>201</v>
      </c>
      <c r="C15" s="20">
        <f>C2/B2-1</f>
        <v>0.44908635425876797</v>
      </c>
      <c r="D15" s="20">
        <f t="shared" ref="D15:G15" si="0">D2/C2-1</f>
        <v>-1.6931916408196468E-2</v>
      </c>
      <c r="E15" s="20">
        <f t="shared" si="0"/>
        <v>-4.148132823006101E-2</v>
      </c>
      <c r="F15" s="20">
        <f t="shared" si="0"/>
        <v>4.4787394776602651E-2</v>
      </c>
      <c r="G15" s="20">
        <f t="shared" si="0"/>
        <v>-0.14430327445511826</v>
      </c>
    </row>
    <row r="16" spans="1:7">
      <c r="A16" t="s">
        <v>202</v>
      </c>
      <c r="C16" s="20">
        <f t="shared" ref="C16:G19" si="1">C3/B3-1</f>
        <v>0.80327679704626753</v>
      </c>
      <c r="D16" s="20">
        <f t="shared" si="1"/>
        <v>0.35376543604837152</v>
      </c>
      <c r="E16" s="20">
        <f t="shared" si="1"/>
        <v>-0.37281406560166364</v>
      </c>
      <c r="F16" s="20">
        <f t="shared" si="1"/>
        <v>-0.32773172569706099</v>
      </c>
      <c r="G16" s="20">
        <f t="shared" si="1"/>
        <v>-0.1535702275529649</v>
      </c>
    </row>
    <row r="17" spans="1:7">
      <c r="A17" t="s">
        <v>203</v>
      </c>
      <c r="C17" s="20">
        <f t="shared" si="1"/>
        <v>0.29458711462959397</v>
      </c>
      <c r="D17" s="20">
        <f t="shared" si="1"/>
        <v>5.0114348215173576E-2</v>
      </c>
      <c r="E17" s="20">
        <f t="shared" si="1"/>
        <v>-4.578164946501273E-2</v>
      </c>
      <c r="F17" s="20">
        <f t="shared" si="1"/>
        <v>7.7995534606797312E-2</v>
      </c>
      <c r="G17" s="20">
        <f t="shared" si="1"/>
        <v>-0.17439131035117594</v>
      </c>
    </row>
    <row r="18" spans="1:7">
      <c r="A18" t="s">
        <v>204</v>
      </c>
      <c r="C18" s="20">
        <f t="shared" si="1"/>
        <v>-6.2615955473098284E-2</v>
      </c>
      <c r="D18" s="20">
        <f t="shared" si="1"/>
        <v>-0.25729836714497778</v>
      </c>
      <c r="E18" s="20">
        <f t="shared" si="1"/>
        <v>-0.40972684876748833</v>
      </c>
      <c r="F18" s="20">
        <f t="shared" si="1"/>
        <v>1.5406320541760721</v>
      </c>
      <c r="G18" s="20">
        <f t="shared" si="1"/>
        <v>-2.3989338071968014E-2</v>
      </c>
    </row>
    <row r="19" spans="1:7">
      <c r="A19" t="s">
        <v>208</v>
      </c>
      <c r="C19" s="20">
        <f t="shared" si="1"/>
        <v>1.9348268839103788E-2</v>
      </c>
      <c r="D19" s="20">
        <f t="shared" si="1"/>
        <v>2.8971028971028989E-2</v>
      </c>
      <c r="E19" s="20">
        <f t="shared" si="1"/>
        <v>4.3365695792880299E-2</v>
      </c>
      <c r="F19" s="20">
        <f t="shared" si="1"/>
        <v>2.7605459057072013E-2</v>
      </c>
      <c r="G19" s="20">
        <f t="shared" si="1"/>
        <v>-7.0932689405372784E-2</v>
      </c>
    </row>
    <row r="22" spans="1:7">
      <c r="A22" s="10" t="s">
        <v>227</v>
      </c>
      <c r="B22">
        <v>2010</v>
      </c>
      <c r="C22">
        <v>2011</v>
      </c>
      <c r="D22">
        <v>2012</v>
      </c>
      <c r="E22">
        <v>2013</v>
      </c>
      <c r="F22">
        <v>2014</v>
      </c>
      <c r="G22">
        <v>2015</v>
      </c>
    </row>
    <row r="23" spans="1:7">
      <c r="A23" t="s">
        <v>201</v>
      </c>
      <c r="B23" s="20">
        <f>B2/SUM(B$2:B$6)</f>
        <v>0.31652595736741451</v>
      </c>
      <c r="C23" s="20">
        <f t="shared" ref="C23:G23" si="2">C2/SUM(C$2:C$6)</f>
        <v>0.32542939404970711</v>
      </c>
      <c r="D23" s="20">
        <f t="shared" si="2"/>
        <v>0.29203232384261008</v>
      </c>
      <c r="E23" s="20">
        <f t="shared" si="2"/>
        <v>0.33053311216936881</v>
      </c>
      <c r="F23" s="20">
        <f t="shared" si="2"/>
        <v>0.34840033109007812</v>
      </c>
      <c r="G23" s="20">
        <f t="shared" si="2"/>
        <v>0.35003802924026028</v>
      </c>
    </row>
    <row r="24" spans="1:7">
      <c r="A24" t="s">
        <v>202</v>
      </c>
      <c r="B24" s="20">
        <f t="shared" ref="B24:G25" si="3">B3/SUM(B$2:B$6)</f>
        <v>0.20213162927375344</v>
      </c>
      <c r="C24" s="20">
        <f t="shared" si="3"/>
        <v>0.25861270145944337</v>
      </c>
      <c r="D24" s="20">
        <f t="shared" si="3"/>
        <v>0.31958311305792614</v>
      </c>
      <c r="E24" s="20">
        <f t="shared" si="3"/>
        <v>0.2366811136675763</v>
      </c>
      <c r="F24" s="20">
        <f t="shared" si="3"/>
        <v>0.16052470579767517</v>
      </c>
      <c r="G24" s="20">
        <f t="shared" si="3"/>
        <v>0.15953266289191245</v>
      </c>
    </row>
    <row r="25" spans="1:7">
      <c r="A25" t="s">
        <v>203</v>
      </c>
      <c r="B25" s="20">
        <f t="shared" si="3"/>
        <v>0.36235365455478336</v>
      </c>
      <c r="C25" s="20">
        <f t="shared" si="3"/>
        <v>0.33282589270940199</v>
      </c>
      <c r="D25" s="20">
        <f t="shared" si="3"/>
        <v>0.31903934748130808</v>
      </c>
      <c r="E25" s="20">
        <f t="shared" si="3"/>
        <v>0.35948062139939713</v>
      </c>
      <c r="F25" s="20">
        <f t="shared" si="3"/>
        <v>0.39095620254075647</v>
      </c>
      <c r="G25" s="20">
        <f t="shared" si="3"/>
        <v>0.37898250654948029</v>
      </c>
    </row>
    <row r="26" spans="1:7">
      <c r="B26" s="20"/>
      <c r="C26" s="20"/>
      <c r="D26" s="20"/>
      <c r="E26" s="20"/>
      <c r="F26" s="20"/>
      <c r="G26" s="20"/>
    </row>
    <row r="27" spans="1:7">
      <c r="A27" t="s">
        <v>204</v>
      </c>
      <c r="B27" s="20">
        <f t="shared" ref="B27:G28" si="4">B5/SUM(B$2:B$6)</f>
        <v>5.0282195997947664E-2</v>
      </c>
      <c r="C27" s="20">
        <f t="shared" si="4"/>
        <v>3.3441440248866534E-2</v>
      </c>
      <c r="D27" s="20">
        <f t="shared" si="4"/>
        <v>2.2672003625103843E-2</v>
      </c>
      <c r="E27" s="20">
        <f t="shared" si="4"/>
        <v>1.5802521982627927E-2</v>
      </c>
      <c r="F27" s="20">
        <f t="shared" si="4"/>
        <v>4.0504552488573792E-2</v>
      </c>
      <c r="G27" s="20">
        <f t="shared" si="4"/>
        <v>4.6416800473252764E-2</v>
      </c>
    </row>
    <row r="28" spans="1:7">
      <c r="A28" t="s">
        <v>208</v>
      </c>
      <c r="B28" s="20">
        <f t="shared" si="4"/>
        <v>6.8706562806101032E-2</v>
      </c>
      <c r="C28" s="20">
        <f t="shared" si="4"/>
        <v>4.9690571532580996E-2</v>
      </c>
      <c r="D28" s="20">
        <f t="shared" si="4"/>
        <v>4.6673211993051883E-2</v>
      </c>
      <c r="E28" s="20">
        <f t="shared" si="4"/>
        <v>5.7502630781029837E-2</v>
      </c>
      <c r="F28" s="20">
        <f t="shared" si="4"/>
        <v>5.9614208082916474E-2</v>
      </c>
      <c r="G28" s="20">
        <f t="shared" si="4"/>
        <v>6.5030000845094221E-2</v>
      </c>
    </row>
    <row r="31" spans="1:7">
      <c r="A31" s="10" t="s">
        <v>190</v>
      </c>
      <c r="B31">
        <v>2010</v>
      </c>
      <c r="C31">
        <v>2011</v>
      </c>
      <c r="D31">
        <v>2012</v>
      </c>
      <c r="E31">
        <v>2013</v>
      </c>
      <c r="F31">
        <v>2014</v>
      </c>
      <c r="G31">
        <v>2015</v>
      </c>
    </row>
    <row r="32" spans="1:7">
      <c r="A32" t="s">
        <v>200</v>
      </c>
      <c r="C32" s="20">
        <f>C9/B9-1</f>
        <v>0.39091908229152361</v>
      </c>
      <c r="D32" s="20">
        <f t="shared" ref="D32:G32" si="5">D9/C9-1</f>
        <v>0.11783297940639037</v>
      </c>
      <c r="E32" s="20">
        <f t="shared" si="5"/>
        <v>-0.10108239452175838</v>
      </c>
      <c r="F32" s="20">
        <f t="shared" si="5"/>
        <v>0.11289133533199003</v>
      </c>
      <c r="G32" s="20">
        <f t="shared" si="5"/>
        <v>-0.10620915032679734</v>
      </c>
    </row>
    <row r="33" spans="1:7">
      <c r="A33" t="s">
        <v>205</v>
      </c>
      <c r="C33" s="20">
        <f t="shared" ref="C33:G35" si="6">C10/B10-1</f>
        <v>0.42233589087809031</v>
      </c>
      <c r="D33" s="20">
        <f t="shared" si="6"/>
        <v>2.7091824502517348E-2</v>
      </c>
      <c r="E33" s="20">
        <f t="shared" si="6"/>
        <v>-0.13433706816059754</v>
      </c>
      <c r="F33" s="20">
        <f t="shared" si="6"/>
        <v>-0.16772279897532694</v>
      </c>
      <c r="G33" s="20">
        <f t="shared" si="6"/>
        <v>-0.2804147092175604</v>
      </c>
    </row>
    <row r="34" spans="1:7">
      <c r="A34" t="s">
        <v>206</v>
      </c>
      <c r="C34" s="20">
        <f t="shared" si="6"/>
        <v>0.49162243729836619</v>
      </c>
      <c r="D34" s="20">
        <f t="shared" si="6"/>
        <v>7.7583199609293274E-2</v>
      </c>
      <c r="E34" s="20">
        <f t="shared" si="6"/>
        <v>-0.14898025250890257</v>
      </c>
      <c r="F34" s="20">
        <f t="shared" si="6"/>
        <v>-9.0535605599513236E-3</v>
      </c>
      <c r="G34" s="20">
        <f t="shared" si="6"/>
        <v>-0.14664107485604605</v>
      </c>
    </row>
    <row r="35" spans="1:7">
      <c r="A35" t="s">
        <v>193</v>
      </c>
      <c r="C35" s="20">
        <f t="shared" si="6"/>
        <v>0.46535353535353541</v>
      </c>
      <c r="D35" s="20">
        <f t="shared" si="6"/>
        <v>0.13510718963259127</v>
      </c>
      <c r="E35" s="20">
        <f t="shared" si="6"/>
        <v>-0.27521710086840345</v>
      </c>
      <c r="F35" s="20">
        <f t="shared" si="6"/>
        <v>-0.12702136573104317</v>
      </c>
      <c r="G35" s="20">
        <f t="shared" si="6"/>
        <v>-0.18821384009981768</v>
      </c>
    </row>
    <row r="37" spans="1:7">
      <c r="A37" s="10" t="s">
        <v>227</v>
      </c>
    </row>
    <row r="38" spans="1:7">
      <c r="A38" t="s">
        <v>200</v>
      </c>
      <c r="B38" s="20">
        <f>B9/SUM(B$9:B$12)</f>
        <v>0.36456976860663126</v>
      </c>
      <c r="C38" s="20">
        <f t="shared" ref="C38:G38" si="7">C9/SUM(C$9:C$12)</f>
        <v>0.35257961727986625</v>
      </c>
      <c r="D38" s="20">
        <f t="shared" si="7"/>
        <v>0.35863107026855739</v>
      </c>
      <c r="E38" s="20">
        <f t="shared" si="7"/>
        <v>0.38504626913687717</v>
      </c>
      <c r="F38" s="20">
        <f t="shared" si="7"/>
        <v>0.43328677216279826</v>
      </c>
      <c r="G38" s="20">
        <f t="shared" si="7"/>
        <v>0.45733718985854388</v>
      </c>
    </row>
    <row r="39" spans="1:7">
      <c r="A39" t="s">
        <v>205</v>
      </c>
      <c r="B39" s="20">
        <f t="shared" ref="B39:G41" si="8">B10/SUM(B$9:B$12)</f>
        <v>0.14687468696784534</v>
      </c>
      <c r="C39" s="20">
        <f t="shared" si="8"/>
        <v>0.14525256394630079</v>
      </c>
      <c r="D39" s="20">
        <f t="shared" si="8"/>
        <v>0.1357521983680583</v>
      </c>
      <c r="E39" s="20">
        <f t="shared" si="8"/>
        <v>0.14035917718524688</v>
      </c>
      <c r="F39" s="20">
        <f t="shared" si="8"/>
        <v>0.11811867358068158</v>
      </c>
      <c r="G39" s="20">
        <f t="shared" si="8"/>
        <v>0.10037510733493017</v>
      </c>
    </row>
    <row r="40" spans="1:7">
      <c r="A40" t="s">
        <v>206</v>
      </c>
      <c r="B40" s="20">
        <f t="shared" si="8"/>
        <v>0.24063407793248523</v>
      </c>
      <c r="C40" s="20">
        <f t="shared" si="8"/>
        <v>0.2495690480750814</v>
      </c>
      <c r="D40" s="20">
        <f t="shared" si="8"/>
        <v>0.24471203358947952</v>
      </c>
      <c r="E40" s="20">
        <f t="shared" si="8"/>
        <v>0.24873682417727988</v>
      </c>
      <c r="F40" s="20">
        <f t="shared" si="8"/>
        <v>0.24922982721340961</v>
      </c>
      <c r="G40" s="20">
        <f t="shared" si="8"/>
        <v>0.25116373661137975</v>
      </c>
    </row>
    <row r="41" spans="1:7">
      <c r="A41" t="s">
        <v>193</v>
      </c>
      <c r="B41" s="20">
        <f t="shared" si="8"/>
        <v>0.24792146649303817</v>
      </c>
      <c r="C41" s="20">
        <f t="shared" si="8"/>
        <v>0.25259877069875153</v>
      </c>
      <c r="D41" s="20">
        <f t="shared" si="8"/>
        <v>0.26090469777390479</v>
      </c>
      <c r="E41" s="20">
        <f t="shared" si="8"/>
        <v>0.2258577295005961</v>
      </c>
      <c r="F41" s="20">
        <f t="shared" si="8"/>
        <v>0.19936472704311053</v>
      </c>
      <c r="G41" s="20">
        <f t="shared" si="8"/>
        <v>0.19112396619514621</v>
      </c>
    </row>
    <row r="46" spans="1:7">
      <c r="A46" s="10" t="s">
        <v>228</v>
      </c>
      <c r="B46" s="10" t="s">
        <v>229</v>
      </c>
      <c r="C46" s="10" t="s">
        <v>227</v>
      </c>
      <c r="F46" t="s">
        <v>199</v>
      </c>
    </row>
    <row r="47" spans="1:7">
      <c r="A47" t="s">
        <v>230</v>
      </c>
      <c r="B47" s="144">
        <v>8084</v>
      </c>
      <c r="C47" s="20">
        <f t="shared" ref="C47:C62" si="9">B47/B$63</f>
        <v>0.18267275274551453</v>
      </c>
      <c r="E47" t="s">
        <v>230</v>
      </c>
      <c r="F47" s="144">
        <v>5960</v>
      </c>
      <c r="G47" s="20">
        <f t="shared" ref="G47:G62" si="10">F47/F$63</f>
        <v>0.22094531974050047</v>
      </c>
    </row>
    <row r="48" spans="1:7">
      <c r="A48" t="s">
        <v>231</v>
      </c>
      <c r="B48" s="144">
        <v>7759</v>
      </c>
      <c r="C48" s="20">
        <f t="shared" si="9"/>
        <v>0.17532878383874903</v>
      </c>
      <c r="E48" t="s">
        <v>231</v>
      </c>
      <c r="F48" s="144">
        <v>4958</v>
      </c>
      <c r="G48" s="20">
        <f t="shared" si="10"/>
        <v>0.18379981464318815</v>
      </c>
    </row>
    <row r="49" spans="1:7">
      <c r="A49" t="s">
        <v>232</v>
      </c>
      <c r="B49" s="144">
        <v>5270</v>
      </c>
      <c r="C49" s="20">
        <f t="shared" si="9"/>
        <v>0.1190852804266281</v>
      </c>
      <c r="E49" t="s">
        <v>232</v>
      </c>
      <c r="F49" s="144">
        <v>3138</v>
      </c>
      <c r="G49" s="20">
        <f t="shared" si="10"/>
        <v>0.11632993512511584</v>
      </c>
    </row>
    <row r="50" spans="1:7">
      <c r="A50" t="s">
        <v>233</v>
      </c>
      <c r="B50" s="144">
        <v>3808</v>
      </c>
      <c r="C50" s="20">
        <f t="shared" si="9"/>
        <v>8.6048718759886109E-2</v>
      </c>
      <c r="E50" t="s">
        <v>233</v>
      </c>
      <c r="F50" s="144">
        <v>2646</v>
      </c>
      <c r="G50" s="20">
        <f t="shared" si="10"/>
        <v>9.8090824837812784E-2</v>
      </c>
    </row>
    <row r="51" spans="1:7">
      <c r="A51" t="s">
        <v>234</v>
      </c>
      <c r="B51" s="144">
        <v>3275</v>
      </c>
      <c r="C51" s="20">
        <f t="shared" si="9"/>
        <v>7.4004609752790704E-2</v>
      </c>
      <c r="E51" t="s">
        <v>235</v>
      </c>
      <c r="F51" s="144">
        <v>2622</v>
      </c>
      <c r="G51" s="20">
        <f t="shared" si="10"/>
        <v>9.7201112140871182E-2</v>
      </c>
    </row>
    <row r="52" spans="1:7">
      <c r="A52" t="s">
        <v>235</v>
      </c>
      <c r="B52" s="144">
        <v>3227</v>
      </c>
      <c r="C52" s="20">
        <f t="shared" si="9"/>
        <v>7.2919962037329963E-2</v>
      </c>
      <c r="E52" t="s">
        <v>234</v>
      </c>
      <c r="F52" s="144">
        <v>1709</v>
      </c>
      <c r="G52" s="20">
        <f t="shared" si="10"/>
        <v>6.3354958294717337E-2</v>
      </c>
    </row>
    <row r="53" spans="1:7">
      <c r="A53" t="s">
        <v>236</v>
      </c>
      <c r="B53" s="144">
        <v>2820</v>
      </c>
      <c r="C53" s="20">
        <f t="shared" si="9"/>
        <v>6.3723053283319023E-2</v>
      </c>
      <c r="E53" t="s">
        <v>236</v>
      </c>
      <c r="F53" s="144">
        <v>1597</v>
      </c>
      <c r="G53" s="20">
        <f t="shared" si="10"/>
        <v>5.9202965708989808E-2</v>
      </c>
    </row>
    <row r="54" spans="1:7">
      <c r="A54" t="s">
        <v>237</v>
      </c>
      <c r="B54" s="144">
        <v>1774</v>
      </c>
      <c r="C54" s="20">
        <f t="shared" si="9"/>
        <v>4.0086771817236862E-2</v>
      </c>
      <c r="E54" t="s">
        <v>237</v>
      </c>
      <c r="F54" s="144">
        <v>1024</v>
      </c>
      <c r="G54" s="20">
        <f t="shared" si="10"/>
        <v>3.7961075069508805E-2</v>
      </c>
    </row>
    <row r="55" spans="1:7">
      <c r="A55" t="s">
        <v>238</v>
      </c>
      <c r="B55" s="144">
        <v>1741</v>
      </c>
      <c r="C55" s="20">
        <f t="shared" si="9"/>
        <v>3.9341076512857592E-2</v>
      </c>
      <c r="E55" t="s">
        <v>238</v>
      </c>
      <c r="F55" s="144">
        <v>882</v>
      </c>
      <c r="G55" s="20">
        <f t="shared" si="10"/>
        <v>3.2696941612604266E-2</v>
      </c>
    </row>
    <row r="56" spans="1:7">
      <c r="A56" t="s">
        <v>239</v>
      </c>
      <c r="B56" s="144">
        <v>1634</v>
      </c>
      <c r="C56" s="20">
        <f t="shared" si="9"/>
        <v>3.6923215980476341E-2</v>
      </c>
      <c r="E56" t="s">
        <v>240</v>
      </c>
      <c r="F56" s="144">
        <v>795</v>
      </c>
      <c r="G56" s="20">
        <f t="shared" si="10"/>
        <v>2.9471733086190919E-2</v>
      </c>
    </row>
    <row r="57" spans="1:7">
      <c r="A57" t="s">
        <v>241</v>
      </c>
      <c r="B57" s="144">
        <v>1576</v>
      </c>
      <c r="C57" s="20">
        <f t="shared" si="9"/>
        <v>3.5612599990961266E-2</v>
      </c>
      <c r="E57" t="s">
        <v>242</v>
      </c>
      <c r="F57" s="144">
        <v>780</v>
      </c>
      <c r="G57" s="20">
        <f t="shared" si="10"/>
        <v>2.891566265060241E-2</v>
      </c>
    </row>
    <row r="58" spans="1:7">
      <c r="A58" t="s">
        <v>240</v>
      </c>
      <c r="B58" s="144">
        <v>1449</v>
      </c>
      <c r="C58" s="20">
        <f t="shared" si="9"/>
        <v>3.2742802910471366E-2</v>
      </c>
      <c r="E58" t="s">
        <v>239</v>
      </c>
      <c r="F58" s="144">
        <v>757</v>
      </c>
      <c r="G58" s="20">
        <f t="shared" si="10"/>
        <v>2.8063021316033363E-2</v>
      </c>
    </row>
    <row r="59" spans="1:7">
      <c r="A59" t="s">
        <v>242</v>
      </c>
      <c r="B59" s="144">
        <v>1216</v>
      </c>
      <c r="C59" s="20">
        <f t="shared" si="9"/>
        <v>2.7477742125005648E-2</v>
      </c>
      <c r="E59" t="s">
        <v>243</v>
      </c>
      <c r="F59" s="144">
        <v>46</v>
      </c>
      <c r="G59" s="20">
        <f t="shared" si="10"/>
        <v>1.7052826691380909E-3</v>
      </c>
    </row>
    <row r="60" spans="1:7">
      <c r="A60" t="s">
        <v>244</v>
      </c>
      <c r="B60" s="144">
        <v>296</v>
      </c>
      <c r="C60" s="20">
        <f t="shared" si="9"/>
        <v>6.6886609120079543E-3</v>
      </c>
      <c r="E60" t="s">
        <v>241</v>
      </c>
      <c r="F60" s="144">
        <v>35</v>
      </c>
      <c r="G60" s="20">
        <f t="shared" si="10"/>
        <v>1.2974976830398518E-3</v>
      </c>
    </row>
    <row r="61" spans="1:7">
      <c r="A61" t="s">
        <v>243</v>
      </c>
      <c r="B61" s="144">
        <v>182</v>
      </c>
      <c r="C61" s="20">
        <f t="shared" si="9"/>
        <v>4.1126225877886743E-3</v>
      </c>
      <c r="E61" t="s">
        <v>244</v>
      </c>
      <c r="F61" s="144">
        <v>23</v>
      </c>
      <c r="G61" s="20">
        <f t="shared" si="10"/>
        <v>8.5264133456904544E-4</v>
      </c>
    </row>
    <row r="62" spans="1:7">
      <c r="A62" t="s">
        <v>245</v>
      </c>
      <c r="B62" s="144">
        <v>143</v>
      </c>
      <c r="C62" s="20">
        <f t="shared" si="9"/>
        <v>3.2313463189768158E-3</v>
      </c>
      <c r="E62" t="s">
        <v>245</v>
      </c>
      <c r="F62" s="144">
        <v>3</v>
      </c>
      <c r="G62" s="20">
        <f t="shared" si="10"/>
        <v>1.1121408711770157E-4</v>
      </c>
    </row>
    <row r="63" spans="1:7">
      <c r="B63" s="144">
        <f>SUM(B47:B62)</f>
        <v>44254</v>
      </c>
      <c r="F63" s="144">
        <f>SUM(F47:F62)</f>
        <v>26975</v>
      </c>
    </row>
    <row r="66" spans="1:19">
      <c r="B66">
        <v>2010</v>
      </c>
      <c r="C66">
        <v>2011</v>
      </c>
      <c r="D66">
        <v>2012</v>
      </c>
      <c r="E66">
        <v>2013</v>
      </c>
      <c r="F66">
        <v>2014</v>
      </c>
      <c r="G66">
        <v>2015</v>
      </c>
    </row>
    <row r="67" spans="1:19">
      <c r="A67" t="s">
        <v>230</v>
      </c>
      <c r="B67" s="144">
        <v>4108</v>
      </c>
      <c r="C67" s="144">
        <v>5985</v>
      </c>
      <c r="D67" s="144">
        <v>7101</v>
      </c>
      <c r="E67" s="144">
        <v>7071</v>
      </c>
      <c r="F67" s="144">
        <v>8403</v>
      </c>
      <c r="G67" s="144">
        <v>8084</v>
      </c>
      <c r="H67" s="144"/>
      <c r="I67" s="144"/>
      <c r="J67" s="144"/>
      <c r="K67" s="20"/>
    </row>
    <row r="68" spans="1:19">
      <c r="A68" t="s">
        <v>231</v>
      </c>
      <c r="B68" s="144">
        <v>6376</v>
      </c>
      <c r="C68" s="144">
        <v>8331</v>
      </c>
      <c r="D68" s="144">
        <v>8720</v>
      </c>
      <c r="E68" s="144">
        <v>8231</v>
      </c>
      <c r="F68" s="144">
        <v>9612</v>
      </c>
      <c r="G68" s="144">
        <v>7759</v>
      </c>
      <c r="H68" s="144"/>
      <c r="I68" s="144"/>
      <c r="J68" s="144"/>
      <c r="K68" s="20"/>
      <c r="M68" s="144"/>
      <c r="N68" s="144"/>
      <c r="O68" s="144"/>
      <c r="P68" s="144"/>
      <c r="Q68" s="144"/>
    </row>
    <row r="69" spans="1:19">
      <c r="A69" t="s">
        <v>232</v>
      </c>
      <c r="B69" s="144">
        <v>4393</v>
      </c>
      <c r="C69" s="144">
        <v>5752</v>
      </c>
      <c r="D69" s="144">
        <v>6043</v>
      </c>
      <c r="E69" s="144">
        <v>5735</v>
      </c>
      <c r="F69" s="144">
        <v>6297</v>
      </c>
      <c r="G69" s="144">
        <v>5270</v>
      </c>
      <c r="H69" s="144"/>
      <c r="I69" s="144"/>
      <c r="J69" s="144"/>
      <c r="K69" s="20"/>
    </row>
    <row r="70" spans="1:19">
      <c r="A70" t="s">
        <v>233</v>
      </c>
      <c r="B70" s="144">
        <v>2941</v>
      </c>
      <c r="C70" s="144">
        <v>4768</v>
      </c>
      <c r="D70" s="144">
        <v>4633</v>
      </c>
      <c r="E70" s="144">
        <v>4026</v>
      </c>
      <c r="F70" s="144">
        <v>4267</v>
      </c>
      <c r="G70" s="144">
        <v>3808</v>
      </c>
      <c r="H70" s="144"/>
      <c r="I70" s="144"/>
      <c r="J70" s="144"/>
      <c r="K70" s="20"/>
      <c r="M70" s="144"/>
      <c r="N70" s="144"/>
      <c r="O70" s="144"/>
      <c r="P70" s="144"/>
      <c r="Q70" s="144"/>
    </row>
    <row r="71" spans="1:19">
      <c r="A71" t="s">
        <v>234</v>
      </c>
      <c r="B71" s="144">
        <v>2868</v>
      </c>
      <c r="C71" s="144">
        <v>3668</v>
      </c>
      <c r="D71" s="144">
        <v>4168</v>
      </c>
      <c r="E71" s="144">
        <v>4021</v>
      </c>
      <c r="F71" s="144">
        <v>3855</v>
      </c>
      <c r="G71" s="144">
        <v>3275</v>
      </c>
      <c r="H71" s="144"/>
      <c r="I71" s="144"/>
      <c r="J71" s="144"/>
      <c r="K71" s="20"/>
    </row>
    <row r="72" spans="1:19">
      <c r="A72" t="s">
        <v>235</v>
      </c>
      <c r="B72" s="144">
        <v>4475</v>
      </c>
      <c r="C72" s="144">
        <v>5869</v>
      </c>
      <c r="D72" s="144">
        <v>4950</v>
      </c>
      <c r="E72" s="144">
        <v>4704</v>
      </c>
      <c r="F72" s="144">
        <v>4247</v>
      </c>
      <c r="G72" s="144">
        <v>3227</v>
      </c>
      <c r="H72" s="144"/>
      <c r="I72" s="144"/>
      <c r="J72" s="144"/>
      <c r="K72" s="20"/>
    </row>
    <row r="73" spans="1:19">
      <c r="N73" s="144"/>
      <c r="O73" s="144"/>
      <c r="P73" s="144"/>
      <c r="Q73" s="144"/>
      <c r="R73" s="144"/>
      <c r="S73" s="144"/>
    </row>
    <row r="74" spans="1:19">
      <c r="A74" t="s">
        <v>246</v>
      </c>
      <c r="B74" s="144">
        <v>42588</v>
      </c>
      <c r="C74" s="144">
        <v>60138</v>
      </c>
      <c r="D74" s="144">
        <v>65875</v>
      </c>
      <c r="E74" s="144">
        <v>55656</v>
      </c>
      <c r="F74" s="144">
        <v>55184</v>
      </c>
      <c r="G74" s="144">
        <v>47011</v>
      </c>
    </row>
    <row r="75" spans="1:19">
      <c r="C75" s="20">
        <f>C74/B74-1</f>
        <v>0.41208791208791218</v>
      </c>
      <c r="D75" s="20">
        <f t="shared" ref="D75:G75" si="11">D74/C74-1</f>
        <v>9.5397252984801728E-2</v>
      </c>
      <c r="E75" s="20">
        <f t="shared" si="11"/>
        <v>-0.15512713472485773</v>
      </c>
      <c r="F75" s="20">
        <f t="shared" si="11"/>
        <v>-8.4806669541469537E-3</v>
      </c>
      <c r="G75" s="20">
        <f t="shared" si="11"/>
        <v>-0.14810452305015942</v>
      </c>
      <c r="H75" s="20">
        <f>SUM(C74:G74)/SUM(B74:F74)-1</f>
        <v>1.5828028098954672E-2</v>
      </c>
      <c r="N75" s="144"/>
      <c r="O75" s="144"/>
      <c r="P75" s="144"/>
      <c r="Q75" s="144"/>
      <c r="R75" s="144"/>
      <c r="S75" s="144"/>
    </row>
    <row r="78" spans="1:19">
      <c r="A78" t="s">
        <v>230</v>
      </c>
      <c r="B78" s="20">
        <f t="shared" ref="B78:G83" si="12">B67/B$74</f>
        <v>9.6459096459096463E-2</v>
      </c>
      <c r="C78" s="20">
        <f t="shared" si="12"/>
        <v>9.9521101466626752E-2</v>
      </c>
      <c r="D78" s="20">
        <f t="shared" si="12"/>
        <v>0.10779506641366224</v>
      </c>
      <c r="E78" s="20">
        <f t="shared" si="12"/>
        <v>0.12704829667960327</v>
      </c>
      <c r="F78" s="20">
        <f t="shared" si="12"/>
        <v>0.15227239779646273</v>
      </c>
      <c r="G78" s="20">
        <f t="shared" si="12"/>
        <v>0.17195975410010422</v>
      </c>
    </row>
    <row r="79" spans="1:19">
      <c r="A79" t="s">
        <v>231</v>
      </c>
      <c r="B79" s="20">
        <f t="shared" si="12"/>
        <v>0.14971353432891896</v>
      </c>
      <c r="C79" s="20">
        <f t="shared" si="12"/>
        <v>0.13853137783098873</v>
      </c>
      <c r="D79" s="20">
        <f t="shared" si="12"/>
        <v>0.13237191650853891</v>
      </c>
      <c r="E79" s="20">
        <f t="shared" si="12"/>
        <v>0.1478906137703033</v>
      </c>
      <c r="F79" s="20">
        <f t="shared" si="12"/>
        <v>0.17418092200637866</v>
      </c>
      <c r="G79" s="20">
        <f t="shared" si="12"/>
        <v>0.16504647848375911</v>
      </c>
    </row>
    <row r="80" spans="1:19">
      <c r="A80" t="s">
        <v>232</v>
      </c>
      <c r="B80" s="20">
        <f t="shared" si="12"/>
        <v>0.10315112238189161</v>
      </c>
      <c r="C80" s="20">
        <f t="shared" si="12"/>
        <v>9.5646679304266846E-2</v>
      </c>
      <c r="D80" s="20">
        <f t="shared" si="12"/>
        <v>9.1734345351043647E-2</v>
      </c>
      <c r="E80" s="20">
        <f t="shared" si="12"/>
        <v>0.10304369699583153</v>
      </c>
      <c r="F80" s="20">
        <f t="shared" si="12"/>
        <v>0.11410916207596404</v>
      </c>
      <c r="G80" s="20">
        <f t="shared" si="12"/>
        <v>0.1121014230711961</v>
      </c>
    </row>
    <row r="81" spans="1:7">
      <c r="A81" t="s">
        <v>233</v>
      </c>
      <c r="B81" s="20">
        <f t="shared" si="12"/>
        <v>6.9057011364703672E-2</v>
      </c>
      <c r="C81" s="20">
        <f t="shared" si="12"/>
        <v>7.9284312747347763E-2</v>
      </c>
      <c r="D81" s="20">
        <f t="shared" si="12"/>
        <v>7.0330170777988615E-2</v>
      </c>
      <c r="E81" s="20">
        <f t="shared" si="12"/>
        <v>7.2337214316515741E-2</v>
      </c>
      <c r="F81" s="20">
        <f t="shared" si="12"/>
        <v>7.7323137141200343E-2</v>
      </c>
      <c r="G81" s="20">
        <f t="shared" si="12"/>
        <v>8.1002318606283638E-2</v>
      </c>
    </row>
    <row r="82" spans="1:7">
      <c r="A82" t="s">
        <v>234</v>
      </c>
      <c r="B82" s="20">
        <f t="shared" si="12"/>
        <v>6.7342913496759652E-2</v>
      </c>
      <c r="C82" s="20">
        <f t="shared" si="12"/>
        <v>6.0993049319897567E-2</v>
      </c>
      <c r="D82" s="20">
        <f t="shared" si="12"/>
        <v>6.3271347248576845E-2</v>
      </c>
      <c r="E82" s="20">
        <f t="shared" si="12"/>
        <v>7.2247376742848923E-2</v>
      </c>
      <c r="F82" s="20">
        <f t="shared" si="12"/>
        <v>6.9857204986952734E-2</v>
      </c>
      <c r="G82" s="20">
        <f t="shared" si="12"/>
        <v>6.9664546595477661E-2</v>
      </c>
    </row>
    <row r="83" spans="1:7">
      <c r="A83" t="s">
        <v>235</v>
      </c>
      <c r="B83" s="20">
        <f t="shared" si="12"/>
        <v>0.10507654738423969</v>
      </c>
      <c r="C83" s="20">
        <f t="shared" si="12"/>
        <v>9.7592204596095647E-2</v>
      </c>
      <c r="D83" s="20">
        <f t="shared" si="12"/>
        <v>7.5142314990512341E-2</v>
      </c>
      <c r="E83" s="20">
        <f t="shared" si="12"/>
        <v>8.4519189305735237E-2</v>
      </c>
      <c r="F83" s="20">
        <f t="shared" si="12"/>
        <v>7.6960713250217458E-2</v>
      </c>
      <c r="G83" s="20">
        <f t="shared" si="12"/>
        <v>6.8643508965986685E-2</v>
      </c>
    </row>
    <row r="84" spans="1:7">
      <c r="B84" s="99">
        <f>SUM(B78:B83)</f>
        <v>0.59080022541561006</v>
      </c>
      <c r="C84" s="99">
        <f t="shared" ref="C84:G84" si="13">SUM(C78:C83)</f>
        <v>0.57156872526522329</v>
      </c>
      <c r="D84" s="99">
        <f t="shared" si="13"/>
        <v>0.5406451612903227</v>
      </c>
      <c r="E84" s="99">
        <f t="shared" si="13"/>
        <v>0.60708638781083801</v>
      </c>
      <c r="F84" s="99">
        <f t="shared" si="13"/>
        <v>0.66470353725717601</v>
      </c>
      <c r="G84" s="99">
        <f t="shared" si="13"/>
        <v>0.66841802982280729</v>
      </c>
    </row>
    <row r="87" spans="1:7">
      <c r="C87" t="s">
        <v>247</v>
      </c>
    </row>
    <row r="88" spans="1:7">
      <c r="A88" t="s">
        <v>37</v>
      </c>
      <c r="B88" s="144">
        <v>35981</v>
      </c>
      <c r="C88" s="144">
        <v>28963</v>
      </c>
    </row>
    <row r="89" spans="1:7">
      <c r="A89" t="s">
        <v>248</v>
      </c>
      <c r="B89" s="144">
        <v>4864</v>
      </c>
      <c r="C89" s="144">
        <v>3963</v>
      </c>
    </row>
    <row r="90" spans="1:7">
      <c r="A90" t="s">
        <v>249</v>
      </c>
      <c r="B90" s="144">
        <v>2272</v>
      </c>
      <c r="C90" s="144">
        <v>2255</v>
      </c>
    </row>
    <row r="91" spans="1:7">
      <c r="A91" t="s">
        <v>250</v>
      </c>
      <c r="B91" s="144">
        <f>B90*-1.03</f>
        <v>-2340.16</v>
      </c>
      <c r="C91" s="144">
        <f>C90*-1.03</f>
        <v>-2322.65</v>
      </c>
    </row>
    <row r="92" spans="1:7">
      <c r="A92" t="s">
        <v>251</v>
      </c>
      <c r="B92" s="144">
        <f>B89+B91</f>
        <v>2523.84</v>
      </c>
      <c r="C92" s="144">
        <f>C89+C91</f>
        <v>1640.35</v>
      </c>
    </row>
    <row r="94" spans="1:7">
      <c r="A94" t="s">
        <v>252</v>
      </c>
      <c r="B94" s="144">
        <f>-946-1251</f>
        <v>-2197</v>
      </c>
      <c r="C94" s="144">
        <f>-807-1393</f>
        <v>-2200</v>
      </c>
    </row>
    <row r="95" spans="1:7">
      <c r="A95" t="s">
        <v>253</v>
      </c>
      <c r="B95" s="144">
        <f>B94-B91</f>
        <v>143.15999999999985</v>
      </c>
      <c r="C95" s="144">
        <f>C94-C91</f>
        <v>122.65000000000009</v>
      </c>
    </row>
    <row r="96" spans="1:7">
      <c r="A96" t="s">
        <v>254</v>
      </c>
      <c r="B96" s="144">
        <v>-140</v>
      </c>
      <c r="C96" s="144">
        <v>-72</v>
      </c>
    </row>
    <row r="97" spans="1:3">
      <c r="A97" t="s">
        <v>255</v>
      </c>
      <c r="B97" s="144">
        <f>473+174</f>
        <v>647</v>
      </c>
      <c r="C97" s="144">
        <v>572</v>
      </c>
    </row>
    <row r="98" spans="1:3">
      <c r="A98" t="s">
        <v>256</v>
      </c>
      <c r="B98" s="144">
        <f>-7099+6849+101</f>
        <v>-149</v>
      </c>
      <c r="C98" s="144">
        <f>-6911+6968+55</f>
        <v>112</v>
      </c>
    </row>
    <row r="99" spans="1:3">
      <c r="A99" t="s">
        <v>257</v>
      </c>
      <c r="B99" s="144">
        <f>SUM(B95:B98)</f>
        <v>501.15999999999985</v>
      </c>
      <c r="C99" s="144">
        <f>SUM(C95:C98)</f>
        <v>734.65000000000009</v>
      </c>
    </row>
    <row r="100" spans="1:3">
      <c r="A100" t="s">
        <v>73</v>
      </c>
      <c r="B100" s="144">
        <f>B92+B99</f>
        <v>3025</v>
      </c>
      <c r="C100" s="144">
        <f>C92+C99</f>
        <v>2375</v>
      </c>
    </row>
    <row r="102" spans="1:3">
      <c r="A102" t="s">
        <v>127</v>
      </c>
      <c r="B102" s="150">
        <f>B92/B88</f>
        <v>7.0143686945888115E-2</v>
      </c>
      <c r="C102" s="150">
        <f>C92/C88</f>
        <v>5.6636052895073022E-2</v>
      </c>
    </row>
    <row r="103" spans="1:3">
      <c r="A103" t="s">
        <v>128</v>
      </c>
      <c r="B103" s="150">
        <f>B100/B88</f>
        <v>8.4072149189850204E-2</v>
      </c>
      <c r="C103" s="150">
        <f>C100/C88</f>
        <v>8.2001173911542311E-2</v>
      </c>
    </row>
    <row r="104" spans="1:3">
      <c r="A104" t="s">
        <v>258</v>
      </c>
      <c r="C104" s="150">
        <f>C88/B88-1</f>
        <v>-0.19504738612045247</v>
      </c>
    </row>
    <row r="106" spans="1:3">
      <c r="A106" t="s">
        <v>259</v>
      </c>
      <c r="B106" s="150">
        <f>-B99/B92</f>
        <v>-0.19857043235704316</v>
      </c>
      <c r="C106" s="150">
        <f>-C99/C92</f>
        <v>-0.44786173682445829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zoomScale="110" zoomScaleNormal="110" workbookViewId="0">
      <selection activeCell="E20" sqref="E20"/>
    </sheetView>
  </sheetViews>
  <sheetFormatPr defaultRowHeight="14.6"/>
  <cols>
    <col min="1" max="1" width="14.3828125" style="133" customWidth="1"/>
    <col min="2" max="2" width="10.15234375" customWidth="1"/>
  </cols>
  <sheetData>
    <row r="1" spans="1:4">
      <c r="A1" s="133" t="s">
        <v>161</v>
      </c>
      <c r="B1" t="s">
        <v>289</v>
      </c>
      <c r="C1" t="s">
        <v>290</v>
      </c>
      <c r="D1" s="20">
        <f>(B129/B5)^(1/(31))-1</f>
        <v>5.9969011144150208E-2</v>
      </c>
    </row>
    <row r="2" spans="1:4">
      <c r="A2" s="133">
        <v>31047</v>
      </c>
      <c r="B2" s="17">
        <v>6576</v>
      </c>
    </row>
    <row r="3" spans="1:4">
      <c r="A3" s="133">
        <v>31137</v>
      </c>
      <c r="B3" s="17">
        <v>6666</v>
      </c>
    </row>
    <row r="4" spans="1:4">
      <c r="A4" s="133">
        <v>31228</v>
      </c>
      <c r="B4" s="17">
        <v>6478</v>
      </c>
    </row>
    <row r="5" spans="1:4">
      <c r="A5" s="133">
        <v>31320</v>
      </c>
      <c r="B5" s="17">
        <v>6575</v>
      </c>
    </row>
    <row r="6" spans="1:4">
      <c r="A6" s="133">
        <v>31412</v>
      </c>
      <c r="B6" s="17">
        <v>6725</v>
      </c>
    </row>
    <row r="7" spans="1:4">
      <c r="A7" s="133">
        <v>31502</v>
      </c>
      <c r="B7" s="17">
        <v>6985</v>
      </c>
    </row>
    <row r="8" spans="1:4">
      <c r="A8" s="133">
        <v>31593</v>
      </c>
      <c r="B8" s="17">
        <v>7335</v>
      </c>
    </row>
    <row r="9" spans="1:4">
      <c r="A9" s="133">
        <v>31685</v>
      </c>
      <c r="B9" s="17">
        <v>7351</v>
      </c>
    </row>
    <row r="10" spans="1:4">
      <c r="A10" s="133">
        <v>31777</v>
      </c>
      <c r="B10" s="17">
        <v>7321</v>
      </c>
    </row>
    <row r="11" spans="1:4">
      <c r="A11" s="133">
        <v>31867</v>
      </c>
      <c r="B11" s="17">
        <v>7233</v>
      </c>
    </row>
    <row r="12" spans="1:4">
      <c r="A12" s="133">
        <v>31958</v>
      </c>
      <c r="B12" s="17">
        <v>7286</v>
      </c>
    </row>
    <row r="13" spans="1:4">
      <c r="A13" s="133">
        <v>32050</v>
      </c>
      <c r="B13" s="17">
        <v>7714</v>
      </c>
    </row>
    <row r="14" spans="1:4">
      <c r="A14" s="133">
        <v>32142</v>
      </c>
      <c r="B14" s="17">
        <v>8180</v>
      </c>
    </row>
    <row r="15" spans="1:4">
      <c r="A15" s="133">
        <v>32233</v>
      </c>
      <c r="B15" s="17">
        <v>8915</v>
      </c>
    </row>
    <row r="16" spans="1:4">
      <c r="A16" s="133">
        <v>32324</v>
      </c>
      <c r="B16" s="17">
        <v>9475</v>
      </c>
    </row>
    <row r="17" spans="1:3">
      <c r="A17" s="133">
        <v>32416</v>
      </c>
      <c r="B17" s="17">
        <v>10014</v>
      </c>
    </row>
    <row r="18" spans="1:3">
      <c r="A18" s="133">
        <v>32508</v>
      </c>
      <c r="B18" s="17">
        <v>10435</v>
      </c>
    </row>
    <row r="19" spans="1:3">
      <c r="A19" s="133">
        <v>32598</v>
      </c>
      <c r="B19" s="17">
        <v>10733</v>
      </c>
    </row>
    <row r="20" spans="1:3">
      <c r="A20" s="133">
        <v>32689</v>
      </c>
      <c r="B20" s="17">
        <v>11172</v>
      </c>
    </row>
    <row r="21" spans="1:3">
      <c r="A21" s="133">
        <v>32781</v>
      </c>
      <c r="B21" s="17">
        <v>11026</v>
      </c>
    </row>
    <row r="22" spans="1:3">
      <c r="A22" s="133">
        <v>32873</v>
      </c>
      <c r="B22" s="17">
        <v>11126</v>
      </c>
      <c r="C22" s="20">
        <f t="shared" ref="C22:C85" si="0">(B22/B2)^0.2-1</f>
        <v>0.11090123662602358</v>
      </c>
    </row>
    <row r="23" spans="1:3">
      <c r="A23" s="133">
        <v>32963</v>
      </c>
      <c r="B23" s="17">
        <v>11383</v>
      </c>
      <c r="C23" s="20">
        <f t="shared" si="0"/>
        <v>0.11295674364827679</v>
      </c>
    </row>
    <row r="24" spans="1:3">
      <c r="A24" s="133">
        <v>33054</v>
      </c>
      <c r="B24" s="17">
        <v>11289</v>
      </c>
      <c r="C24" s="20">
        <f t="shared" si="0"/>
        <v>0.11748809690091622</v>
      </c>
    </row>
    <row r="25" spans="1:3">
      <c r="A25" s="133">
        <v>33146</v>
      </c>
      <c r="B25" s="17">
        <v>11441</v>
      </c>
      <c r="C25" s="20">
        <f t="shared" si="0"/>
        <v>0.11715554553255303</v>
      </c>
    </row>
    <row r="26" spans="1:3">
      <c r="A26" s="133">
        <v>33238</v>
      </c>
      <c r="B26" s="17">
        <v>11436</v>
      </c>
      <c r="C26" s="20">
        <f t="shared" si="0"/>
        <v>0.11202966184583629</v>
      </c>
    </row>
    <row r="27" spans="1:3">
      <c r="A27" s="133">
        <v>33328</v>
      </c>
      <c r="B27" s="17">
        <v>11174</v>
      </c>
      <c r="C27" s="20">
        <f t="shared" si="0"/>
        <v>9.8521221932142522E-2</v>
      </c>
    </row>
    <row r="28" spans="1:3">
      <c r="A28" s="133">
        <v>33419</v>
      </c>
      <c r="B28" s="17">
        <v>10918</v>
      </c>
      <c r="C28" s="20">
        <f t="shared" si="0"/>
        <v>8.2800865801720303E-2</v>
      </c>
    </row>
    <row r="29" spans="1:3">
      <c r="A29" s="133">
        <v>33511</v>
      </c>
      <c r="B29" s="17">
        <v>10481</v>
      </c>
      <c r="C29" s="20">
        <f t="shared" si="0"/>
        <v>7.3522767912413967E-2</v>
      </c>
    </row>
    <row r="30" spans="1:3">
      <c r="A30" s="133">
        <v>33603</v>
      </c>
      <c r="B30" s="17">
        <v>10182</v>
      </c>
      <c r="C30" s="20">
        <f t="shared" si="0"/>
        <v>6.8199910313498924E-2</v>
      </c>
    </row>
    <row r="31" spans="1:3">
      <c r="A31" s="133">
        <v>33694</v>
      </c>
      <c r="B31" s="17">
        <v>9690</v>
      </c>
      <c r="C31" s="20">
        <f t="shared" si="0"/>
        <v>6.0232376919638231E-2</v>
      </c>
    </row>
    <row r="32" spans="1:3">
      <c r="A32" s="133">
        <v>33785</v>
      </c>
      <c r="B32" s="17">
        <v>9599</v>
      </c>
      <c r="C32" s="20">
        <f t="shared" si="0"/>
        <v>5.6689434209019618E-2</v>
      </c>
    </row>
    <row r="33" spans="1:3">
      <c r="A33" s="133">
        <v>33877</v>
      </c>
      <c r="B33" s="17">
        <v>9918</v>
      </c>
      <c r="C33" s="20">
        <f t="shared" si="0"/>
        <v>5.1547496797280434E-2</v>
      </c>
    </row>
    <row r="34" spans="1:3">
      <c r="A34" s="133">
        <v>33969</v>
      </c>
      <c r="B34" s="17">
        <v>10194</v>
      </c>
      <c r="C34" s="20">
        <f t="shared" si="0"/>
        <v>4.500475146264038E-2</v>
      </c>
    </row>
    <row r="35" spans="1:3">
      <c r="A35" s="133">
        <v>34059</v>
      </c>
      <c r="B35" s="17">
        <v>10708</v>
      </c>
      <c r="C35" s="20">
        <f t="shared" si="0"/>
        <v>3.7331110559180924E-2</v>
      </c>
    </row>
    <row r="36" spans="1:3">
      <c r="A36" s="133">
        <v>34150</v>
      </c>
      <c r="B36" s="17">
        <v>11013</v>
      </c>
      <c r="C36" s="20">
        <f t="shared" si="0"/>
        <v>3.0541022027346987E-2</v>
      </c>
    </row>
    <row r="37" spans="1:3">
      <c r="A37" s="133">
        <v>34242</v>
      </c>
      <c r="B37" s="17">
        <v>11181</v>
      </c>
      <c r="C37" s="20">
        <f t="shared" si="0"/>
        <v>2.2291175821184117E-2</v>
      </c>
    </row>
    <row r="38" spans="1:3">
      <c r="A38" s="133">
        <v>34334</v>
      </c>
      <c r="B38" s="17">
        <v>11615</v>
      </c>
      <c r="C38" s="20">
        <f t="shared" si="0"/>
        <v>2.1657557954917195E-2</v>
      </c>
    </row>
    <row r="39" spans="1:3">
      <c r="A39" s="133">
        <v>34424</v>
      </c>
      <c r="B39" s="17">
        <v>12204</v>
      </c>
      <c r="C39" s="20">
        <f t="shared" si="0"/>
        <v>2.6020915348792695E-2</v>
      </c>
    </row>
    <row r="40" spans="1:3">
      <c r="A40" s="133">
        <v>34515</v>
      </c>
      <c r="B40" s="17">
        <v>12904</v>
      </c>
      <c r="C40" s="20">
        <f t="shared" si="0"/>
        <v>2.9244809381950398E-2</v>
      </c>
    </row>
    <row r="41" spans="1:3">
      <c r="A41" s="133">
        <v>34607</v>
      </c>
      <c r="B41" s="17">
        <v>13568</v>
      </c>
      <c r="C41" s="20">
        <f t="shared" si="0"/>
        <v>4.2364397381712271E-2</v>
      </c>
    </row>
    <row r="42" spans="1:3">
      <c r="A42" s="133">
        <v>34699</v>
      </c>
      <c r="B42" s="17">
        <v>14328</v>
      </c>
      <c r="C42" s="20">
        <f t="shared" si="0"/>
        <v>5.1887522286805599E-2</v>
      </c>
    </row>
    <row r="43" spans="1:3">
      <c r="A43" s="133">
        <v>34789</v>
      </c>
      <c r="B43" s="17">
        <v>14955</v>
      </c>
      <c r="C43" s="20">
        <f t="shared" si="0"/>
        <v>5.6102173221026952E-2</v>
      </c>
    </row>
    <row r="44" spans="1:3">
      <c r="A44" s="133">
        <v>34880</v>
      </c>
      <c r="B44" s="17">
        <v>15563</v>
      </c>
      <c r="C44" s="20">
        <f t="shared" si="0"/>
        <v>6.6320034202286049E-2</v>
      </c>
    </row>
    <row r="45" spans="1:3">
      <c r="A45" s="133">
        <v>34972</v>
      </c>
      <c r="B45" s="17">
        <v>15787</v>
      </c>
      <c r="C45" s="20">
        <f t="shared" si="0"/>
        <v>6.6515384839407776E-2</v>
      </c>
    </row>
    <row r="46" spans="1:3">
      <c r="A46" s="133">
        <v>35064</v>
      </c>
      <c r="B46" s="17">
        <v>16072</v>
      </c>
      <c r="C46" s="20">
        <f t="shared" si="0"/>
        <v>7.0432176941702673E-2</v>
      </c>
    </row>
    <row r="47" spans="1:3">
      <c r="A47" s="133">
        <v>35155</v>
      </c>
      <c r="B47" s="17">
        <v>16003</v>
      </c>
      <c r="C47" s="20">
        <f t="shared" si="0"/>
        <v>7.4480523386530662E-2</v>
      </c>
    </row>
    <row r="48" spans="1:3">
      <c r="A48" s="133">
        <v>35246</v>
      </c>
      <c r="B48" s="17">
        <v>15970</v>
      </c>
      <c r="C48" s="20">
        <f t="shared" si="0"/>
        <v>7.9027132332900374E-2</v>
      </c>
    </row>
    <row r="49" spans="1:3">
      <c r="A49" s="133">
        <v>35338</v>
      </c>
      <c r="B49" s="17">
        <v>16270</v>
      </c>
      <c r="C49" s="20">
        <f t="shared" si="0"/>
        <v>9.1935451697573445E-2</v>
      </c>
    </row>
    <row r="50" spans="1:3">
      <c r="A50" s="133">
        <v>35430</v>
      </c>
      <c r="B50" s="17">
        <v>16522</v>
      </c>
      <c r="C50" s="20">
        <f t="shared" si="0"/>
        <v>0.10165574864940585</v>
      </c>
    </row>
    <row r="51" spans="1:3">
      <c r="A51" s="133">
        <v>35520</v>
      </c>
      <c r="B51" s="17">
        <v>16940</v>
      </c>
      <c r="C51" s="20">
        <f t="shared" si="0"/>
        <v>0.11819597790203629</v>
      </c>
    </row>
    <row r="52" spans="1:3">
      <c r="A52" s="133">
        <v>35611</v>
      </c>
      <c r="B52" s="17">
        <v>17630</v>
      </c>
      <c r="C52" s="20">
        <f t="shared" si="0"/>
        <v>0.12928943235161672</v>
      </c>
    </row>
    <row r="53" spans="1:3">
      <c r="A53" s="133">
        <v>35703</v>
      </c>
      <c r="B53" s="17">
        <v>18197</v>
      </c>
      <c r="C53" s="20">
        <f t="shared" si="0"/>
        <v>0.12905510364080341</v>
      </c>
    </row>
    <row r="54" spans="1:3">
      <c r="A54" s="133">
        <v>35795</v>
      </c>
      <c r="B54" s="17">
        <v>18925</v>
      </c>
      <c r="C54" s="20">
        <f t="shared" si="0"/>
        <v>0.13171807394941215</v>
      </c>
    </row>
    <row r="55" spans="1:3">
      <c r="A55" s="133">
        <v>35885</v>
      </c>
      <c r="B55" s="17">
        <v>19457</v>
      </c>
      <c r="C55" s="20">
        <f t="shared" si="0"/>
        <v>0.12686918578036188</v>
      </c>
    </row>
    <row r="56" spans="1:3">
      <c r="A56" s="133">
        <v>35976</v>
      </c>
      <c r="B56" s="17">
        <v>20191</v>
      </c>
      <c r="C56" s="20">
        <f t="shared" si="0"/>
        <v>0.12888691182570589</v>
      </c>
    </row>
    <row r="57" spans="1:3">
      <c r="A57" s="133">
        <v>36068</v>
      </c>
      <c r="B57" s="17">
        <v>20764</v>
      </c>
      <c r="C57" s="20">
        <f t="shared" si="0"/>
        <v>0.13179057897411095</v>
      </c>
    </row>
    <row r="58" spans="1:3">
      <c r="A58" s="133">
        <v>36160</v>
      </c>
      <c r="B58" s="17">
        <v>20977</v>
      </c>
      <c r="C58" s="20">
        <f t="shared" si="0"/>
        <v>0.12549827266744451</v>
      </c>
    </row>
    <row r="59" spans="1:3">
      <c r="A59" s="133">
        <v>36250</v>
      </c>
      <c r="B59" s="17">
        <v>21050</v>
      </c>
      <c r="C59" s="20">
        <f t="shared" si="0"/>
        <v>0.1151928601005805</v>
      </c>
    </row>
    <row r="60" spans="1:3">
      <c r="A60" s="133">
        <v>36341</v>
      </c>
      <c r="B60" s="17">
        <v>20547</v>
      </c>
      <c r="C60" s="20">
        <f t="shared" si="0"/>
        <v>9.7500718692627997E-2</v>
      </c>
    </row>
    <row r="61" spans="1:3">
      <c r="A61" s="133">
        <v>36433</v>
      </c>
      <c r="B61" s="17">
        <v>20089</v>
      </c>
      <c r="C61" s="20">
        <f t="shared" si="0"/>
        <v>8.1654339001547394E-2</v>
      </c>
    </row>
    <row r="62" spans="1:3">
      <c r="A62" s="133">
        <v>36525</v>
      </c>
      <c r="B62" s="17">
        <v>19702</v>
      </c>
      <c r="C62" s="20">
        <f t="shared" si="0"/>
        <v>6.5773575793065531E-2</v>
      </c>
    </row>
    <row r="63" spans="1:3">
      <c r="A63" s="133">
        <v>36616</v>
      </c>
      <c r="B63" s="17">
        <v>19754</v>
      </c>
      <c r="C63" s="20">
        <f t="shared" si="0"/>
        <v>5.7240341759126512E-2</v>
      </c>
    </row>
    <row r="64" spans="1:3">
      <c r="A64" s="133">
        <v>36707</v>
      </c>
      <c r="B64" s="17">
        <v>20016</v>
      </c>
      <c r="C64" s="20">
        <f t="shared" si="0"/>
        <v>5.1615055262136167E-2</v>
      </c>
    </row>
    <row r="65" spans="1:3">
      <c r="A65" s="133">
        <v>36799</v>
      </c>
      <c r="B65" s="17">
        <v>20080</v>
      </c>
      <c r="C65" s="20">
        <f t="shared" si="0"/>
        <v>4.9283442673015099E-2</v>
      </c>
    </row>
    <row r="66" spans="1:3">
      <c r="A66" s="133">
        <v>36891</v>
      </c>
      <c r="B66" s="17">
        <v>20175</v>
      </c>
      <c r="C66" s="20">
        <f t="shared" si="0"/>
        <v>4.6522870905424174E-2</v>
      </c>
    </row>
    <row r="67" spans="1:3">
      <c r="A67" s="133">
        <v>36981</v>
      </c>
      <c r="B67" s="17">
        <v>20066</v>
      </c>
      <c r="C67" s="20">
        <f t="shared" si="0"/>
        <v>4.6289532619237406E-2</v>
      </c>
    </row>
    <row r="68" spans="1:3">
      <c r="A68" s="133">
        <v>37072</v>
      </c>
      <c r="B68" s="17">
        <v>20191</v>
      </c>
      <c r="C68" s="20">
        <f t="shared" si="0"/>
        <v>4.802244187062632E-2</v>
      </c>
    </row>
    <row r="69" spans="1:3">
      <c r="A69" s="133">
        <v>37164</v>
      </c>
      <c r="B69" s="17">
        <v>20468</v>
      </c>
      <c r="C69" s="20">
        <f t="shared" si="0"/>
        <v>4.6978036320894256E-2</v>
      </c>
    </row>
    <row r="70" spans="1:3">
      <c r="A70" s="133">
        <v>37256</v>
      </c>
      <c r="B70" s="17">
        <v>20450</v>
      </c>
      <c r="C70" s="20">
        <f t="shared" si="0"/>
        <v>4.3580940896033926E-2</v>
      </c>
    </row>
    <row r="71" spans="1:3">
      <c r="A71" s="133">
        <v>37346</v>
      </c>
      <c r="B71" s="17">
        <v>20049</v>
      </c>
      <c r="C71" s="20">
        <f t="shared" si="0"/>
        <v>3.4274606377757033E-2</v>
      </c>
    </row>
    <row r="72" spans="1:3">
      <c r="A72" s="133">
        <v>37437</v>
      </c>
      <c r="B72" s="17">
        <v>19852</v>
      </c>
      <c r="C72" s="20">
        <f t="shared" si="0"/>
        <v>2.4024602556810493E-2</v>
      </c>
    </row>
    <row r="73" spans="1:3">
      <c r="A73" s="133">
        <v>37529</v>
      </c>
      <c r="B73" s="17">
        <v>19871</v>
      </c>
      <c r="C73" s="20">
        <f t="shared" si="0"/>
        <v>1.7756736527419825E-2</v>
      </c>
    </row>
    <row r="74" spans="1:3">
      <c r="A74" s="133">
        <v>37621</v>
      </c>
      <c r="B74" s="17">
        <v>20152</v>
      </c>
      <c r="C74" s="20">
        <f t="shared" si="0"/>
        <v>1.2643205922558298E-2</v>
      </c>
    </row>
    <row r="75" spans="1:3">
      <c r="A75" s="133">
        <v>37711</v>
      </c>
      <c r="B75" s="17">
        <v>20564</v>
      </c>
      <c r="C75" s="20">
        <f t="shared" si="0"/>
        <v>1.1128480282895037E-2</v>
      </c>
    </row>
    <row r="76" spans="1:3">
      <c r="A76" s="133">
        <v>37802</v>
      </c>
      <c r="B76" s="17">
        <v>21205</v>
      </c>
      <c r="C76" s="20">
        <f t="shared" si="0"/>
        <v>9.8481858055017302E-3</v>
      </c>
    </row>
    <row r="77" spans="1:3">
      <c r="A77" s="133">
        <v>37894</v>
      </c>
      <c r="B77" s="17">
        <v>21675</v>
      </c>
      <c r="C77" s="20">
        <f t="shared" si="0"/>
        <v>8.6247415437006314E-3</v>
      </c>
    </row>
    <row r="78" spans="1:3">
      <c r="A78" s="133">
        <v>37986</v>
      </c>
      <c r="B78" s="17">
        <v>22807</v>
      </c>
      <c r="C78" s="20">
        <f t="shared" si="0"/>
        <v>1.6868880873757153E-2</v>
      </c>
    </row>
    <row r="79" spans="1:3">
      <c r="A79" s="133">
        <v>38077</v>
      </c>
      <c r="B79" s="17">
        <v>24466</v>
      </c>
      <c r="C79" s="20">
        <f t="shared" si="0"/>
        <v>3.0533642613743694E-2</v>
      </c>
    </row>
    <row r="80" spans="1:3">
      <c r="A80" s="133">
        <v>38168</v>
      </c>
      <c r="B80" s="17">
        <v>26117</v>
      </c>
      <c r="C80" s="20">
        <f t="shared" si="0"/>
        <v>4.9143691651577059E-2</v>
      </c>
    </row>
    <row r="81" spans="1:3">
      <c r="A81" s="133">
        <v>38260</v>
      </c>
      <c r="B81" s="17">
        <v>28231</v>
      </c>
      <c r="C81" s="20">
        <f t="shared" si="0"/>
        <v>7.0418456297209442E-2</v>
      </c>
    </row>
    <row r="82" spans="1:3">
      <c r="A82" s="133">
        <v>38352</v>
      </c>
      <c r="B82" s="17">
        <v>30306</v>
      </c>
      <c r="C82" s="20">
        <f t="shared" si="0"/>
        <v>8.9942684527360983E-2</v>
      </c>
    </row>
    <row r="83" spans="1:3">
      <c r="A83" s="133">
        <v>38442</v>
      </c>
      <c r="B83" s="17">
        <v>32165</v>
      </c>
      <c r="C83" s="20">
        <f t="shared" si="0"/>
        <v>0.1024164911433858</v>
      </c>
    </row>
    <row r="84" spans="1:3">
      <c r="A84" s="133">
        <v>38533</v>
      </c>
      <c r="B84" s="17">
        <v>33942</v>
      </c>
      <c r="C84" s="20">
        <f t="shared" si="0"/>
        <v>0.1114041838834221</v>
      </c>
    </row>
    <row r="85" spans="1:3">
      <c r="A85" s="133">
        <v>38625</v>
      </c>
      <c r="B85" s="17">
        <v>35260</v>
      </c>
      <c r="C85" s="20">
        <f t="shared" si="0"/>
        <v>0.11918973928870424</v>
      </c>
    </row>
    <row r="86" spans="1:3">
      <c r="A86" s="133">
        <v>38717</v>
      </c>
      <c r="B86" s="17">
        <v>36339</v>
      </c>
      <c r="C86" s="20">
        <f t="shared" ref="C86:C130" si="1">(B86/B66)^0.2-1</f>
        <v>0.1248947391842703</v>
      </c>
    </row>
    <row r="87" spans="1:3">
      <c r="A87" s="133">
        <v>38807</v>
      </c>
      <c r="B87" s="17">
        <v>37392</v>
      </c>
      <c r="C87" s="20">
        <f t="shared" si="1"/>
        <v>0.13256615021900453</v>
      </c>
    </row>
    <row r="88" spans="1:3">
      <c r="A88" s="133">
        <v>38898</v>
      </c>
      <c r="B88" s="17">
        <v>38637</v>
      </c>
      <c r="C88" s="20">
        <f t="shared" si="1"/>
        <v>0.13859458445239481</v>
      </c>
    </row>
    <row r="89" spans="1:3">
      <c r="A89" s="133">
        <v>38990</v>
      </c>
      <c r="B89" s="17">
        <v>40177</v>
      </c>
      <c r="C89" s="20">
        <f t="shared" si="1"/>
        <v>0.14440677273382874</v>
      </c>
    </row>
    <row r="90" spans="1:3">
      <c r="A90" s="133">
        <v>39082</v>
      </c>
      <c r="B90" s="17">
        <v>41517</v>
      </c>
      <c r="C90" s="20">
        <f t="shared" si="1"/>
        <v>0.15214338409021422</v>
      </c>
    </row>
    <row r="91" spans="1:3">
      <c r="A91" s="133">
        <v>39172</v>
      </c>
      <c r="B91" s="17">
        <v>42141</v>
      </c>
      <c r="C91" s="20">
        <f t="shared" si="1"/>
        <v>0.16017211865706704</v>
      </c>
    </row>
    <row r="92" spans="1:3">
      <c r="A92" s="133">
        <v>39263</v>
      </c>
      <c r="B92" s="17">
        <v>42892</v>
      </c>
      <c r="C92" s="20">
        <f t="shared" si="1"/>
        <v>0.16657967659244122</v>
      </c>
    </row>
    <row r="93" spans="1:3">
      <c r="A93" s="133">
        <v>39355</v>
      </c>
      <c r="B93" s="17">
        <v>43817</v>
      </c>
      <c r="C93" s="20">
        <f t="shared" si="1"/>
        <v>0.17134433970778296</v>
      </c>
    </row>
    <row r="94" spans="1:3">
      <c r="A94" s="133">
        <v>39447</v>
      </c>
      <c r="B94" s="17">
        <v>44958</v>
      </c>
      <c r="C94" s="20">
        <f t="shared" si="1"/>
        <v>0.17408020443928529</v>
      </c>
    </row>
    <row r="95" spans="1:3">
      <c r="A95" s="133">
        <v>39538</v>
      </c>
      <c r="B95" s="17">
        <v>46738</v>
      </c>
      <c r="C95" s="20">
        <f t="shared" si="1"/>
        <v>0.17845364983006284</v>
      </c>
    </row>
    <row r="96" spans="1:3">
      <c r="A96" s="133">
        <v>39629</v>
      </c>
      <c r="B96" s="17">
        <v>49006</v>
      </c>
      <c r="C96" s="20">
        <f t="shared" si="1"/>
        <v>0.18239394154179545</v>
      </c>
    </row>
    <row r="97" spans="1:3">
      <c r="A97" s="133">
        <v>39721</v>
      </c>
      <c r="B97" s="17">
        <v>50545</v>
      </c>
      <c r="C97" s="20">
        <f t="shared" si="1"/>
        <v>0.18452387569918804</v>
      </c>
    </row>
    <row r="98" spans="1:3">
      <c r="A98" s="133">
        <v>39813</v>
      </c>
      <c r="B98" s="17">
        <v>51324</v>
      </c>
      <c r="C98" s="20">
        <f t="shared" si="1"/>
        <v>0.17611683558612312</v>
      </c>
    </row>
    <row r="99" spans="1:3">
      <c r="A99" s="133">
        <v>39903</v>
      </c>
      <c r="B99" s="17">
        <v>48753</v>
      </c>
      <c r="C99" s="20">
        <f t="shared" si="1"/>
        <v>0.14785670316284483</v>
      </c>
    </row>
    <row r="100" spans="1:3">
      <c r="A100" s="133">
        <v>39994</v>
      </c>
      <c r="B100" s="17">
        <v>43104</v>
      </c>
      <c r="C100" s="20">
        <f t="shared" si="1"/>
        <v>0.105398464566971</v>
      </c>
    </row>
    <row r="101" spans="1:3">
      <c r="A101" s="133">
        <v>40086</v>
      </c>
      <c r="B101" s="17">
        <v>37421</v>
      </c>
      <c r="C101" s="20">
        <f t="shared" si="1"/>
        <v>5.7980895239939212E-2</v>
      </c>
    </row>
    <row r="102" spans="1:3">
      <c r="A102" s="133">
        <v>40178</v>
      </c>
      <c r="B102" s="17">
        <v>32396</v>
      </c>
      <c r="C102" s="20">
        <f t="shared" si="1"/>
        <v>1.3427195029774408E-2</v>
      </c>
    </row>
    <row r="103" spans="1:3">
      <c r="A103" s="133">
        <v>40268</v>
      </c>
      <c r="B103" s="17">
        <v>31409</v>
      </c>
      <c r="C103" s="20">
        <f t="shared" si="1"/>
        <v>-4.7455897001386083E-3</v>
      </c>
    </row>
    <row r="104" spans="1:3">
      <c r="A104" s="133">
        <v>40359</v>
      </c>
      <c r="B104" s="17">
        <v>33843</v>
      </c>
      <c r="C104" s="20">
        <f t="shared" si="1"/>
        <v>-5.8402984777305988E-4</v>
      </c>
    </row>
    <row r="105" spans="1:3">
      <c r="A105" s="133">
        <v>40451</v>
      </c>
      <c r="B105" s="17">
        <v>37679</v>
      </c>
      <c r="C105" s="20">
        <f t="shared" si="1"/>
        <v>1.3359193799870717E-2</v>
      </c>
    </row>
    <row r="106" spans="1:3">
      <c r="A106" s="133">
        <v>40543</v>
      </c>
      <c r="B106" s="17">
        <v>42588</v>
      </c>
      <c r="C106" s="20">
        <f t="shared" si="1"/>
        <v>3.2245158723606115E-2</v>
      </c>
    </row>
    <row r="107" spans="1:3">
      <c r="A107" s="133">
        <v>40633</v>
      </c>
      <c r="B107" s="17">
        <v>47299</v>
      </c>
      <c r="C107" s="20">
        <f t="shared" si="1"/>
        <v>4.8128795865384211E-2</v>
      </c>
    </row>
    <row r="108" spans="1:3">
      <c r="A108" s="133">
        <v>40724</v>
      </c>
      <c r="B108" s="17">
        <v>51120</v>
      </c>
      <c r="C108" s="20">
        <f t="shared" si="1"/>
        <v>5.7590374385017684E-2</v>
      </c>
    </row>
    <row r="109" spans="1:3">
      <c r="A109" s="133">
        <v>40816</v>
      </c>
      <c r="B109" s="17">
        <v>55702</v>
      </c>
      <c r="C109" s="20">
        <f t="shared" si="1"/>
        <v>6.7526480678094414E-2</v>
      </c>
    </row>
    <row r="110" spans="1:3">
      <c r="A110" s="133">
        <v>40908</v>
      </c>
      <c r="B110" s="17">
        <v>60138</v>
      </c>
      <c r="C110" s="20">
        <f t="shared" si="1"/>
        <v>7.6922878465615296E-2</v>
      </c>
    </row>
    <row r="111" spans="1:3">
      <c r="A111" s="133">
        <v>40999</v>
      </c>
      <c r="B111" s="17">
        <v>63170</v>
      </c>
      <c r="C111" s="20">
        <f t="shared" si="1"/>
        <v>8.4329336982097436E-2</v>
      </c>
    </row>
    <row r="112" spans="1:3">
      <c r="A112" s="133">
        <v>41090</v>
      </c>
      <c r="B112" s="17">
        <v>66314</v>
      </c>
      <c r="C112" s="20">
        <f t="shared" si="1"/>
        <v>9.1052843575705866E-2</v>
      </c>
    </row>
    <row r="113" spans="1:3">
      <c r="A113" s="133">
        <v>41182</v>
      </c>
      <c r="B113" s="17">
        <v>67043</v>
      </c>
      <c r="C113" s="20">
        <f t="shared" si="1"/>
        <v>8.8785077633602105E-2</v>
      </c>
    </row>
    <row r="114" spans="1:3">
      <c r="A114" s="133">
        <v>41274</v>
      </c>
      <c r="B114" s="17">
        <v>65875</v>
      </c>
      <c r="C114" s="20">
        <f t="shared" si="1"/>
        <v>7.9400783696338406E-2</v>
      </c>
    </row>
    <row r="115" spans="1:3">
      <c r="A115" s="133">
        <v>41364</v>
      </c>
      <c r="B115" s="17">
        <v>63104</v>
      </c>
      <c r="C115" s="20">
        <f t="shared" si="1"/>
        <v>6.1884674461467171E-2</v>
      </c>
    </row>
    <row r="116" spans="1:3">
      <c r="A116" s="133">
        <v>41455</v>
      </c>
      <c r="B116" s="17">
        <v>60351</v>
      </c>
      <c r="C116" s="20">
        <f t="shared" si="1"/>
        <v>4.2526355643559333E-2</v>
      </c>
    </row>
    <row r="117" spans="1:3">
      <c r="A117" s="133">
        <v>41547</v>
      </c>
      <c r="B117" s="17">
        <v>57329</v>
      </c>
      <c r="C117" s="20">
        <f t="shared" si="1"/>
        <v>2.5508426083273417E-2</v>
      </c>
    </row>
    <row r="118" spans="1:3">
      <c r="A118" s="133">
        <v>41639</v>
      </c>
      <c r="B118" s="17">
        <v>55656</v>
      </c>
      <c r="C118" s="20">
        <f t="shared" si="1"/>
        <v>1.6338316000721331E-2</v>
      </c>
    </row>
    <row r="119" spans="1:3">
      <c r="A119" s="133">
        <v>41729</v>
      </c>
      <c r="B119" s="17">
        <v>55687</v>
      </c>
      <c r="C119" s="20">
        <f t="shared" si="1"/>
        <v>2.6952828461521028E-2</v>
      </c>
    </row>
    <row r="120" spans="1:3">
      <c r="A120" s="133">
        <v>41820</v>
      </c>
      <c r="B120" s="17">
        <v>55216</v>
      </c>
      <c r="C120" s="20">
        <f t="shared" si="1"/>
        <v>5.0774375920053183E-2</v>
      </c>
    </row>
    <row r="121" spans="1:3">
      <c r="A121" s="133">
        <v>41912</v>
      </c>
      <c r="B121" s="17">
        <v>55342</v>
      </c>
      <c r="C121" s="20">
        <f t="shared" si="1"/>
        <v>8.1403802195008534E-2</v>
      </c>
    </row>
    <row r="122" spans="1:3">
      <c r="A122" s="133">
        <v>42004</v>
      </c>
      <c r="B122" s="17">
        <v>55184</v>
      </c>
      <c r="C122" s="20">
        <f t="shared" si="1"/>
        <v>0.11240865026057612</v>
      </c>
    </row>
    <row r="123" spans="1:3">
      <c r="A123" s="133">
        <v>42094</v>
      </c>
      <c r="B123" s="17">
        <v>54645</v>
      </c>
      <c r="C123" s="20">
        <f t="shared" si="1"/>
        <v>0.1171185518574609</v>
      </c>
    </row>
    <row r="124" spans="1:3">
      <c r="A124" s="133">
        <v>42185</v>
      </c>
      <c r="B124" s="17">
        <v>52812</v>
      </c>
      <c r="C124" s="20">
        <f t="shared" si="1"/>
        <v>9.3082023623752619E-2</v>
      </c>
    </row>
    <row r="125" spans="1:3">
      <c r="A125" s="133">
        <v>42277</v>
      </c>
      <c r="B125" s="17">
        <v>50225</v>
      </c>
      <c r="C125" s="20">
        <f t="shared" si="1"/>
        <v>5.9166205623449208E-2</v>
      </c>
    </row>
    <row r="126" spans="1:3">
      <c r="A126" s="133">
        <v>42369</v>
      </c>
      <c r="B126" s="17">
        <v>47011</v>
      </c>
      <c r="C126" s="20">
        <f t="shared" si="1"/>
        <v>1.9958376066359751E-2</v>
      </c>
    </row>
    <row r="127" spans="1:3">
      <c r="A127" s="133">
        <v>42460</v>
      </c>
      <c r="B127" s="17">
        <v>43770</v>
      </c>
      <c r="C127" s="20">
        <f t="shared" si="1"/>
        <v>-1.5388469111024872E-2</v>
      </c>
    </row>
    <row r="128" spans="1:3">
      <c r="A128" s="133">
        <v>42551</v>
      </c>
      <c r="B128" s="17">
        <v>41795</v>
      </c>
      <c r="C128" s="20">
        <f t="shared" si="1"/>
        <v>-3.9479370361268362E-2</v>
      </c>
    </row>
    <row r="129" spans="1:3">
      <c r="A129" s="133">
        <v>42643</v>
      </c>
      <c r="B129" s="17">
        <v>39993</v>
      </c>
      <c r="C129" s="20">
        <f t="shared" si="1"/>
        <v>-6.4114671996229777E-2</v>
      </c>
    </row>
    <row r="130" spans="1:3">
      <c r="A130" s="133">
        <v>42735</v>
      </c>
      <c r="B130" s="17">
        <v>38537</v>
      </c>
      <c r="C130" s="20">
        <f t="shared" si="1"/>
        <v>-8.5158653463101919E-2</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workbookViewId="0">
      <selection activeCell="C14" sqref="C14"/>
    </sheetView>
  </sheetViews>
  <sheetFormatPr defaultRowHeight="14.6"/>
  <sheetData>
    <row r="1" spans="1:8">
      <c r="A1" t="s">
        <v>260</v>
      </c>
      <c r="D1" t="s">
        <v>261</v>
      </c>
      <c r="E1" t="s">
        <v>262</v>
      </c>
      <c r="F1" t="s">
        <v>263</v>
      </c>
    </row>
    <row r="2" spans="1:8">
      <c r="A2">
        <v>0.11090123662602358</v>
      </c>
      <c r="C2">
        <v>1984</v>
      </c>
      <c r="D2">
        <v>6576</v>
      </c>
      <c r="G2">
        <v>6576</v>
      </c>
      <c r="H2">
        <v>6576</v>
      </c>
    </row>
    <row r="3" spans="1:8">
      <c r="A3">
        <v>0.11295674364827679</v>
      </c>
      <c r="C3">
        <v>1985</v>
      </c>
      <c r="D3">
        <v>6725</v>
      </c>
      <c r="G3">
        <v>6725</v>
      </c>
      <c r="H3">
        <v>6725</v>
      </c>
    </row>
    <row r="4" spans="1:8">
      <c r="A4">
        <v>0.11748809690091622</v>
      </c>
      <c r="C4">
        <v>1986</v>
      </c>
      <c r="D4">
        <v>7321</v>
      </c>
      <c r="G4">
        <v>7321</v>
      </c>
      <c r="H4">
        <v>7321</v>
      </c>
    </row>
    <row r="5" spans="1:8">
      <c r="A5">
        <v>0.11715554553255303</v>
      </c>
      <c r="C5">
        <v>1987</v>
      </c>
      <c r="D5">
        <v>8180</v>
      </c>
      <c r="G5">
        <v>8180</v>
      </c>
      <c r="H5">
        <v>8180</v>
      </c>
    </row>
    <row r="6" spans="1:8">
      <c r="A6">
        <v>0.11202966184583629</v>
      </c>
      <c r="C6">
        <v>1988</v>
      </c>
      <c r="D6">
        <v>10435</v>
      </c>
      <c r="G6">
        <v>10435</v>
      </c>
      <c r="H6">
        <v>10435</v>
      </c>
    </row>
    <row r="7" spans="1:8">
      <c r="A7">
        <v>9.8521221932142522E-2</v>
      </c>
      <c r="C7">
        <v>1989</v>
      </c>
      <c r="D7">
        <v>11126</v>
      </c>
      <c r="G7">
        <v>11126</v>
      </c>
      <c r="H7">
        <v>11126</v>
      </c>
    </row>
    <row r="8" spans="1:8">
      <c r="A8">
        <v>8.2800865801720303E-2</v>
      </c>
      <c r="C8">
        <v>1990</v>
      </c>
      <c r="D8">
        <v>11436</v>
      </c>
      <c r="G8">
        <v>11436</v>
      </c>
      <c r="H8">
        <v>11436</v>
      </c>
    </row>
    <row r="9" spans="1:8">
      <c r="A9">
        <v>7.3522767912413967E-2</v>
      </c>
      <c r="C9">
        <v>1991</v>
      </c>
      <c r="D9">
        <v>10182</v>
      </c>
      <c r="G9">
        <v>10182</v>
      </c>
      <c r="H9">
        <v>10182</v>
      </c>
    </row>
    <row r="10" spans="1:8">
      <c r="A10">
        <v>6.8199910313498924E-2</v>
      </c>
      <c r="C10">
        <v>1992</v>
      </c>
      <c r="D10">
        <v>10194</v>
      </c>
      <c r="G10">
        <v>10194</v>
      </c>
      <c r="H10">
        <v>10194</v>
      </c>
    </row>
    <row r="11" spans="1:8">
      <c r="A11">
        <v>6.0232376919638231E-2</v>
      </c>
      <c r="C11">
        <v>1993</v>
      </c>
      <c r="D11">
        <v>11615</v>
      </c>
      <c r="G11">
        <v>11615</v>
      </c>
      <c r="H11">
        <v>11615</v>
      </c>
    </row>
    <row r="12" spans="1:8">
      <c r="A12">
        <v>5.6689434209019618E-2</v>
      </c>
      <c r="C12">
        <v>1994</v>
      </c>
      <c r="D12">
        <v>14328</v>
      </c>
      <c r="G12">
        <v>14328</v>
      </c>
      <c r="H12">
        <v>14328</v>
      </c>
    </row>
    <row r="13" spans="1:8">
      <c r="A13">
        <v>5.1547496797280434E-2</v>
      </c>
      <c r="C13">
        <v>1995</v>
      </c>
      <c r="D13">
        <v>16072</v>
      </c>
      <c r="G13">
        <v>16072</v>
      </c>
      <c r="H13">
        <v>16072</v>
      </c>
    </row>
    <row r="14" spans="1:8">
      <c r="A14">
        <v>4.500475146264038E-2</v>
      </c>
      <c r="C14">
        <v>1996</v>
      </c>
      <c r="D14">
        <v>16522</v>
      </c>
      <c r="G14">
        <v>16522</v>
      </c>
      <c r="H14">
        <v>16522</v>
      </c>
    </row>
    <row r="15" spans="1:8">
      <c r="A15">
        <v>3.7331110559180924E-2</v>
      </c>
      <c r="C15">
        <v>1997</v>
      </c>
      <c r="D15">
        <v>18925</v>
      </c>
      <c r="G15">
        <v>18925</v>
      </c>
      <c r="H15">
        <v>18925</v>
      </c>
    </row>
    <row r="16" spans="1:8">
      <c r="A16">
        <v>3.0541022027346987E-2</v>
      </c>
      <c r="C16">
        <v>1998</v>
      </c>
      <c r="D16">
        <v>20977</v>
      </c>
      <c r="G16">
        <v>20977</v>
      </c>
      <c r="H16">
        <v>20977</v>
      </c>
    </row>
    <row r="17" spans="1:8">
      <c r="A17">
        <v>2.2291175821184117E-2</v>
      </c>
      <c r="C17">
        <v>1999</v>
      </c>
      <c r="D17">
        <v>19702</v>
      </c>
      <c r="G17">
        <v>19702</v>
      </c>
      <c r="H17">
        <v>19702</v>
      </c>
    </row>
    <row r="18" spans="1:8">
      <c r="A18">
        <v>2.1657557954917195E-2</v>
      </c>
      <c r="C18">
        <v>2000</v>
      </c>
      <c r="D18">
        <v>20175</v>
      </c>
      <c r="G18">
        <v>20175</v>
      </c>
      <c r="H18">
        <v>20175</v>
      </c>
    </row>
    <row r="19" spans="1:8">
      <c r="A19">
        <v>2.6020915348792695E-2</v>
      </c>
      <c r="C19">
        <v>2001</v>
      </c>
      <c r="D19">
        <v>20450</v>
      </c>
      <c r="G19">
        <v>20450</v>
      </c>
      <c r="H19">
        <v>20450</v>
      </c>
    </row>
    <row r="20" spans="1:8">
      <c r="A20">
        <v>2.9244809381950398E-2</v>
      </c>
      <c r="C20">
        <v>2002</v>
      </c>
      <c r="D20">
        <v>20152</v>
      </c>
      <c r="G20">
        <v>20152</v>
      </c>
      <c r="H20">
        <v>20152</v>
      </c>
    </row>
    <row r="21" spans="1:8">
      <c r="A21">
        <v>4.2364397381712271E-2</v>
      </c>
      <c r="C21">
        <v>2003</v>
      </c>
      <c r="D21">
        <v>22807</v>
      </c>
      <c r="G21">
        <v>22807</v>
      </c>
      <c r="H21">
        <v>22807</v>
      </c>
    </row>
    <row r="22" spans="1:8">
      <c r="A22">
        <v>5.1887522286805599E-2</v>
      </c>
      <c r="C22">
        <v>2004</v>
      </c>
      <c r="D22">
        <v>30306</v>
      </c>
      <c r="G22">
        <v>30306</v>
      </c>
      <c r="H22">
        <v>30306</v>
      </c>
    </row>
    <row r="23" spans="1:8">
      <c r="A23">
        <v>5.6102173221026952E-2</v>
      </c>
      <c r="C23">
        <v>2005</v>
      </c>
      <c r="D23">
        <v>36339</v>
      </c>
      <c r="G23">
        <v>36339</v>
      </c>
      <c r="H23">
        <v>36339</v>
      </c>
    </row>
    <row r="24" spans="1:8">
      <c r="A24">
        <v>6.6320034202286049E-2</v>
      </c>
      <c r="C24">
        <v>2006</v>
      </c>
      <c r="D24">
        <v>41517</v>
      </c>
      <c r="G24">
        <v>41517</v>
      </c>
      <c r="H24">
        <v>41517</v>
      </c>
    </row>
    <row r="25" spans="1:8">
      <c r="A25">
        <v>6.6515384839407776E-2</v>
      </c>
      <c r="C25">
        <v>2007</v>
      </c>
      <c r="D25">
        <v>44958</v>
      </c>
      <c r="G25">
        <v>44958</v>
      </c>
      <c r="H25">
        <v>44958</v>
      </c>
    </row>
    <row r="26" spans="1:8">
      <c r="A26">
        <v>7.0432176941702673E-2</v>
      </c>
      <c r="C26">
        <v>2008</v>
      </c>
      <c r="D26">
        <v>51324</v>
      </c>
      <c r="G26">
        <v>51324</v>
      </c>
      <c r="H26">
        <v>51324</v>
      </c>
    </row>
    <row r="27" spans="1:8">
      <c r="A27">
        <v>7.4480523386530662E-2</v>
      </c>
      <c r="C27">
        <v>2009</v>
      </c>
      <c r="D27">
        <v>32396</v>
      </c>
      <c r="G27">
        <v>32396</v>
      </c>
      <c r="H27">
        <v>32396</v>
      </c>
    </row>
    <row r="28" spans="1:8">
      <c r="A28">
        <v>7.9027132332900374E-2</v>
      </c>
      <c r="C28">
        <v>2010</v>
      </c>
      <c r="D28">
        <v>42588</v>
      </c>
      <c r="G28">
        <v>42588</v>
      </c>
      <c r="H28">
        <v>42588</v>
      </c>
    </row>
    <row r="29" spans="1:8">
      <c r="A29">
        <v>9.1935451697573445E-2</v>
      </c>
      <c r="C29">
        <v>2011</v>
      </c>
      <c r="D29">
        <v>60138</v>
      </c>
      <c r="G29">
        <v>60138</v>
      </c>
      <c r="H29">
        <v>60138</v>
      </c>
    </row>
    <row r="30" spans="1:8">
      <c r="A30">
        <v>0.10165574864940585</v>
      </c>
      <c r="C30">
        <v>2012</v>
      </c>
      <c r="D30">
        <v>65875</v>
      </c>
      <c r="G30">
        <v>65875</v>
      </c>
      <c r="H30">
        <v>65875</v>
      </c>
    </row>
    <row r="31" spans="1:8">
      <c r="A31">
        <v>0.11819597790203629</v>
      </c>
      <c r="C31">
        <v>2013</v>
      </c>
      <c r="D31">
        <v>55656</v>
      </c>
      <c r="G31">
        <v>55656</v>
      </c>
      <c r="H31">
        <v>55656</v>
      </c>
    </row>
    <row r="32" spans="1:8">
      <c r="A32">
        <v>0.12928943235161672</v>
      </c>
      <c r="C32">
        <v>2014</v>
      </c>
      <c r="D32">
        <v>55184</v>
      </c>
      <c r="G32">
        <v>55184</v>
      </c>
      <c r="H32">
        <v>55184</v>
      </c>
    </row>
    <row r="33" spans="1:8">
      <c r="A33">
        <v>0.12905510364080341</v>
      </c>
      <c r="C33">
        <v>2015</v>
      </c>
      <c r="D33">
        <v>47011</v>
      </c>
      <c r="E33">
        <f>D33</f>
        <v>47011</v>
      </c>
      <c r="F33">
        <f>E33</f>
        <v>47011</v>
      </c>
      <c r="G33">
        <v>47011</v>
      </c>
      <c r="H33">
        <v>47011</v>
      </c>
    </row>
    <row r="34" spans="1:8">
      <c r="A34">
        <v>0.13171807394941215</v>
      </c>
      <c r="C34" s="154">
        <v>42735</v>
      </c>
      <c r="E34">
        <v>40899.57</v>
      </c>
      <c r="F34">
        <v>38219.942999999999</v>
      </c>
      <c r="G34">
        <v>40899.57</v>
      </c>
      <c r="H34">
        <v>38219.942999999999</v>
      </c>
    </row>
    <row r="35" spans="1:8">
      <c r="A35">
        <v>0.12686918578036188</v>
      </c>
      <c r="C35" s="154">
        <f>C34+365</f>
        <v>43100</v>
      </c>
      <c r="E35">
        <v>47034.505499999999</v>
      </c>
      <c r="F35">
        <v>36308.945849999996</v>
      </c>
      <c r="G35">
        <v>47034.505499999999</v>
      </c>
      <c r="H35">
        <v>36308.945849999996</v>
      </c>
    </row>
    <row r="36" spans="1:8">
      <c r="A36">
        <v>0.12888691182570589</v>
      </c>
      <c r="C36" s="154">
        <f t="shared" ref="C36:C38" si="0">C35+365</f>
        <v>43465</v>
      </c>
      <c r="E36">
        <v>54089.681324999998</v>
      </c>
      <c r="F36">
        <v>34493.498557499996</v>
      </c>
      <c r="G36">
        <v>54089.681324999998</v>
      </c>
      <c r="H36">
        <v>34493.498557499996</v>
      </c>
    </row>
    <row r="37" spans="1:8">
      <c r="A37">
        <v>0.13179057897411095</v>
      </c>
      <c r="C37" s="154">
        <f t="shared" si="0"/>
        <v>43830</v>
      </c>
      <c r="E37">
        <v>62203.133523749995</v>
      </c>
      <c r="F37">
        <v>34493.498557499996</v>
      </c>
      <c r="G37">
        <v>62203.133523749995</v>
      </c>
      <c r="H37">
        <v>34493.498557499996</v>
      </c>
    </row>
    <row r="38" spans="1:8">
      <c r="A38">
        <v>0.12549827266744451</v>
      </c>
      <c r="C38" s="154">
        <f t="shared" si="0"/>
        <v>44195</v>
      </c>
      <c r="E38">
        <v>71533.603552312488</v>
      </c>
      <c r="F38">
        <v>34493.498557499996</v>
      </c>
      <c r="G38">
        <v>71533.603552312488</v>
      </c>
      <c r="H38">
        <v>34493.498557499996</v>
      </c>
    </row>
    <row r="39" spans="1:8">
      <c r="A39">
        <v>0.1151928601005805</v>
      </c>
    </row>
    <row r="40" spans="1:8">
      <c r="A40">
        <v>9.7500718692627997E-2</v>
      </c>
    </row>
    <row r="41" spans="1:8">
      <c r="A41">
        <v>8.1654339001547394E-2</v>
      </c>
      <c r="D41" s="150">
        <f>(D33/D2)^(1/31)-1</f>
        <v>6.5506379610059895E-2</v>
      </c>
      <c r="E41" s="150">
        <f>(E38/D2)^(1/31)-1</f>
        <v>8.0033041052465004E-2</v>
      </c>
      <c r="F41" s="150">
        <f>(F38/D2)^(1/31)-1</f>
        <v>5.4917659651645412E-2</v>
      </c>
    </row>
    <row r="42" spans="1:8">
      <c r="A42">
        <v>6.5773575793065531E-2</v>
      </c>
    </row>
    <row r="43" spans="1:8">
      <c r="A43">
        <v>5.7240341759126512E-2</v>
      </c>
    </row>
    <row r="44" spans="1:8">
      <c r="A44">
        <v>5.1615055262136167E-2</v>
      </c>
      <c r="D44" t="s">
        <v>261</v>
      </c>
      <c r="E44" t="s">
        <v>133</v>
      </c>
    </row>
    <row r="45" spans="1:8">
      <c r="A45">
        <v>4.9283442673015099E-2</v>
      </c>
      <c r="C45">
        <v>1989</v>
      </c>
      <c r="D45">
        <v>11126</v>
      </c>
    </row>
    <row r="46" spans="1:8">
      <c r="A46">
        <v>4.6522870905424174E-2</v>
      </c>
      <c r="C46">
        <v>1990</v>
      </c>
      <c r="D46">
        <v>11436</v>
      </c>
    </row>
    <row r="47" spans="1:8">
      <c r="A47">
        <v>4.6289532619237406E-2</v>
      </c>
      <c r="C47">
        <v>1991</v>
      </c>
      <c r="D47">
        <v>10182</v>
      </c>
    </row>
    <row r="48" spans="1:8">
      <c r="A48">
        <v>4.802244187062632E-2</v>
      </c>
      <c r="C48">
        <v>1992</v>
      </c>
      <c r="D48">
        <v>10194</v>
      </c>
    </row>
    <row r="49" spans="1:5">
      <c r="A49">
        <v>4.6978036320894256E-2</v>
      </c>
      <c r="C49">
        <v>1993</v>
      </c>
      <c r="D49">
        <v>11615</v>
      </c>
    </row>
    <row r="50" spans="1:5">
      <c r="A50">
        <v>4.3580940896033926E-2</v>
      </c>
      <c r="C50">
        <v>1994</v>
      </c>
      <c r="D50">
        <v>14328</v>
      </c>
      <c r="E50" s="20">
        <f>SUM(D46:D50)/SUM(D45:D49)-1</f>
        <v>5.8695213828753756E-2</v>
      </c>
    </row>
    <row r="51" spans="1:5">
      <c r="A51">
        <v>3.4274606377757033E-2</v>
      </c>
      <c r="C51">
        <v>1995</v>
      </c>
      <c r="D51">
        <v>16072</v>
      </c>
      <c r="E51" s="20">
        <f>SUM(D47:D51)/SUM(D46:D50)-1</f>
        <v>8.0270106484287007E-2</v>
      </c>
    </row>
    <row r="52" spans="1:5">
      <c r="A52">
        <v>2.4024602556810493E-2</v>
      </c>
      <c r="C52">
        <v>1996</v>
      </c>
      <c r="D52">
        <v>16522</v>
      </c>
      <c r="E52" s="20">
        <f t="shared" ref="E52:E71" si="1">SUM(D48:D52)/SUM(D47:D51)-1</f>
        <v>0.10161722043243415</v>
      </c>
    </row>
    <row r="53" spans="1:5">
      <c r="A53">
        <v>1.7756736527419825E-2</v>
      </c>
      <c r="C53">
        <v>1997</v>
      </c>
      <c r="D53">
        <v>18925</v>
      </c>
      <c r="E53" s="20">
        <f t="shared" si="1"/>
        <v>0.12703147051548802</v>
      </c>
    </row>
    <row r="54" spans="1:5">
      <c r="A54">
        <v>1.2643205922558298E-2</v>
      </c>
      <c r="C54">
        <v>1998</v>
      </c>
      <c r="D54">
        <v>20977</v>
      </c>
      <c r="E54" s="20">
        <f t="shared" si="1"/>
        <v>0.12085926002426994</v>
      </c>
    </row>
    <row r="55" spans="1:5">
      <c r="A55">
        <v>1.1128480282895037E-2</v>
      </c>
      <c r="C55">
        <v>1999</v>
      </c>
      <c r="D55">
        <v>19702</v>
      </c>
      <c r="E55" s="20">
        <f t="shared" si="1"/>
        <v>6.1895328480604528E-2</v>
      </c>
    </row>
    <row r="56" spans="1:5">
      <c r="A56">
        <v>9.8481858055017302E-3</v>
      </c>
      <c r="C56">
        <v>2000</v>
      </c>
      <c r="D56">
        <v>20175</v>
      </c>
      <c r="E56" s="20">
        <f t="shared" si="1"/>
        <v>4.4502049936007371E-2</v>
      </c>
    </row>
    <row r="57" spans="1:5">
      <c r="A57">
        <v>8.6247415437006314E-3</v>
      </c>
      <c r="C57">
        <v>2001</v>
      </c>
      <c r="D57">
        <v>20450</v>
      </c>
      <c r="E57" s="20">
        <f t="shared" si="1"/>
        <v>4.0788776855899656E-2</v>
      </c>
    </row>
    <row r="58" spans="1:5">
      <c r="A58">
        <v>1.6868880873757153E-2</v>
      </c>
      <c r="C58">
        <v>2002</v>
      </c>
      <c r="D58">
        <v>20152</v>
      </c>
      <c r="E58" s="20">
        <f t="shared" si="1"/>
        <v>1.2241965898093454E-2</v>
      </c>
    </row>
    <row r="59" spans="1:5">
      <c r="A59">
        <v>3.0533642613743694E-2</v>
      </c>
      <c r="C59">
        <v>2003</v>
      </c>
      <c r="D59">
        <v>22807</v>
      </c>
      <c r="E59" s="20">
        <f t="shared" si="1"/>
        <v>1.803737580823217E-2</v>
      </c>
    </row>
    <row r="60" spans="1:5">
      <c r="A60">
        <v>4.9143691651577059E-2</v>
      </c>
      <c r="C60">
        <v>2004</v>
      </c>
      <c r="D60">
        <v>30306</v>
      </c>
      <c r="E60" s="20">
        <f t="shared" si="1"/>
        <v>0.10266638266560801</v>
      </c>
    </row>
    <row r="61" spans="1:5">
      <c r="A61">
        <v>7.0418456297209442E-2</v>
      </c>
      <c r="C61">
        <v>2005</v>
      </c>
      <c r="D61">
        <v>36339</v>
      </c>
      <c r="E61" s="20">
        <f t="shared" si="1"/>
        <v>0.14192642023004653</v>
      </c>
    </row>
    <row r="62" spans="1:5">
      <c r="A62">
        <v>8.9942684527360983E-2</v>
      </c>
      <c r="C62">
        <v>2006</v>
      </c>
      <c r="D62">
        <v>41517</v>
      </c>
      <c r="E62" s="20">
        <f t="shared" si="1"/>
        <v>0.16198655942916029</v>
      </c>
    </row>
    <row r="63" spans="1:5">
      <c r="A63">
        <v>0.1024164911433858</v>
      </c>
      <c r="C63">
        <v>2007</v>
      </c>
      <c r="D63">
        <v>44958</v>
      </c>
      <c r="E63" s="20">
        <f t="shared" si="1"/>
        <v>0.16414661099383943</v>
      </c>
    </row>
    <row r="64" spans="1:5">
      <c r="A64">
        <v>0.1114041838834221</v>
      </c>
      <c r="C64">
        <v>2008</v>
      </c>
      <c r="D64">
        <v>51324</v>
      </c>
      <c r="E64" s="20">
        <f t="shared" si="1"/>
        <v>0.16209564194239667</v>
      </c>
    </row>
    <row r="65" spans="1:5">
      <c r="A65">
        <v>0.11918973928870424</v>
      </c>
      <c r="C65">
        <v>2009</v>
      </c>
      <c r="D65">
        <v>32396</v>
      </c>
      <c r="E65" s="20">
        <f t="shared" si="1"/>
        <v>1.0222848310539767E-2</v>
      </c>
    </row>
    <row r="66" spans="1:5">
      <c r="A66">
        <v>0.1248947391842703</v>
      </c>
      <c r="C66">
        <v>2010</v>
      </c>
      <c r="D66">
        <v>42588</v>
      </c>
      <c r="E66" s="20">
        <f t="shared" si="1"/>
        <v>3.0256519507684043E-2</v>
      </c>
    </row>
    <row r="67" spans="1:5">
      <c r="A67">
        <v>0.13256615021900453</v>
      </c>
      <c r="C67">
        <v>2011</v>
      </c>
      <c r="D67">
        <v>60138</v>
      </c>
      <c r="E67" s="20">
        <f t="shared" si="1"/>
        <v>8.751169031360595E-2</v>
      </c>
    </row>
    <row r="68" spans="1:5">
      <c r="A68">
        <v>0.13859458445239481</v>
      </c>
      <c r="C68">
        <v>2012</v>
      </c>
      <c r="D68">
        <v>65875</v>
      </c>
      <c r="E68" s="20">
        <f t="shared" si="1"/>
        <v>9.0391695908454528E-2</v>
      </c>
    </row>
    <row r="69" spans="1:5">
      <c r="A69">
        <v>0.14440677273382874</v>
      </c>
      <c r="C69">
        <v>2013</v>
      </c>
      <c r="D69">
        <v>55656</v>
      </c>
      <c r="E69" s="20">
        <f t="shared" si="1"/>
        <v>1.7168606655807439E-2</v>
      </c>
    </row>
    <row r="70" spans="1:5">
      <c r="A70">
        <v>0.15214338409021422</v>
      </c>
      <c r="C70">
        <v>2014</v>
      </c>
      <c r="D70">
        <v>55184</v>
      </c>
      <c r="E70" s="20">
        <f t="shared" si="1"/>
        <v>8.8789143318020791E-2</v>
      </c>
    </row>
    <row r="71" spans="1:5">
      <c r="A71">
        <v>0.16017211865706704</v>
      </c>
      <c r="C71">
        <v>2015</v>
      </c>
      <c r="D71">
        <v>47011</v>
      </c>
      <c r="E71" s="20">
        <f t="shared" si="1"/>
        <v>1.5828028098954672E-2</v>
      </c>
    </row>
    <row r="72" spans="1:5">
      <c r="A72">
        <v>0.16657967659244122</v>
      </c>
    </row>
    <row r="73" spans="1:5">
      <c r="A73">
        <v>0.17134433970778296</v>
      </c>
    </row>
    <row r="74" spans="1:5">
      <c r="A74">
        <v>0.17408020443928529</v>
      </c>
    </row>
    <row r="75" spans="1:5">
      <c r="A75">
        <v>0.17845364983006284</v>
      </c>
    </row>
    <row r="76" spans="1:5">
      <c r="A76">
        <v>0.18239394154179545</v>
      </c>
    </row>
    <row r="77" spans="1:5">
      <c r="A77">
        <v>0.18452387569918804</v>
      </c>
    </row>
    <row r="78" spans="1:5">
      <c r="A78">
        <v>0.17611683558612312</v>
      </c>
    </row>
    <row r="79" spans="1:5">
      <c r="A79">
        <v>0.14785670316284483</v>
      </c>
    </row>
    <row r="80" spans="1:5">
      <c r="A80">
        <v>0.105398464566971</v>
      </c>
    </row>
    <row r="81" spans="1:1">
      <c r="A81">
        <v>5.7980895239939212E-2</v>
      </c>
    </row>
    <row r="82" spans="1:1">
      <c r="A82">
        <v>1.3427195029774408E-2</v>
      </c>
    </row>
    <row r="83" spans="1:1">
      <c r="A83">
        <v>-4.7455897001386083E-3</v>
      </c>
    </row>
    <row r="84" spans="1:1">
      <c r="A84">
        <v>-5.8402984777305988E-4</v>
      </c>
    </row>
    <row r="85" spans="1:1">
      <c r="A85">
        <v>1.3359193799870717E-2</v>
      </c>
    </row>
    <row r="86" spans="1:1">
      <c r="A86">
        <v>3.2245158723606115E-2</v>
      </c>
    </row>
    <row r="87" spans="1:1">
      <c r="A87">
        <v>4.8128795865384211E-2</v>
      </c>
    </row>
    <row r="88" spans="1:1">
      <c r="A88">
        <v>5.7590374385017684E-2</v>
      </c>
    </row>
    <row r="89" spans="1:1">
      <c r="A89">
        <v>6.7526480678094414E-2</v>
      </c>
    </row>
    <row r="90" spans="1:1">
      <c r="A90">
        <v>7.6922878465615296E-2</v>
      </c>
    </row>
    <row r="91" spans="1:1">
      <c r="A91">
        <v>8.4329336982097436E-2</v>
      </c>
    </row>
    <row r="92" spans="1:1">
      <c r="A92">
        <v>9.1052843575705866E-2</v>
      </c>
    </row>
    <row r="93" spans="1:1">
      <c r="A93">
        <v>8.8785077633602105E-2</v>
      </c>
    </row>
    <row r="94" spans="1:1">
      <c r="A94">
        <v>7.9400783696338406E-2</v>
      </c>
    </row>
    <row r="95" spans="1:1">
      <c r="A95">
        <v>6.1884674461467171E-2</v>
      </c>
    </row>
    <row r="96" spans="1:1">
      <c r="A96">
        <v>4.2526355643559333E-2</v>
      </c>
    </row>
    <row r="97" spans="1:1">
      <c r="A97">
        <v>2.5508426083273417E-2</v>
      </c>
    </row>
    <row r="98" spans="1:1">
      <c r="A98">
        <v>1.6338316000721331E-2</v>
      </c>
    </row>
    <row r="99" spans="1:1">
      <c r="A99">
        <v>2.6952828461521028E-2</v>
      </c>
    </row>
    <row r="100" spans="1:1">
      <c r="A100">
        <v>5.0774375920053183E-2</v>
      </c>
    </row>
    <row r="101" spans="1:1">
      <c r="A101">
        <v>8.1403802195008534E-2</v>
      </c>
    </row>
    <row r="102" spans="1:1">
      <c r="A102">
        <v>0.11240865026057612</v>
      </c>
    </row>
    <row r="103" spans="1:1">
      <c r="A103">
        <v>0.1171185518574609</v>
      </c>
    </row>
    <row r="104" spans="1:1">
      <c r="A104">
        <v>9.3082023623752619E-2</v>
      </c>
    </row>
    <row r="105" spans="1:1">
      <c r="A105">
        <v>5.9166205623449208E-2</v>
      </c>
    </row>
    <row r="106" spans="1:1">
      <c r="A106">
        <v>1.9958376066359751E-2</v>
      </c>
    </row>
    <row r="107" spans="1:1">
      <c r="A107">
        <v>-1.5388469111024872E-2</v>
      </c>
    </row>
    <row r="108" spans="1:1">
      <c r="A108">
        <v>-3.9479370361268362E-2</v>
      </c>
    </row>
    <row r="109" spans="1:1">
      <c r="A109">
        <v>-6.4114671996229777E-2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0"/>
  <sheetViews>
    <sheetView topLeftCell="A46" workbookViewId="0">
      <selection activeCell="D75" sqref="D75"/>
    </sheetView>
  </sheetViews>
  <sheetFormatPr defaultRowHeight="14.6"/>
  <cols>
    <col min="1" max="1" width="10.3828125" style="133" customWidth="1"/>
    <col min="6" max="7" width="10.3828125" customWidth="1"/>
    <col min="10" max="10" width="9.15234375" customWidth="1"/>
    <col min="11" max="11" width="10.3828125" customWidth="1"/>
    <col min="16" max="16" width="10.3828125" customWidth="1"/>
    <col min="21" max="21" width="10.3828125" customWidth="1"/>
    <col min="24" max="24" width="9.3046875" customWidth="1"/>
    <col min="26" max="28" width="0" hidden="1" customWidth="1"/>
  </cols>
  <sheetData>
    <row r="1" spans="1:35">
      <c r="A1" s="133" t="s">
        <v>161</v>
      </c>
      <c r="B1" t="s">
        <v>264</v>
      </c>
      <c r="G1" s="133" t="s">
        <v>161</v>
      </c>
      <c r="H1" t="s">
        <v>264</v>
      </c>
      <c r="I1" t="s">
        <v>261</v>
      </c>
      <c r="L1" t="s">
        <v>127</v>
      </c>
      <c r="M1" t="s">
        <v>265</v>
      </c>
      <c r="Q1" t="s">
        <v>266</v>
      </c>
      <c r="R1" t="s">
        <v>264</v>
      </c>
      <c r="U1" t="s">
        <v>267</v>
      </c>
      <c r="V1" t="s">
        <v>268</v>
      </c>
    </row>
    <row r="2" spans="1:35">
      <c r="A2" s="133">
        <v>32873</v>
      </c>
      <c r="B2">
        <v>414.1112</v>
      </c>
      <c r="G2" s="133">
        <v>32873</v>
      </c>
      <c r="H2">
        <v>414.1112</v>
      </c>
      <c r="I2">
        <v>11126</v>
      </c>
      <c r="K2" s="19">
        <v>1989</v>
      </c>
      <c r="L2" s="20">
        <f t="shared" ref="L2:L28" si="0">H2/I2</f>
        <v>3.7220133021750854E-2</v>
      </c>
      <c r="P2" s="133">
        <v>32873</v>
      </c>
      <c r="Q2">
        <v>5763.4</v>
      </c>
      <c r="R2">
        <v>414.1112</v>
      </c>
      <c r="T2">
        <f>YEAR(P2)</f>
        <v>1989</v>
      </c>
      <c r="U2" s="20">
        <f>Q2/Q$2</f>
        <v>1</v>
      </c>
      <c r="V2" s="20">
        <f>R2/R$2</f>
        <v>1</v>
      </c>
    </row>
    <row r="3" spans="1:35">
      <c r="A3" s="133">
        <v>33238</v>
      </c>
      <c r="B3">
        <v>254.45339999999999</v>
      </c>
      <c r="G3" s="133">
        <v>33238</v>
      </c>
      <c r="H3">
        <v>254.45339999999999</v>
      </c>
      <c r="I3">
        <v>11436</v>
      </c>
      <c r="K3" s="19">
        <v>1990</v>
      </c>
      <c r="L3" s="20">
        <f t="shared" si="0"/>
        <v>2.2250209863588666E-2</v>
      </c>
      <c r="P3" s="133">
        <v>33238</v>
      </c>
      <c r="Q3">
        <v>6023.3</v>
      </c>
      <c r="R3">
        <v>254.45339999999999</v>
      </c>
      <c r="T3">
        <f t="shared" ref="T3:T28" si="1">YEAR(P3)</f>
        <v>1990</v>
      </c>
      <c r="U3" s="20">
        <f t="shared" ref="U3:V28" si="2">Q3/Q$2</f>
        <v>1.0450949092549537</v>
      </c>
      <c r="V3" s="20">
        <f t="shared" si="2"/>
        <v>0.61445669665539104</v>
      </c>
    </row>
    <row r="4" spans="1:35">
      <c r="A4" s="133">
        <v>33603</v>
      </c>
      <c r="B4">
        <v>20.552900000000001</v>
      </c>
      <c r="G4" s="133">
        <v>33603</v>
      </c>
      <c r="H4">
        <v>20.552900000000001</v>
      </c>
      <c r="I4">
        <v>10182</v>
      </c>
      <c r="K4" s="19">
        <v>1991</v>
      </c>
      <c r="L4" s="20">
        <f t="shared" si="0"/>
        <v>2.0185523472795132E-3</v>
      </c>
      <c r="P4" s="133">
        <v>33603</v>
      </c>
      <c r="Q4">
        <v>6279.3</v>
      </c>
      <c r="R4">
        <v>20.552900000000001</v>
      </c>
      <c r="T4">
        <f t="shared" si="1"/>
        <v>1991</v>
      </c>
      <c r="U4" s="20">
        <f t="shared" si="2"/>
        <v>1.089513134608044</v>
      </c>
      <c r="V4" s="20">
        <f t="shared" si="2"/>
        <v>4.9631355056323039E-2</v>
      </c>
    </row>
    <row r="5" spans="1:35">
      <c r="A5" s="133">
        <v>33969</v>
      </c>
      <c r="B5">
        <v>-169.97059999999999</v>
      </c>
      <c r="G5" s="133">
        <v>33969</v>
      </c>
      <c r="H5">
        <v>-169.97059999999999</v>
      </c>
      <c r="I5">
        <v>10194</v>
      </c>
      <c r="K5" s="19">
        <v>1992</v>
      </c>
      <c r="L5" s="20">
        <f t="shared" si="0"/>
        <v>-1.6673592309201492E-2</v>
      </c>
      <c r="P5" s="133">
        <v>33969</v>
      </c>
      <c r="Q5">
        <v>6697.6</v>
      </c>
      <c r="R5">
        <v>-169.97059999999999</v>
      </c>
      <c r="T5">
        <f t="shared" si="1"/>
        <v>1992</v>
      </c>
      <c r="U5" s="20">
        <f t="shared" si="2"/>
        <v>1.1620918208002222</v>
      </c>
      <c r="V5" s="20">
        <f t="shared" si="2"/>
        <v>-0.41044675922795615</v>
      </c>
    </row>
    <row r="6" spans="1:35">
      <c r="A6" s="133">
        <v>34334</v>
      </c>
      <c r="B6">
        <v>718.64070000000004</v>
      </c>
      <c r="G6" s="133">
        <v>34334</v>
      </c>
      <c r="H6">
        <v>718.64070000000004</v>
      </c>
      <c r="I6">
        <v>11615</v>
      </c>
      <c r="K6" s="19">
        <v>1993</v>
      </c>
      <c r="L6" s="20">
        <f t="shared" si="0"/>
        <v>6.1871777873439518E-2</v>
      </c>
      <c r="M6" s="99">
        <f t="shared" ref="M6:M28" si="3">MEDIAN(L2:L6)</f>
        <v>2.2250209863588666E-2</v>
      </c>
      <c r="P6" s="133">
        <v>34334</v>
      </c>
      <c r="Q6">
        <v>7032.8</v>
      </c>
      <c r="R6">
        <v>718.64070000000004</v>
      </c>
      <c r="T6">
        <f t="shared" si="1"/>
        <v>1993</v>
      </c>
      <c r="U6" s="20">
        <f t="shared" si="2"/>
        <v>1.2202519346219247</v>
      </c>
      <c r="V6" s="20">
        <f t="shared" si="2"/>
        <v>1.7353809797947992</v>
      </c>
      <c r="Z6" t="s">
        <v>269</v>
      </c>
      <c r="AA6" t="s">
        <v>270</v>
      </c>
      <c r="AB6" t="s">
        <v>271</v>
      </c>
      <c r="AC6" t="s">
        <v>272</v>
      </c>
      <c r="AD6" t="s">
        <v>73</v>
      </c>
      <c r="AE6" t="s">
        <v>273</v>
      </c>
    </row>
    <row r="7" spans="1:35">
      <c r="A7" s="133">
        <v>34699</v>
      </c>
      <c r="B7">
        <v>1055.7303999999999</v>
      </c>
      <c r="C7" s="20"/>
      <c r="G7" s="133">
        <v>34699</v>
      </c>
      <c r="H7">
        <v>1055.7303999999999</v>
      </c>
      <c r="I7">
        <v>14328</v>
      </c>
      <c r="K7" s="19">
        <v>1994</v>
      </c>
      <c r="L7" s="20">
        <f t="shared" si="0"/>
        <v>7.3683026242322716E-2</v>
      </c>
      <c r="M7" s="99">
        <f t="shared" si="3"/>
        <v>2.2250209863588666E-2</v>
      </c>
      <c r="P7" s="133">
        <v>34699</v>
      </c>
      <c r="Q7">
        <v>7476.7</v>
      </c>
      <c r="R7">
        <v>1055.7303999999999</v>
      </c>
      <c r="T7">
        <f t="shared" si="1"/>
        <v>1994</v>
      </c>
      <c r="U7" s="20">
        <f t="shared" si="2"/>
        <v>1.2972724433494118</v>
      </c>
      <c r="V7" s="20">
        <f t="shared" si="2"/>
        <v>2.5493886666190142</v>
      </c>
      <c r="Y7">
        <v>1994</v>
      </c>
      <c r="Z7" s="155">
        <v>1083</v>
      </c>
      <c r="AA7" s="155">
        <v>-746</v>
      </c>
      <c r="AB7" s="155">
        <v>74</v>
      </c>
      <c r="AC7" s="144">
        <f>SUM(Z7:AB7)</f>
        <v>411</v>
      </c>
      <c r="AD7" s="144">
        <v>224.80294576788719</v>
      </c>
      <c r="AE7" s="144">
        <f>AD7+AC7</f>
        <v>635.80294576788719</v>
      </c>
    </row>
    <row r="8" spans="1:35">
      <c r="A8" s="133">
        <v>35064</v>
      </c>
      <c r="B8">
        <v>1490.6881000000001</v>
      </c>
      <c r="C8" s="20"/>
      <c r="G8" s="133">
        <v>35064</v>
      </c>
      <c r="H8">
        <v>1490.6881000000001</v>
      </c>
      <c r="I8">
        <v>16072</v>
      </c>
      <c r="K8" s="19">
        <v>1995</v>
      </c>
      <c r="L8" s="20">
        <f t="shared" si="0"/>
        <v>9.2750628422100551E-2</v>
      </c>
      <c r="M8" s="99">
        <f t="shared" si="3"/>
        <v>6.1871777873439518E-2</v>
      </c>
      <c r="P8" s="133">
        <v>35064</v>
      </c>
      <c r="Q8">
        <v>7799.5</v>
      </c>
      <c r="R8">
        <v>1490.6881000000001</v>
      </c>
      <c r="T8">
        <f t="shared" si="1"/>
        <v>1995</v>
      </c>
      <c r="U8" s="20">
        <f t="shared" si="2"/>
        <v>1.353281049380574</v>
      </c>
      <c r="V8" s="20">
        <f t="shared" si="2"/>
        <v>3.5997290099857238</v>
      </c>
      <c r="Y8">
        <v>1995</v>
      </c>
      <c r="Z8" s="155">
        <v>1414</v>
      </c>
      <c r="AA8" s="155">
        <v>-997</v>
      </c>
      <c r="AB8" s="155">
        <v>30</v>
      </c>
      <c r="AC8" s="144">
        <f t="shared" ref="AC8:AC16" si="4">SUM(Z8:AB8)</f>
        <v>447</v>
      </c>
      <c r="AD8" s="144">
        <v>754.47412664732076</v>
      </c>
      <c r="AE8" s="144">
        <f t="shared" ref="AE8:AE16" si="5">AD8+AC8</f>
        <v>1201.4741266473206</v>
      </c>
      <c r="AI8" t="s">
        <v>274</v>
      </c>
    </row>
    <row r="9" spans="1:35">
      <c r="A9" s="133">
        <v>35430</v>
      </c>
      <c r="B9">
        <v>1062.8753999999999</v>
      </c>
      <c r="C9" s="20"/>
      <c r="G9" s="133">
        <v>35430</v>
      </c>
      <c r="H9">
        <v>1062.8753999999999</v>
      </c>
      <c r="I9">
        <v>16522</v>
      </c>
      <c r="K9" s="19">
        <v>1996</v>
      </c>
      <c r="L9" s="20">
        <f t="shared" si="0"/>
        <v>6.43309163539523E-2</v>
      </c>
      <c r="M9" s="99">
        <f t="shared" si="3"/>
        <v>6.43309163539523E-2</v>
      </c>
      <c r="P9" s="133">
        <v>35430</v>
      </c>
      <c r="Q9">
        <v>8287.1</v>
      </c>
      <c r="R9">
        <v>1062.8753999999999</v>
      </c>
      <c r="T9">
        <f t="shared" si="1"/>
        <v>1996</v>
      </c>
      <c r="U9" s="20">
        <f t="shared" si="2"/>
        <v>1.437883887982788</v>
      </c>
      <c r="V9" s="20">
        <f t="shared" si="2"/>
        <v>2.5666424863659807</v>
      </c>
      <c r="Y9">
        <v>1996</v>
      </c>
      <c r="Z9" s="155">
        <v>1088</v>
      </c>
      <c r="AA9" s="155">
        <v>-1335</v>
      </c>
      <c r="AB9" s="155">
        <v>1262</v>
      </c>
      <c r="AC9" s="144">
        <f t="shared" si="4"/>
        <v>1015</v>
      </c>
      <c r="AD9" s="144">
        <v>-562.26651332921983</v>
      </c>
      <c r="AE9" s="144">
        <f t="shared" si="5"/>
        <v>452.73348667078017</v>
      </c>
      <c r="AH9">
        <v>1996</v>
      </c>
      <c r="AI9">
        <v>39.828099999999999</v>
      </c>
    </row>
    <row r="10" spans="1:35">
      <c r="A10" s="133">
        <v>35795</v>
      </c>
      <c r="B10">
        <v>1345.4363000000001</v>
      </c>
      <c r="C10" s="20"/>
      <c r="G10" s="133">
        <v>35795</v>
      </c>
      <c r="H10">
        <v>1345.4363000000001</v>
      </c>
      <c r="I10">
        <v>18925</v>
      </c>
      <c r="K10" s="19">
        <v>1997</v>
      </c>
      <c r="L10" s="20">
        <f t="shared" si="0"/>
        <v>7.109306737120212E-2</v>
      </c>
      <c r="M10" s="99">
        <f t="shared" si="3"/>
        <v>7.109306737120212E-2</v>
      </c>
      <c r="P10" s="133">
        <v>35795</v>
      </c>
      <c r="Q10">
        <v>8788.2999999999993</v>
      </c>
      <c r="R10">
        <v>1345.4363000000001</v>
      </c>
      <c r="T10">
        <f t="shared" si="1"/>
        <v>1997</v>
      </c>
      <c r="U10" s="20">
        <f t="shared" si="2"/>
        <v>1.5248464448068848</v>
      </c>
      <c r="V10" s="20">
        <f t="shared" si="2"/>
        <v>3.2489734641323396</v>
      </c>
      <c r="Y10">
        <v>1997</v>
      </c>
      <c r="Z10" s="155">
        <v>2284</v>
      </c>
      <c r="AA10" s="155">
        <v>-1237</v>
      </c>
      <c r="AB10" s="155">
        <v>258</v>
      </c>
      <c r="AC10" s="144">
        <f t="shared" si="4"/>
        <v>1305</v>
      </c>
      <c r="AD10" s="144">
        <v>-292.82744245315121</v>
      </c>
      <c r="AE10" s="144">
        <f t="shared" si="5"/>
        <v>1012.1725575468488</v>
      </c>
      <c r="AH10">
        <v>1997</v>
      </c>
      <c r="AI10">
        <v>41.279600000000002</v>
      </c>
    </row>
    <row r="11" spans="1:35">
      <c r="A11" s="133">
        <v>36160</v>
      </c>
      <c r="B11">
        <v>899.05709999999999</v>
      </c>
      <c r="C11" s="20"/>
      <c r="G11" s="133">
        <v>36160</v>
      </c>
      <c r="H11">
        <v>899.05709999999999</v>
      </c>
      <c r="I11">
        <v>20977</v>
      </c>
      <c r="K11" s="19">
        <v>1998</v>
      </c>
      <c r="L11" s="20">
        <f t="shared" si="0"/>
        <v>4.2859183868045957E-2</v>
      </c>
      <c r="M11" s="99">
        <f t="shared" si="3"/>
        <v>7.109306737120212E-2</v>
      </c>
      <c r="P11" s="133">
        <v>36160</v>
      </c>
      <c r="Q11">
        <v>9325.7000000000007</v>
      </c>
      <c r="R11">
        <v>899.05709999999999</v>
      </c>
      <c r="T11">
        <f t="shared" si="1"/>
        <v>1998</v>
      </c>
      <c r="U11" s="20">
        <f t="shared" si="2"/>
        <v>1.6180900163098173</v>
      </c>
      <c r="V11" s="20">
        <f t="shared" si="2"/>
        <v>2.1710523646788591</v>
      </c>
      <c r="Y11">
        <v>1998</v>
      </c>
      <c r="Z11" s="155">
        <v>4590</v>
      </c>
      <c r="AA11" s="155">
        <v>-1153</v>
      </c>
      <c r="AB11" s="155">
        <v>388</v>
      </c>
      <c r="AC11" s="144">
        <f t="shared" si="4"/>
        <v>3825</v>
      </c>
      <c r="AD11" s="144">
        <v>-3062.6192914173398</v>
      </c>
      <c r="AE11" s="144">
        <f t="shared" si="5"/>
        <v>762.38070858266019</v>
      </c>
      <c r="AH11">
        <v>1998</v>
      </c>
      <c r="AI11">
        <v>49.554299999999998</v>
      </c>
    </row>
    <row r="12" spans="1:35">
      <c r="A12" s="133">
        <v>36525</v>
      </c>
      <c r="B12">
        <v>1619.6305</v>
      </c>
      <c r="C12" s="20"/>
      <c r="G12" s="133">
        <v>36525</v>
      </c>
      <c r="H12">
        <v>1619.6305</v>
      </c>
      <c r="I12">
        <v>19702</v>
      </c>
      <c r="K12" s="19">
        <v>1999</v>
      </c>
      <c r="L12" s="20">
        <f t="shared" si="0"/>
        <v>8.2206400365445131E-2</v>
      </c>
      <c r="M12" s="99">
        <f t="shared" si="3"/>
        <v>7.109306737120212E-2</v>
      </c>
      <c r="P12" s="133">
        <v>36525</v>
      </c>
      <c r="Q12">
        <v>9926.1</v>
      </c>
      <c r="R12">
        <v>1619.6305</v>
      </c>
      <c r="T12">
        <f t="shared" si="1"/>
        <v>1999</v>
      </c>
      <c r="U12" s="20">
        <f t="shared" si="2"/>
        <v>1.7222646354582367</v>
      </c>
      <c r="V12" s="20">
        <f t="shared" si="2"/>
        <v>3.9111004483819807</v>
      </c>
      <c r="Y12">
        <v>1999</v>
      </c>
      <c r="Z12" s="155">
        <v>3770</v>
      </c>
      <c r="AA12" s="155">
        <v>-2288</v>
      </c>
      <c r="AB12" s="155">
        <v>-127</v>
      </c>
      <c r="AC12" s="144">
        <f t="shared" si="4"/>
        <v>1355</v>
      </c>
      <c r="AD12" s="144">
        <v>-638.73290931377801</v>
      </c>
      <c r="AE12" s="144">
        <f t="shared" si="5"/>
        <v>716.26709068622199</v>
      </c>
      <c r="AH12">
        <v>1999</v>
      </c>
      <c r="AI12">
        <v>51.671599999999998</v>
      </c>
    </row>
    <row r="13" spans="1:35">
      <c r="A13" s="133">
        <v>36891</v>
      </c>
      <c r="B13">
        <v>1002.3869</v>
      </c>
      <c r="C13" s="20"/>
      <c r="G13" s="133">
        <v>36891</v>
      </c>
      <c r="H13">
        <v>1002.3869</v>
      </c>
      <c r="I13">
        <v>20175</v>
      </c>
      <c r="K13" s="19">
        <v>2000</v>
      </c>
      <c r="L13" s="20">
        <f t="shared" si="0"/>
        <v>4.9684604708798014E-2</v>
      </c>
      <c r="M13" s="99">
        <f t="shared" si="3"/>
        <v>6.43309163539523E-2</v>
      </c>
      <c r="P13" s="133">
        <v>36891</v>
      </c>
      <c r="Q13">
        <v>10472.299999999999</v>
      </c>
      <c r="R13">
        <v>1002.3869</v>
      </c>
      <c r="T13">
        <f t="shared" si="1"/>
        <v>2000</v>
      </c>
      <c r="U13" s="20">
        <f t="shared" si="2"/>
        <v>1.8170350834576812</v>
      </c>
      <c r="V13" s="20">
        <f t="shared" si="2"/>
        <v>2.4205742322352064</v>
      </c>
      <c r="Y13">
        <v>2000</v>
      </c>
      <c r="Z13" s="155">
        <v>3760</v>
      </c>
      <c r="AA13" s="155">
        <v>-3147</v>
      </c>
      <c r="AB13" s="155">
        <v>800</v>
      </c>
      <c r="AC13" s="144">
        <f t="shared" si="4"/>
        <v>1413</v>
      </c>
      <c r="AD13" s="144">
        <v>-610.43961748889888</v>
      </c>
      <c r="AE13" s="144">
        <f t="shared" si="5"/>
        <v>802.56038251110112</v>
      </c>
      <c r="AH13">
        <v>2000</v>
      </c>
      <c r="AI13">
        <v>52.933500000000002</v>
      </c>
    </row>
    <row r="14" spans="1:35">
      <c r="A14" s="133">
        <v>37256</v>
      </c>
      <c r="B14">
        <v>799.86059999999998</v>
      </c>
      <c r="C14" s="20"/>
      <c r="D14" t="s">
        <v>275</v>
      </c>
      <c r="G14" s="133">
        <v>37256</v>
      </c>
      <c r="H14">
        <v>799.86059999999998</v>
      </c>
      <c r="I14">
        <v>20450</v>
      </c>
      <c r="K14" s="19">
        <v>2001</v>
      </c>
      <c r="L14" s="20">
        <f t="shared" si="0"/>
        <v>3.9112987775061121E-2</v>
      </c>
      <c r="M14" s="99">
        <f t="shared" si="3"/>
        <v>4.9684604708798014E-2</v>
      </c>
      <c r="P14" s="133">
        <v>37256</v>
      </c>
      <c r="Q14">
        <v>10701.3</v>
      </c>
      <c r="R14">
        <v>799.86059999999998</v>
      </c>
      <c r="T14">
        <f t="shared" si="1"/>
        <v>2001</v>
      </c>
      <c r="U14" s="20">
        <f t="shared" si="2"/>
        <v>1.8567685741055626</v>
      </c>
      <c r="V14" s="20">
        <f t="shared" si="2"/>
        <v>1.9315116326242805</v>
      </c>
      <c r="Y14">
        <v>2001</v>
      </c>
      <c r="Z14" s="155">
        <v>4062</v>
      </c>
      <c r="AA14" s="155">
        <v>-2953</v>
      </c>
      <c r="AB14" s="155">
        <v>420</v>
      </c>
      <c r="AC14" s="144">
        <f t="shared" si="4"/>
        <v>1529</v>
      </c>
      <c r="AD14" s="144">
        <v>-954.9521950289386</v>
      </c>
      <c r="AE14" s="144">
        <f t="shared" si="5"/>
        <v>574.0478049710614</v>
      </c>
      <c r="AH14">
        <v>2001</v>
      </c>
      <c r="AI14">
        <v>54.154000000000003</v>
      </c>
    </row>
    <row r="15" spans="1:35">
      <c r="A15" s="133">
        <v>37621</v>
      </c>
      <c r="B15">
        <v>-5210.9982</v>
      </c>
      <c r="C15" s="20"/>
      <c r="D15">
        <v>5917</v>
      </c>
      <c r="G15" s="133">
        <v>37621</v>
      </c>
      <c r="H15">
        <f>B15+D15</f>
        <v>706.0018</v>
      </c>
      <c r="I15">
        <v>20152</v>
      </c>
      <c r="K15" s="156">
        <v>2002</v>
      </c>
      <c r="L15" s="157">
        <f t="shared" si="0"/>
        <v>3.5033832870186583E-2</v>
      </c>
      <c r="M15" s="99">
        <f t="shared" si="3"/>
        <v>4.2859183868045957E-2</v>
      </c>
      <c r="P15" s="133">
        <v>37621</v>
      </c>
      <c r="Q15">
        <v>11103.8</v>
      </c>
      <c r="R15">
        <v>706.0018</v>
      </c>
      <c r="T15">
        <f t="shared" si="1"/>
        <v>2002</v>
      </c>
      <c r="U15" s="20">
        <f t="shared" si="2"/>
        <v>1.9266058229517298</v>
      </c>
      <c r="V15" s="20">
        <f t="shared" si="2"/>
        <v>1.7048604336226598</v>
      </c>
      <c r="Y15">
        <v>2002</v>
      </c>
      <c r="Z15" s="155">
        <f>248+3889</f>
        <v>4137</v>
      </c>
      <c r="AA15" s="155">
        <f>-225-3114</f>
        <v>-3339</v>
      </c>
      <c r="AB15" s="155">
        <v>-102</v>
      </c>
      <c r="AC15" s="144">
        <f t="shared" si="4"/>
        <v>696</v>
      </c>
      <c r="AD15" s="144">
        <v>-355.57813703760644</v>
      </c>
      <c r="AE15" s="144">
        <f t="shared" si="5"/>
        <v>340.42186296239356</v>
      </c>
      <c r="AH15">
        <v>2002</v>
      </c>
      <c r="AI15">
        <v>54.979399999999998</v>
      </c>
    </row>
    <row r="16" spans="1:35">
      <c r="A16" s="133">
        <v>37986</v>
      </c>
      <c r="B16">
        <v>-6983.3168999999998</v>
      </c>
      <c r="C16" s="20"/>
      <c r="D16">
        <v>7129</v>
      </c>
      <c r="G16" s="133">
        <v>37986</v>
      </c>
      <c r="H16">
        <f>B16+D16</f>
        <v>145.68310000000019</v>
      </c>
      <c r="I16">
        <v>22807</v>
      </c>
      <c r="K16" s="156">
        <v>2003</v>
      </c>
      <c r="L16" s="157">
        <f t="shared" si="0"/>
        <v>6.3876485289604155E-3</v>
      </c>
      <c r="M16" s="99">
        <f t="shared" si="3"/>
        <v>3.9112987775061121E-2</v>
      </c>
      <c r="P16" s="133">
        <v>37986</v>
      </c>
      <c r="Q16">
        <v>11816.8</v>
      </c>
      <c r="R16">
        <v>145.68310000000019</v>
      </c>
      <c r="T16">
        <f t="shared" si="1"/>
        <v>2003</v>
      </c>
      <c r="U16" s="20">
        <f t="shared" si="2"/>
        <v>2.0503175209077975</v>
      </c>
      <c r="V16" s="20">
        <f t="shared" si="2"/>
        <v>0.3517970535450386</v>
      </c>
      <c r="Y16">
        <v>2003</v>
      </c>
      <c r="Z16" s="155">
        <f>128+5506</f>
        <v>5634</v>
      </c>
      <c r="AA16" s="155">
        <f>-463-3774</f>
        <v>-4237</v>
      </c>
      <c r="AB16" s="155">
        <v>87</v>
      </c>
      <c r="AC16" s="144">
        <f t="shared" si="4"/>
        <v>1484</v>
      </c>
      <c r="AD16" s="144">
        <v>-1002.2214570871149</v>
      </c>
      <c r="AE16" s="144">
        <f t="shared" si="5"/>
        <v>481.77854291288509</v>
      </c>
      <c r="AH16">
        <v>2003</v>
      </c>
      <c r="AI16">
        <v>55.5991</v>
      </c>
    </row>
    <row r="17" spans="1:24">
      <c r="A17" s="133">
        <v>38352</v>
      </c>
      <c r="B17">
        <v>-5433.4807000000001</v>
      </c>
      <c r="C17" s="20"/>
      <c r="D17">
        <v>5722</v>
      </c>
      <c r="G17" s="133">
        <v>38352</v>
      </c>
      <c r="H17">
        <f>B17+D17</f>
        <v>288.51929999999993</v>
      </c>
      <c r="I17">
        <v>30306</v>
      </c>
      <c r="K17" s="156">
        <v>2004</v>
      </c>
      <c r="L17" s="157">
        <f t="shared" si="0"/>
        <v>9.5202039200158357E-3</v>
      </c>
      <c r="M17" s="99">
        <f t="shared" si="3"/>
        <v>3.5033832870186583E-2</v>
      </c>
      <c r="P17" s="133">
        <v>38352</v>
      </c>
      <c r="Q17">
        <v>12562.2</v>
      </c>
      <c r="R17">
        <v>288.51929999999993</v>
      </c>
      <c r="T17">
        <f t="shared" si="1"/>
        <v>2004</v>
      </c>
      <c r="U17" s="20">
        <f t="shared" si="2"/>
        <v>2.1796509005101159</v>
      </c>
      <c r="V17" s="20">
        <f t="shared" si="2"/>
        <v>0.69671938358585794</v>
      </c>
    </row>
    <row r="18" spans="1:24">
      <c r="A18" s="133">
        <v>38717</v>
      </c>
      <c r="B18">
        <v>1585.5500999999999</v>
      </c>
      <c r="C18" s="20"/>
      <c r="G18" s="133">
        <v>38717</v>
      </c>
      <c r="H18">
        <v>1585.5500999999999</v>
      </c>
      <c r="I18">
        <v>36339</v>
      </c>
      <c r="K18" s="19">
        <v>2005</v>
      </c>
      <c r="L18" s="20">
        <f t="shared" si="0"/>
        <v>4.3632188557747871E-2</v>
      </c>
      <c r="M18" s="99">
        <f t="shared" si="3"/>
        <v>3.5033832870186583E-2</v>
      </c>
      <c r="P18" s="133">
        <v>38717</v>
      </c>
      <c r="Q18">
        <v>13381.6</v>
      </c>
      <c r="R18">
        <v>1585.5500999999999</v>
      </c>
      <c r="T18">
        <f t="shared" si="1"/>
        <v>2005</v>
      </c>
      <c r="U18" s="20">
        <f t="shared" si="2"/>
        <v>2.3218239233785614</v>
      </c>
      <c r="V18" s="20">
        <f t="shared" si="2"/>
        <v>3.8288027467018519</v>
      </c>
    </row>
    <row r="19" spans="1:24">
      <c r="A19" s="133">
        <v>39082</v>
      </c>
      <c r="B19">
        <v>4156.2979999999998</v>
      </c>
      <c r="C19" s="20"/>
      <c r="G19" s="133">
        <v>39082</v>
      </c>
      <c r="H19">
        <v>4156.2979999999998</v>
      </c>
      <c r="I19">
        <v>41517</v>
      </c>
      <c r="K19" s="19">
        <v>2006</v>
      </c>
      <c r="L19" s="20">
        <f t="shared" si="0"/>
        <v>0.10011074981332947</v>
      </c>
      <c r="M19" s="99">
        <f t="shared" si="3"/>
        <v>3.5033832870186583E-2</v>
      </c>
      <c r="P19" s="133">
        <v>39082</v>
      </c>
      <c r="Q19">
        <v>14066.4</v>
      </c>
      <c r="R19">
        <v>4156.2979999999998</v>
      </c>
      <c r="T19">
        <f t="shared" si="1"/>
        <v>2006</v>
      </c>
      <c r="U19" s="20">
        <f t="shared" si="2"/>
        <v>2.4406426761980775</v>
      </c>
      <c r="V19" s="20">
        <f t="shared" si="2"/>
        <v>10.036671309541978</v>
      </c>
    </row>
    <row r="20" spans="1:24">
      <c r="A20" s="133">
        <v>39447</v>
      </c>
      <c r="B20">
        <v>6084.6589999999997</v>
      </c>
      <c r="C20" s="20"/>
      <c r="G20" s="133">
        <v>39447</v>
      </c>
      <c r="H20">
        <v>6084.6589999999997</v>
      </c>
      <c r="I20">
        <v>44958</v>
      </c>
      <c r="K20" s="19">
        <v>2007</v>
      </c>
      <c r="L20" s="20">
        <f t="shared" si="0"/>
        <v>0.13534096267627563</v>
      </c>
      <c r="M20" s="99">
        <f t="shared" si="3"/>
        <v>4.3632188557747871E-2</v>
      </c>
      <c r="P20" s="133">
        <v>39447</v>
      </c>
      <c r="Q20">
        <v>14685.3</v>
      </c>
      <c r="R20">
        <v>6084.6589999999997</v>
      </c>
      <c r="T20">
        <f t="shared" si="1"/>
        <v>2007</v>
      </c>
      <c r="U20" s="20">
        <f t="shared" si="2"/>
        <v>2.5480272061630287</v>
      </c>
      <c r="V20" s="20">
        <f t="shared" si="2"/>
        <v>14.69329735587929</v>
      </c>
    </row>
    <row r="21" spans="1:24">
      <c r="A21" s="133">
        <v>39813</v>
      </c>
      <c r="B21">
        <v>2690.1903000000002</v>
      </c>
      <c r="C21" s="20"/>
      <c r="G21" s="133">
        <v>39813</v>
      </c>
      <c r="H21">
        <v>2690.1903000000002</v>
      </c>
      <c r="I21">
        <v>51324</v>
      </c>
      <c r="K21" s="19">
        <v>2008</v>
      </c>
      <c r="L21" s="20">
        <f t="shared" si="0"/>
        <v>5.2415834697217681E-2</v>
      </c>
      <c r="M21" s="99">
        <f t="shared" si="3"/>
        <v>5.2415834697217681E-2</v>
      </c>
      <c r="P21" s="133">
        <v>39813</v>
      </c>
      <c r="Q21">
        <v>14549.9</v>
      </c>
      <c r="R21">
        <v>2690.1903000000002</v>
      </c>
      <c r="T21">
        <f t="shared" si="1"/>
        <v>2008</v>
      </c>
      <c r="U21" s="20">
        <f t="shared" si="2"/>
        <v>2.5245341291598709</v>
      </c>
      <c r="V21" s="20">
        <f t="shared" si="2"/>
        <v>6.496299303182334</v>
      </c>
    </row>
    <row r="22" spans="1:24">
      <c r="A22" s="133">
        <v>40178</v>
      </c>
      <c r="B22">
        <v>4099.4304000000002</v>
      </c>
      <c r="C22" s="20"/>
      <c r="G22" s="133">
        <v>40178</v>
      </c>
      <c r="H22">
        <v>4099.4304000000002</v>
      </c>
      <c r="I22">
        <v>32396</v>
      </c>
      <c r="K22" s="19">
        <v>2009</v>
      </c>
      <c r="L22" s="20">
        <f t="shared" si="0"/>
        <v>0.12654125200642055</v>
      </c>
      <c r="M22" s="99">
        <f t="shared" si="3"/>
        <v>0.10011074981332947</v>
      </c>
      <c r="P22" s="133">
        <v>40178</v>
      </c>
      <c r="Q22">
        <v>14566.5</v>
      </c>
      <c r="R22">
        <v>4099.4304000000002</v>
      </c>
      <c r="T22">
        <f t="shared" si="1"/>
        <v>2009</v>
      </c>
      <c r="U22" s="20">
        <f t="shared" si="2"/>
        <v>2.5274143734601107</v>
      </c>
      <c r="V22" s="20">
        <f t="shared" si="2"/>
        <v>9.8993468421042472</v>
      </c>
    </row>
    <row r="23" spans="1:24">
      <c r="A23" s="133">
        <v>40543</v>
      </c>
      <c r="B23">
        <v>2678.6587</v>
      </c>
      <c r="C23" s="20"/>
      <c r="G23" s="133">
        <v>40543</v>
      </c>
      <c r="H23">
        <v>2678.6587</v>
      </c>
      <c r="I23">
        <v>42588</v>
      </c>
      <c r="K23" s="19">
        <v>2010</v>
      </c>
      <c r="L23" s="20">
        <f t="shared" si="0"/>
        <v>6.289702967972198E-2</v>
      </c>
      <c r="M23" s="99">
        <f t="shared" si="3"/>
        <v>0.10011074981332947</v>
      </c>
      <c r="P23" s="133">
        <v>40543</v>
      </c>
      <c r="Q23">
        <v>15230.2</v>
      </c>
      <c r="R23">
        <v>2678.6587</v>
      </c>
      <c r="T23">
        <f t="shared" si="1"/>
        <v>2010</v>
      </c>
      <c r="U23" s="20">
        <f t="shared" si="2"/>
        <v>2.6425720928618528</v>
      </c>
      <c r="V23" s="20">
        <f t="shared" si="2"/>
        <v>6.4684526764791679</v>
      </c>
    </row>
    <row r="24" spans="1:24">
      <c r="A24" s="133">
        <v>40908</v>
      </c>
      <c r="B24">
        <v>4355.1401999999998</v>
      </c>
      <c r="C24" s="20"/>
      <c r="G24" s="133">
        <v>40908</v>
      </c>
      <c r="H24">
        <v>4355.1401999999998</v>
      </c>
      <c r="I24">
        <v>60138</v>
      </c>
      <c r="K24" s="19">
        <v>2011</v>
      </c>
      <c r="L24" s="20">
        <f t="shared" si="0"/>
        <v>7.2419106056071034E-2</v>
      </c>
      <c r="M24" s="99">
        <f t="shared" si="3"/>
        <v>7.2419106056071034E-2</v>
      </c>
      <c r="P24" s="133">
        <v>40908</v>
      </c>
      <c r="Q24">
        <v>15785.3</v>
      </c>
      <c r="R24">
        <v>4355.1401999999998</v>
      </c>
      <c r="T24">
        <f t="shared" si="1"/>
        <v>2011</v>
      </c>
      <c r="U24" s="20">
        <f t="shared" si="2"/>
        <v>2.7388867682270881</v>
      </c>
      <c r="V24" s="20">
        <f t="shared" si="2"/>
        <v>10.516837506447542</v>
      </c>
    </row>
    <row r="25" spans="1:24">
      <c r="A25" s="133">
        <v>41274</v>
      </c>
      <c r="B25">
        <v>2322.0257000000001</v>
      </c>
      <c r="C25" s="20"/>
      <c r="G25" s="133">
        <v>41274</v>
      </c>
      <c r="H25">
        <v>2322.0257000000001</v>
      </c>
      <c r="I25">
        <v>65875</v>
      </c>
      <c r="K25" s="19">
        <v>2012</v>
      </c>
      <c r="L25" s="20">
        <f t="shared" si="0"/>
        <v>3.5248966982922202E-2</v>
      </c>
      <c r="M25" s="99">
        <f t="shared" si="3"/>
        <v>6.289702967972198E-2</v>
      </c>
      <c r="P25" s="133">
        <v>41274</v>
      </c>
      <c r="Q25">
        <v>16297.3</v>
      </c>
      <c r="R25">
        <v>2322.0257000000001</v>
      </c>
      <c r="T25">
        <f t="shared" si="1"/>
        <v>2012</v>
      </c>
      <c r="U25" s="20">
        <f t="shared" si="2"/>
        <v>2.8277232189332686</v>
      </c>
      <c r="V25" s="20">
        <f t="shared" si="2"/>
        <v>5.6072516270991954</v>
      </c>
    </row>
    <row r="26" spans="1:24">
      <c r="A26" s="133">
        <v>41639</v>
      </c>
      <c r="B26">
        <v>7057.6424999999999</v>
      </c>
      <c r="C26" s="20"/>
      <c r="G26" s="133">
        <v>41639</v>
      </c>
      <c r="H26">
        <v>7057.6424999999999</v>
      </c>
      <c r="I26">
        <v>55656</v>
      </c>
      <c r="K26" s="19">
        <v>2013</v>
      </c>
      <c r="L26" s="20">
        <f t="shared" si="0"/>
        <v>0.12680829560155238</v>
      </c>
      <c r="M26" s="99">
        <f t="shared" si="3"/>
        <v>7.2419106056071034E-2</v>
      </c>
      <c r="P26" s="133">
        <v>41639</v>
      </c>
      <c r="Q26">
        <v>16999.900000000001</v>
      </c>
      <c r="R26">
        <v>7057.6424999999999</v>
      </c>
      <c r="T26">
        <f t="shared" si="1"/>
        <v>2013</v>
      </c>
      <c r="U26" s="20">
        <f t="shared" si="2"/>
        <v>2.9496304264843674</v>
      </c>
      <c r="V26" s="20">
        <f t="shared" si="2"/>
        <v>17.042867954307926</v>
      </c>
    </row>
    <row r="27" spans="1:24">
      <c r="A27" s="133">
        <v>42004</v>
      </c>
      <c r="B27">
        <v>4870.0718999999999</v>
      </c>
      <c r="C27" s="20"/>
      <c r="G27" s="133">
        <v>42004</v>
      </c>
      <c r="H27">
        <v>4870.0718999999999</v>
      </c>
      <c r="I27">
        <v>55184</v>
      </c>
      <c r="K27" s="19">
        <v>2014</v>
      </c>
      <c r="L27" s="20">
        <f t="shared" si="0"/>
        <v>8.8251520368222675E-2</v>
      </c>
      <c r="M27" s="99">
        <f t="shared" si="3"/>
        <v>7.2419106056071034E-2</v>
      </c>
      <c r="P27" s="133">
        <v>42004</v>
      </c>
      <c r="Q27">
        <v>17692.2</v>
      </c>
      <c r="R27">
        <v>4870.0718999999999</v>
      </c>
      <c r="T27">
        <f t="shared" si="1"/>
        <v>2014</v>
      </c>
      <c r="U27" s="20">
        <f t="shared" si="2"/>
        <v>3.0697504944997749</v>
      </c>
      <c r="V27" s="20">
        <f t="shared" si="2"/>
        <v>11.760299890464204</v>
      </c>
    </row>
    <row r="28" spans="1:24">
      <c r="A28" s="133">
        <v>42369</v>
      </c>
      <c r="B28">
        <v>3606.7793999999999</v>
      </c>
      <c r="C28" s="20"/>
      <c r="G28" s="133">
        <v>42369</v>
      </c>
      <c r="H28">
        <v>3606.7793999999999</v>
      </c>
      <c r="I28">
        <v>47011</v>
      </c>
      <c r="K28" s="19">
        <v>2015</v>
      </c>
      <c r="L28" s="20">
        <f t="shared" si="0"/>
        <v>7.6722031014017991E-2</v>
      </c>
      <c r="M28" s="99">
        <f t="shared" si="3"/>
        <v>7.6722031014017991E-2</v>
      </c>
      <c r="P28" s="133">
        <v>42369</v>
      </c>
      <c r="Q28">
        <v>18222.8</v>
      </c>
      <c r="R28">
        <v>3606.7793999999999</v>
      </c>
      <c r="T28">
        <f t="shared" si="1"/>
        <v>2015</v>
      </c>
      <c r="U28" s="20">
        <f t="shared" si="2"/>
        <v>3.1618142068917652</v>
      </c>
      <c r="V28" s="20">
        <f t="shared" si="2"/>
        <v>8.7096881224173597</v>
      </c>
    </row>
    <row r="29" spans="1:24">
      <c r="C29" s="99"/>
    </row>
    <row r="30" spans="1:24">
      <c r="H30" s="150">
        <f>(H28/H2)^(1/26)-1</f>
        <v>8.6810802033138845E-2</v>
      </c>
      <c r="I30" s="150">
        <f>(I28/I2)^(1/26)-1</f>
        <v>5.6991646730145451E-2</v>
      </c>
      <c r="J30" s="135">
        <f>H30/I30-1</f>
        <v>0.5232197526101785</v>
      </c>
      <c r="V30" s="150">
        <f>(Q28/Q2)^(1/26)-1</f>
        <v>4.5269602896559569E-2</v>
      </c>
      <c r="W30" s="150">
        <f>(R28/R2)^(1/26)-1</f>
        <v>8.6810802033138845E-2</v>
      </c>
      <c r="X30" s="135">
        <f>W30/V30-1</f>
        <v>0.91764001622679037</v>
      </c>
    </row>
    <row r="48" spans="1:13">
      <c r="A48" s="133" t="s">
        <v>161</v>
      </c>
      <c r="B48" t="s">
        <v>264</v>
      </c>
      <c r="F48" s="133" t="s">
        <v>161</v>
      </c>
      <c r="G48" t="s">
        <v>276</v>
      </c>
      <c r="H48" t="s">
        <v>277</v>
      </c>
      <c r="I48" t="s">
        <v>278</v>
      </c>
      <c r="J48" t="s">
        <v>279</v>
      </c>
      <c r="K48" t="s">
        <v>280</v>
      </c>
      <c r="L48" t="s">
        <v>281</v>
      </c>
      <c r="M48" t="s">
        <v>282</v>
      </c>
    </row>
    <row r="49" spans="1:12">
      <c r="A49" s="133">
        <v>32873</v>
      </c>
      <c r="B49">
        <v>414.1112</v>
      </c>
      <c r="F49" s="134">
        <v>32873</v>
      </c>
      <c r="G49">
        <v>414.1112</v>
      </c>
      <c r="J49">
        <f>AVERAGE(G49:G65)</f>
        <v>778.77689411764709</v>
      </c>
    </row>
    <row r="50" spans="1:12">
      <c r="A50" s="133">
        <v>33238</v>
      </c>
      <c r="B50">
        <v>254.45339999999999</v>
      </c>
      <c r="F50" s="134">
        <v>33238</v>
      </c>
      <c r="G50">
        <v>254.45339999999999</v>
      </c>
      <c r="J50">
        <f>J49</f>
        <v>778.77689411764709</v>
      </c>
    </row>
    <row r="51" spans="1:12">
      <c r="A51" s="133">
        <v>33603</v>
      </c>
      <c r="B51">
        <v>20.552900000000001</v>
      </c>
      <c r="F51" s="134">
        <v>33603</v>
      </c>
      <c r="G51">
        <v>20.552900000000001</v>
      </c>
      <c r="J51">
        <f t="shared" ref="J51:J65" si="6">J50</f>
        <v>778.77689411764709</v>
      </c>
    </row>
    <row r="52" spans="1:12">
      <c r="A52" s="133">
        <v>33969</v>
      </c>
      <c r="B52">
        <v>-169.97059999999999</v>
      </c>
      <c r="F52" s="134">
        <v>33969</v>
      </c>
      <c r="G52">
        <v>-169.97059999999999</v>
      </c>
      <c r="J52">
        <f t="shared" si="6"/>
        <v>778.77689411764709</v>
      </c>
    </row>
    <row r="53" spans="1:12">
      <c r="A53" s="133">
        <v>34334</v>
      </c>
      <c r="B53">
        <v>718.64070000000004</v>
      </c>
      <c r="F53" s="134">
        <v>34334</v>
      </c>
      <c r="G53">
        <v>718.64070000000004</v>
      </c>
      <c r="J53">
        <f t="shared" si="6"/>
        <v>778.77689411764709</v>
      </c>
    </row>
    <row r="54" spans="1:12">
      <c r="A54" s="133">
        <v>34699</v>
      </c>
      <c r="B54">
        <v>1055.7303999999999</v>
      </c>
      <c r="C54" s="20">
        <f>SUM(B50:B54)/SUM(B49:B53)-1</f>
        <v>0.51835969272918869</v>
      </c>
      <c r="F54" s="134">
        <v>34699</v>
      </c>
      <c r="G54">
        <v>1055.7303999999999</v>
      </c>
      <c r="J54">
        <f t="shared" si="6"/>
        <v>778.77689411764709</v>
      </c>
      <c r="K54" s="20"/>
      <c r="L54" s="20"/>
    </row>
    <row r="55" spans="1:12">
      <c r="A55" s="133">
        <v>35064</v>
      </c>
      <c r="B55">
        <v>1490.6881000000001</v>
      </c>
      <c r="C55" s="20">
        <f t="shared" ref="C55:C75" si="7">SUM(B51:B55)/SUM(B50:B54)-1</f>
        <v>0.65777919926649187</v>
      </c>
      <c r="F55" s="134">
        <v>35064</v>
      </c>
      <c r="G55">
        <v>1490.6881000000001</v>
      </c>
      <c r="J55">
        <f t="shared" si="6"/>
        <v>778.77689411764709</v>
      </c>
      <c r="K55" s="20"/>
    </row>
    <row r="56" spans="1:12">
      <c r="A56" s="133">
        <v>35430</v>
      </c>
      <c r="B56">
        <v>1062.8753999999999</v>
      </c>
      <c r="C56" s="20">
        <f t="shared" si="7"/>
        <v>0.33454506880846213</v>
      </c>
      <c r="F56" s="134">
        <v>35430</v>
      </c>
      <c r="G56">
        <v>1062.8753999999999</v>
      </c>
      <c r="J56">
        <f t="shared" si="6"/>
        <v>778.77689411764709</v>
      </c>
      <c r="K56" s="20"/>
    </row>
    <row r="57" spans="1:12">
      <c r="A57" s="133">
        <v>35795</v>
      </c>
      <c r="B57">
        <v>1345.4363000000001</v>
      </c>
      <c r="C57" s="20">
        <f t="shared" si="7"/>
        <v>0.36445887939385724</v>
      </c>
      <c r="F57" s="134">
        <v>35795</v>
      </c>
      <c r="G57">
        <v>1345.4363000000001</v>
      </c>
      <c r="J57">
        <f t="shared" si="6"/>
        <v>778.77689411764709</v>
      </c>
      <c r="K57" s="20"/>
    </row>
    <row r="58" spans="1:12">
      <c r="A58" s="133">
        <v>36160</v>
      </c>
      <c r="B58">
        <v>899.05709999999999</v>
      </c>
      <c r="C58" s="20">
        <f t="shared" si="7"/>
        <v>3.1800564986858237E-2</v>
      </c>
      <c r="F58" s="134">
        <v>36160</v>
      </c>
      <c r="G58">
        <v>899.05709999999999</v>
      </c>
      <c r="J58">
        <f t="shared" si="6"/>
        <v>778.77689411764709</v>
      </c>
      <c r="K58" s="20"/>
    </row>
    <row r="59" spans="1:12">
      <c r="A59" s="133">
        <v>36525</v>
      </c>
      <c r="B59">
        <v>1619.6305</v>
      </c>
      <c r="C59" s="20">
        <f t="shared" si="7"/>
        <v>9.6330814753040395E-2</v>
      </c>
      <c r="F59" s="134">
        <v>36525</v>
      </c>
      <c r="G59">
        <v>1619.6305</v>
      </c>
      <c r="J59">
        <f t="shared" si="6"/>
        <v>778.77689411764709</v>
      </c>
      <c r="K59" s="20"/>
    </row>
    <row r="60" spans="1:12">
      <c r="A60" s="133">
        <v>36891</v>
      </c>
      <c r="B60">
        <v>1002.3869</v>
      </c>
      <c r="C60" s="20">
        <f t="shared" si="7"/>
        <v>-7.6086784781695616E-2</v>
      </c>
      <c r="F60" s="134">
        <v>36891</v>
      </c>
      <c r="G60">
        <v>1002.3869</v>
      </c>
      <c r="J60">
        <f t="shared" si="6"/>
        <v>778.77689411764709</v>
      </c>
      <c r="K60" s="20"/>
    </row>
    <row r="61" spans="1:12">
      <c r="A61" s="133">
        <v>37256</v>
      </c>
      <c r="B61">
        <v>799.86059999999998</v>
      </c>
      <c r="C61" s="20">
        <f t="shared" si="7"/>
        <v>-4.4357846011110036E-2</v>
      </c>
      <c r="D61" s="20">
        <f>SUM(B52:B61)/SUM(B51:B60)-1</f>
        <v>8.6158685837965931E-2</v>
      </c>
      <c r="F61" s="134">
        <v>37256</v>
      </c>
      <c r="G61">
        <v>799.86059999999998</v>
      </c>
      <c r="J61">
        <f t="shared" si="6"/>
        <v>778.77689411764709</v>
      </c>
      <c r="K61" s="20"/>
    </row>
    <row r="62" spans="1:12">
      <c r="A62" s="133">
        <v>37621</v>
      </c>
      <c r="B62">
        <v>706.0018</v>
      </c>
      <c r="C62" s="20">
        <f t="shared" si="7"/>
        <v>-0.11284726235911735</v>
      </c>
      <c r="D62" s="20">
        <f t="shared" ref="D62:D75" si="8">SUM(B53:B62)/SUM(B52:B61)-1</f>
        <v>8.9163527539990017E-2</v>
      </c>
      <c r="F62" s="134">
        <v>37621</v>
      </c>
      <c r="G62">
        <v>706.0018</v>
      </c>
      <c r="J62">
        <f t="shared" si="6"/>
        <v>778.77689411764709</v>
      </c>
      <c r="K62" s="20"/>
    </row>
    <row r="63" spans="1:12">
      <c r="A63" s="133">
        <v>37986</v>
      </c>
      <c r="B63">
        <v>145.68310000000019</v>
      </c>
      <c r="C63" s="20">
        <f t="shared" si="7"/>
        <v>-0.14986740732711412</v>
      </c>
      <c r="D63" s="20">
        <f t="shared" si="8"/>
        <v>-5.3545898931991243E-2</v>
      </c>
      <c r="F63" s="134">
        <v>37986</v>
      </c>
      <c r="G63">
        <v>145.68310000000019</v>
      </c>
      <c r="J63">
        <f t="shared" si="6"/>
        <v>778.77689411764709</v>
      </c>
      <c r="K63" s="20"/>
    </row>
    <row r="64" spans="1:12">
      <c r="A64" s="133">
        <v>38352</v>
      </c>
      <c r="B64">
        <v>288.51929999999993</v>
      </c>
      <c r="C64" s="20">
        <f t="shared" si="7"/>
        <v>-0.31147574778880638</v>
      </c>
      <c r="D64" s="20">
        <f t="shared" si="8"/>
        <v>-7.5756351350425355E-2</v>
      </c>
      <c r="F64" s="134">
        <v>38352</v>
      </c>
      <c r="G64">
        <v>288.51929999999993</v>
      </c>
      <c r="J64">
        <f t="shared" si="6"/>
        <v>778.77689411764709</v>
      </c>
      <c r="K64" s="20"/>
    </row>
    <row r="65" spans="1:13">
      <c r="A65" s="133">
        <v>38717</v>
      </c>
      <c r="B65">
        <v>1585.5500999999999</v>
      </c>
      <c r="C65" s="20">
        <f t="shared" si="7"/>
        <v>0.1981895573680954</v>
      </c>
      <c r="D65" s="20">
        <f t="shared" si="8"/>
        <v>1.0134678447246692E-2</v>
      </c>
      <c r="F65" s="134">
        <v>38717</v>
      </c>
      <c r="G65">
        <v>1585.5500999999999</v>
      </c>
      <c r="J65">
        <f t="shared" si="6"/>
        <v>778.77689411764709</v>
      </c>
      <c r="K65" s="20"/>
    </row>
    <row r="66" spans="1:13">
      <c r="A66" s="133">
        <v>39082</v>
      </c>
      <c r="B66">
        <v>4156.2979999999998</v>
      </c>
      <c r="C66" s="20">
        <f t="shared" si="7"/>
        <v>0.95201475351150777</v>
      </c>
      <c r="D66" s="20">
        <f t="shared" si="8"/>
        <v>0.32717316130190599</v>
      </c>
      <c r="F66" s="134">
        <v>39082</v>
      </c>
      <c r="G66">
        <v>4156.2979999999998</v>
      </c>
      <c r="K66">
        <f>AVERAGE(G66:G75)</f>
        <v>4192.08961</v>
      </c>
    </row>
    <row r="67" spans="1:13">
      <c r="A67" s="133">
        <v>39447</v>
      </c>
      <c r="B67">
        <v>6084.6589999999997</v>
      </c>
      <c r="C67" s="20">
        <f t="shared" si="7"/>
        <v>0.78154843432387167</v>
      </c>
      <c r="D67" s="20">
        <f t="shared" si="8"/>
        <v>0.37767474332254203</v>
      </c>
      <c r="F67" s="134">
        <v>39447</v>
      </c>
      <c r="G67">
        <v>6084.6589999999997</v>
      </c>
      <c r="K67">
        <f>K66</f>
        <v>4192.08961</v>
      </c>
    </row>
    <row r="68" spans="1:13">
      <c r="A68" s="133">
        <v>39813</v>
      </c>
      <c r="B68">
        <v>2690.1903000000002</v>
      </c>
      <c r="C68" s="20">
        <f t="shared" si="7"/>
        <v>0.20753343841969341</v>
      </c>
      <c r="D68" s="20">
        <f t="shared" si="8"/>
        <v>0.10360769526151348</v>
      </c>
      <c r="F68" s="134">
        <v>39813</v>
      </c>
      <c r="G68">
        <v>2690.1903000000002</v>
      </c>
      <c r="K68">
        <f t="shared" ref="K68:K74" si="9">K67</f>
        <v>4192.08961</v>
      </c>
    </row>
    <row r="69" spans="1:13">
      <c r="A69" s="133">
        <v>40178</v>
      </c>
      <c r="B69">
        <v>4099.4304000000002</v>
      </c>
      <c r="C69" s="20">
        <f t="shared" si="7"/>
        <v>0.25740326381038381</v>
      </c>
      <c r="D69" s="20">
        <f t="shared" si="8"/>
        <v>0.12997686183239954</v>
      </c>
      <c r="F69" s="134">
        <v>40178</v>
      </c>
      <c r="G69">
        <v>4099.4304000000002</v>
      </c>
      <c r="K69">
        <f t="shared" si="9"/>
        <v>4192.08961</v>
      </c>
    </row>
    <row r="70" spans="1:13">
      <c r="A70" s="133">
        <v>40543</v>
      </c>
      <c r="B70">
        <v>2678.6587</v>
      </c>
      <c r="C70" s="20">
        <f t="shared" si="7"/>
        <v>5.8718365695791919E-2</v>
      </c>
      <c r="D70" s="20">
        <f t="shared" si="8"/>
        <v>7.7754278754775807E-2</v>
      </c>
      <c r="F70" s="134">
        <v>40543</v>
      </c>
      <c r="G70">
        <v>2678.6587</v>
      </c>
      <c r="K70">
        <f t="shared" si="9"/>
        <v>4192.08961</v>
      </c>
    </row>
    <row r="71" spans="1:13">
      <c r="A71" s="133">
        <v>40908</v>
      </c>
      <c r="B71">
        <v>4355.1401999999998</v>
      </c>
      <c r="C71" s="20">
        <f t="shared" si="7"/>
        <v>1.0088782536496588E-2</v>
      </c>
      <c r="D71" s="20">
        <f t="shared" si="8"/>
        <v>0.15301494957275663</v>
      </c>
      <c r="F71" s="134">
        <v>40908</v>
      </c>
      <c r="G71">
        <v>4355.1401999999998</v>
      </c>
      <c r="K71">
        <f t="shared" si="9"/>
        <v>4192.08961</v>
      </c>
    </row>
    <row r="72" spans="1:13">
      <c r="A72" s="133">
        <v>41274</v>
      </c>
      <c r="B72">
        <v>2322.0257000000001</v>
      </c>
      <c r="C72" s="20">
        <f t="shared" si="7"/>
        <v>-0.18900032371782982</v>
      </c>
      <c r="D72" s="20">
        <f t="shared" si="8"/>
        <v>6.032161268760361E-2</v>
      </c>
      <c r="F72" s="134">
        <v>41274</v>
      </c>
      <c r="G72">
        <v>2322.0257000000001</v>
      </c>
      <c r="K72">
        <f t="shared" si="9"/>
        <v>4192.08961</v>
      </c>
    </row>
    <row r="73" spans="1:13">
      <c r="A73" s="133">
        <v>41639</v>
      </c>
      <c r="B73">
        <v>7057.6424999999999</v>
      </c>
      <c r="C73" s="20">
        <f t="shared" si="7"/>
        <v>0.27050676638816529</v>
      </c>
      <c r="D73" s="20">
        <f t="shared" si="8"/>
        <v>0.24332611888744626</v>
      </c>
      <c r="F73" s="134">
        <v>41639</v>
      </c>
      <c r="G73">
        <v>7057.6424999999999</v>
      </c>
      <c r="K73">
        <f t="shared" si="9"/>
        <v>4192.08961</v>
      </c>
    </row>
    <row r="74" spans="1:13">
      <c r="A74" s="133">
        <v>42004</v>
      </c>
      <c r="B74">
        <v>4870.0718999999999</v>
      </c>
      <c r="C74" s="20">
        <f t="shared" si="7"/>
        <v>3.7568632125227541E-2</v>
      </c>
      <c r="D74" s="20">
        <f t="shared" si="8"/>
        <v>0.12972245839784957</v>
      </c>
      <c r="F74" s="134">
        <v>42004</v>
      </c>
      <c r="G74">
        <v>4870.0718999999999</v>
      </c>
      <c r="K74">
        <f t="shared" si="9"/>
        <v>4192.08961</v>
      </c>
    </row>
    <row r="75" spans="1:13">
      <c r="A75" s="133">
        <v>42369</v>
      </c>
      <c r="B75">
        <v>3606.7793999999999</v>
      </c>
      <c r="C75" s="20">
        <f t="shared" si="7"/>
        <v>4.3607442352514791E-2</v>
      </c>
      <c r="D75" s="20">
        <f t="shared" si="8"/>
        <v>5.0657798976907698E-2</v>
      </c>
      <c r="F75" s="134">
        <v>42369</v>
      </c>
      <c r="G75">
        <v>3606.7793999999999</v>
      </c>
      <c r="H75">
        <f>G75</f>
        <v>3606.7793999999999</v>
      </c>
      <c r="I75">
        <f>G75</f>
        <v>3606.7793999999999</v>
      </c>
      <c r="K75" s="20"/>
    </row>
    <row r="76" spans="1:13">
      <c r="F76" s="134">
        <f>DATE(YEAR(F75+1),MONTH(F75),DAY(F75))</f>
        <v>42735</v>
      </c>
      <c r="H76">
        <v>2453.9742000000001</v>
      </c>
      <c r="I76">
        <v>2293.1965799999998</v>
      </c>
      <c r="K76" s="20"/>
      <c r="L76">
        <f>AVERAGE(H76:H85)</f>
        <v>6170.6868366262497</v>
      </c>
      <c r="M76">
        <f>AVERAGE(I76:I85)</f>
        <v>3298.8636759459027</v>
      </c>
    </row>
    <row r="77" spans="1:13">
      <c r="F77" s="134">
        <f t="shared" ref="F77:F85" si="10">DATE(YEAR(F76+1),MONTH(F76),DAY(F76))</f>
        <v>43100</v>
      </c>
      <c r="H77">
        <v>4703.4505500000005</v>
      </c>
      <c r="I77">
        <v>2728.9039302000001</v>
      </c>
      <c r="K77" s="20"/>
      <c r="L77">
        <f>L76</f>
        <v>6170.6868366262497</v>
      </c>
      <c r="M77">
        <f>M76</f>
        <v>3298.8636759459027</v>
      </c>
    </row>
    <row r="78" spans="1:13">
      <c r="F78" s="134">
        <f t="shared" si="10"/>
        <v>43465</v>
      </c>
      <c r="H78">
        <v>5408.9681325000001</v>
      </c>
      <c r="I78">
        <v>2783.4820088040005</v>
      </c>
      <c r="K78" s="20"/>
      <c r="L78">
        <f t="shared" ref="L78:M85" si="11">L77</f>
        <v>6170.6868366262497</v>
      </c>
      <c r="M78">
        <f t="shared" si="11"/>
        <v>3298.8636759459027</v>
      </c>
    </row>
    <row r="79" spans="1:13">
      <c r="F79" s="134">
        <f t="shared" si="10"/>
        <v>43830</v>
      </c>
      <c r="H79">
        <v>6220.3133523750002</v>
      </c>
      <c r="I79">
        <v>2839.1516489800806</v>
      </c>
      <c r="K79" s="20"/>
      <c r="L79">
        <f t="shared" si="11"/>
        <v>6170.6868366262497</v>
      </c>
      <c r="M79">
        <f t="shared" si="11"/>
        <v>3298.8636759459027</v>
      </c>
    </row>
    <row r="80" spans="1:13">
      <c r="F80" s="134">
        <f t="shared" si="10"/>
        <v>44196</v>
      </c>
      <c r="H80">
        <v>7153.3603552312488</v>
      </c>
      <c r="I80">
        <v>2895.9346819596822</v>
      </c>
      <c r="K80" s="20"/>
      <c r="L80">
        <f t="shared" si="11"/>
        <v>6170.6868366262497</v>
      </c>
      <c r="M80">
        <f t="shared" si="11"/>
        <v>3298.8636759459027</v>
      </c>
    </row>
    <row r="81" spans="1:17">
      <c r="F81" s="134">
        <f t="shared" si="10"/>
        <v>44561</v>
      </c>
      <c r="H81">
        <f>H80*(1+H$87)</f>
        <v>7153.3603552312488</v>
      </c>
      <c r="I81">
        <f>I80*(1+I$87)</f>
        <v>3185.5281501556506</v>
      </c>
      <c r="K81" s="20"/>
      <c r="L81">
        <f t="shared" si="11"/>
        <v>6170.6868366262497</v>
      </c>
      <c r="M81">
        <f t="shared" si="11"/>
        <v>3298.8636759459027</v>
      </c>
    </row>
    <row r="82" spans="1:17">
      <c r="F82" s="134">
        <f t="shared" si="10"/>
        <v>44926</v>
      </c>
      <c r="H82">
        <f t="shared" ref="H82:I85" si="12">H81*(1+H$87)</f>
        <v>7153.3603552312488</v>
      </c>
      <c r="I82">
        <f t="shared" si="12"/>
        <v>3504.0809651712161</v>
      </c>
      <c r="K82" s="20"/>
      <c r="L82">
        <f t="shared" si="11"/>
        <v>6170.6868366262497</v>
      </c>
      <c r="M82">
        <f t="shared" si="11"/>
        <v>3298.8636759459027</v>
      </c>
    </row>
    <row r="83" spans="1:17">
      <c r="F83" s="134">
        <f t="shared" si="10"/>
        <v>45291</v>
      </c>
      <c r="H83">
        <f t="shared" si="12"/>
        <v>7153.3603552312488</v>
      </c>
      <c r="I83">
        <f t="shared" si="12"/>
        <v>3854.4890616883381</v>
      </c>
      <c r="K83" s="20"/>
      <c r="L83">
        <f t="shared" si="11"/>
        <v>6170.6868366262497</v>
      </c>
      <c r="M83">
        <f t="shared" si="11"/>
        <v>3298.8636759459027</v>
      </c>
    </row>
    <row r="84" spans="1:17">
      <c r="F84" s="134">
        <f t="shared" si="10"/>
        <v>45657</v>
      </c>
      <c r="H84">
        <f t="shared" si="12"/>
        <v>7153.3603552312488</v>
      </c>
      <c r="I84">
        <f t="shared" si="12"/>
        <v>4239.9379678571722</v>
      </c>
      <c r="K84" s="20"/>
      <c r="L84">
        <f t="shared" si="11"/>
        <v>6170.6868366262497</v>
      </c>
      <c r="M84">
        <f t="shared" si="11"/>
        <v>3298.8636759459027</v>
      </c>
    </row>
    <row r="85" spans="1:17">
      <c r="F85" s="134">
        <f t="shared" si="10"/>
        <v>46022</v>
      </c>
      <c r="H85">
        <f t="shared" si="12"/>
        <v>7153.3603552312488</v>
      </c>
      <c r="I85">
        <f t="shared" si="12"/>
        <v>4663.9317646428899</v>
      </c>
      <c r="K85" s="20"/>
      <c r="L85">
        <f t="shared" si="11"/>
        <v>6170.6868366262497</v>
      </c>
      <c r="M85">
        <f t="shared" si="11"/>
        <v>3298.8636759459027</v>
      </c>
    </row>
    <row r="87" spans="1:17">
      <c r="H87" s="99">
        <v>0</v>
      </c>
      <c r="I87" s="99">
        <v>0.1</v>
      </c>
    </row>
    <row r="90" spans="1:17">
      <c r="A90" s="133" t="s">
        <v>161</v>
      </c>
      <c r="C90" t="s">
        <v>283</v>
      </c>
      <c r="D90" t="s">
        <v>284</v>
      </c>
      <c r="F90" s="133" t="s">
        <v>161</v>
      </c>
      <c r="G90" t="s">
        <v>285</v>
      </c>
      <c r="L90" t="s">
        <v>283</v>
      </c>
      <c r="M90" t="s">
        <v>284</v>
      </c>
      <c r="P90" t="s">
        <v>286</v>
      </c>
      <c r="Q90" t="s">
        <v>287</v>
      </c>
    </row>
    <row r="91" spans="1:17">
      <c r="A91" s="133">
        <v>32873</v>
      </c>
      <c r="B91" s="19">
        <v>414.1112</v>
      </c>
      <c r="C91" s="19"/>
      <c r="F91" s="19">
        <v>1989</v>
      </c>
      <c r="G91" s="19">
        <v>414.1112</v>
      </c>
      <c r="K91" s="19">
        <v>1994</v>
      </c>
      <c r="L91" s="150">
        <v>0.51835969272918869</v>
      </c>
      <c r="M91" s="150"/>
      <c r="O91" s="19">
        <v>1994</v>
      </c>
      <c r="P91" s="150">
        <v>0.51835969272918869</v>
      </c>
      <c r="Q91" s="150"/>
    </row>
    <row r="92" spans="1:17">
      <c r="A92" s="133">
        <v>33238</v>
      </c>
      <c r="B92" s="19">
        <v>254.45339999999999</v>
      </c>
      <c r="C92" s="19"/>
      <c r="F92" s="19">
        <v>1990</v>
      </c>
      <c r="G92" s="19">
        <v>254.45339999999999</v>
      </c>
      <c r="K92" s="19">
        <v>1995</v>
      </c>
      <c r="L92" s="150">
        <v>0.65777919926649187</v>
      </c>
      <c r="M92" s="150"/>
      <c r="O92" s="19">
        <v>1995</v>
      </c>
      <c r="P92" s="150">
        <v>0.65777919926649187</v>
      </c>
      <c r="Q92" s="150"/>
    </row>
    <row r="93" spans="1:17">
      <c r="A93" s="133">
        <v>33603</v>
      </c>
      <c r="B93" s="19">
        <v>20.552900000000001</v>
      </c>
      <c r="C93" s="19"/>
      <c r="F93" s="19">
        <v>1991</v>
      </c>
      <c r="G93" s="19">
        <v>20.552900000000001</v>
      </c>
      <c r="K93" s="19">
        <v>1996</v>
      </c>
      <c r="L93" s="150">
        <v>0.33454506880846213</v>
      </c>
      <c r="M93" s="150"/>
      <c r="O93" s="19">
        <v>1996</v>
      </c>
      <c r="P93" s="150">
        <v>0.33454506880846213</v>
      </c>
      <c r="Q93" s="150"/>
    </row>
    <row r="94" spans="1:17">
      <c r="A94" s="133">
        <v>33969</v>
      </c>
      <c r="B94" s="19">
        <v>-169.97059999999999</v>
      </c>
      <c r="C94" s="19"/>
      <c r="F94" s="19">
        <v>1992</v>
      </c>
      <c r="G94" s="19">
        <v>-169.97059999999999</v>
      </c>
      <c r="K94" s="19">
        <v>1997</v>
      </c>
      <c r="L94" s="150">
        <v>0.36445887939385724</v>
      </c>
      <c r="M94" s="150"/>
      <c r="O94" s="19">
        <v>1997</v>
      </c>
      <c r="P94" s="150">
        <v>0.36445887939385724</v>
      </c>
      <c r="Q94" s="150"/>
    </row>
    <row r="95" spans="1:17">
      <c r="A95" s="133">
        <v>34334</v>
      </c>
      <c r="B95" s="19">
        <v>718.64070000000004</v>
      </c>
      <c r="C95" s="19"/>
      <c r="F95" s="19">
        <v>1993</v>
      </c>
      <c r="G95" s="19">
        <v>718.64070000000004</v>
      </c>
      <c r="K95" s="19">
        <v>1998</v>
      </c>
      <c r="L95" s="150">
        <v>3.1800564986858237E-2</v>
      </c>
      <c r="M95" s="150"/>
      <c r="O95" s="19">
        <v>1998</v>
      </c>
      <c r="P95" s="150">
        <v>3.1800564986858237E-2</v>
      </c>
      <c r="Q95" s="150"/>
    </row>
    <row r="96" spans="1:17">
      <c r="A96" s="133">
        <v>34699</v>
      </c>
      <c r="B96" s="19">
        <v>1055.7303999999999</v>
      </c>
      <c r="C96" s="20">
        <f>SUM(B92:B96)/SUM(B91:B95)-1</f>
        <v>0.51835969272918869</v>
      </c>
      <c r="F96" s="19">
        <v>1994</v>
      </c>
      <c r="G96" s="19">
        <v>1055.7303999999999</v>
      </c>
      <c r="H96" s="20">
        <f>SUM(G92:G96)/SUM(G91:G95)-1</f>
        <v>0.51835969272918869</v>
      </c>
      <c r="K96" s="19">
        <v>1999</v>
      </c>
      <c r="L96" s="150">
        <v>9.6330814753040395E-2</v>
      </c>
      <c r="M96" s="150"/>
      <c r="O96" s="19">
        <v>1999</v>
      </c>
      <c r="P96" s="150">
        <v>9.6330814753040395E-2</v>
      </c>
      <c r="Q96" s="150"/>
    </row>
    <row r="97" spans="1:17">
      <c r="A97" s="133">
        <v>35064</v>
      </c>
      <c r="B97" s="19">
        <v>1490.6881000000001</v>
      </c>
      <c r="C97" s="20">
        <f t="shared" ref="C97:C127" si="13">SUM(B93:B97)/SUM(B92:B96)-1</f>
        <v>0.65777919926649187</v>
      </c>
      <c r="F97" s="19">
        <v>1995</v>
      </c>
      <c r="G97" s="19">
        <v>1490.6881000000001</v>
      </c>
      <c r="H97" s="20">
        <f t="shared" ref="H97:H127" si="14">SUM(G93:G97)/SUM(G92:G96)-1</f>
        <v>0.65777919926649187</v>
      </c>
      <c r="K97" s="19">
        <v>2000</v>
      </c>
      <c r="L97" s="150">
        <v>-7.6086784781695616E-2</v>
      </c>
      <c r="M97" s="150"/>
      <c r="O97" s="19">
        <v>2000</v>
      </c>
      <c r="P97" s="150">
        <v>-7.6086784781695616E-2</v>
      </c>
      <c r="Q97" s="150"/>
    </row>
    <row r="98" spans="1:17">
      <c r="A98" s="133">
        <v>35430</v>
      </c>
      <c r="B98" s="19">
        <v>1062.8753999999999</v>
      </c>
      <c r="C98" s="20">
        <f t="shared" si="13"/>
        <v>0.33454506880846213</v>
      </c>
      <c r="F98" s="19">
        <v>1996</v>
      </c>
      <c r="G98" s="19">
        <v>1062.8753999999999</v>
      </c>
      <c r="H98" s="20">
        <f t="shared" si="14"/>
        <v>0.33454506880846213</v>
      </c>
      <c r="K98" s="19">
        <v>2001</v>
      </c>
      <c r="L98" s="150">
        <v>-4.4357846011110036E-2</v>
      </c>
      <c r="M98" s="150">
        <v>8.6158685837965931E-2</v>
      </c>
      <c r="O98" s="19">
        <v>2001</v>
      </c>
      <c r="P98" s="150">
        <v>-4.4357846011110036E-2</v>
      </c>
      <c r="Q98" s="150">
        <v>8.6158685837965931E-2</v>
      </c>
    </row>
    <row r="99" spans="1:17">
      <c r="A99" s="133">
        <v>35795</v>
      </c>
      <c r="B99" s="19">
        <v>1345.4363000000001</v>
      </c>
      <c r="C99" s="20">
        <f t="shared" si="13"/>
        <v>0.36445887939385724</v>
      </c>
      <c r="F99" s="19">
        <v>1997</v>
      </c>
      <c r="G99" s="19">
        <v>1345.4363000000001</v>
      </c>
      <c r="H99" s="20">
        <f t="shared" si="14"/>
        <v>0.36445887939385724</v>
      </c>
      <c r="K99" s="19">
        <v>2002</v>
      </c>
      <c r="L99" s="150">
        <v>-0.11284726235911735</v>
      </c>
      <c r="M99" s="150">
        <v>8.9163527539990017E-2</v>
      </c>
      <c r="O99" s="19">
        <v>2002</v>
      </c>
      <c r="P99" s="150">
        <v>-0.11284726235911735</v>
      </c>
      <c r="Q99" s="150">
        <v>8.9163527539990017E-2</v>
      </c>
    </row>
    <row r="100" spans="1:17">
      <c r="A100" s="133">
        <v>36160</v>
      </c>
      <c r="B100" s="19">
        <v>899.05709999999999</v>
      </c>
      <c r="C100" s="20">
        <f t="shared" si="13"/>
        <v>3.1800564986858237E-2</v>
      </c>
      <c r="F100" s="19">
        <v>1998</v>
      </c>
      <c r="G100" s="19">
        <v>899.05709999999999</v>
      </c>
      <c r="H100" s="20">
        <f t="shared" si="14"/>
        <v>3.1800564986858237E-2</v>
      </c>
      <c r="K100" s="19">
        <v>2003</v>
      </c>
      <c r="L100" s="150">
        <v>-0.14986740732711412</v>
      </c>
      <c r="M100" s="150">
        <v>-5.3545898931991243E-2</v>
      </c>
      <c r="O100" s="19">
        <v>2003</v>
      </c>
      <c r="P100" s="150">
        <v>-0.14986740732711412</v>
      </c>
      <c r="Q100" s="150">
        <v>-5.3545898931991243E-2</v>
      </c>
    </row>
    <row r="101" spans="1:17">
      <c r="A101" s="133">
        <v>36525</v>
      </c>
      <c r="B101" s="19">
        <v>1619.6305</v>
      </c>
      <c r="C101" s="20">
        <f t="shared" si="13"/>
        <v>9.6330814753040395E-2</v>
      </c>
      <c r="F101" s="19">
        <v>1999</v>
      </c>
      <c r="G101" s="19">
        <v>1619.6305</v>
      </c>
      <c r="H101" s="20">
        <f t="shared" si="14"/>
        <v>9.6330814753040395E-2</v>
      </c>
      <c r="K101" s="19">
        <v>2004</v>
      </c>
      <c r="L101" s="150">
        <v>-0.31147574778880638</v>
      </c>
      <c r="M101" s="150">
        <v>-7.5756351350425355E-2</v>
      </c>
      <c r="O101" s="19">
        <v>2004</v>
      </c>
      <c r="P101" s="150">
        <v>-0.31147574778880638</v>
      </c>
      <c r="Q101" s="150">
        <v>-7.5756351350425355E-2</v>
      </c>
    </row>
    <row r="102" spans="1:17">
      <c r="A102" s="133">
        <v>36891</v>
      </c>
      <c r="B102" s="19">
        <v>1002.3869</v>
      </c>
      <c r="C102" s="20">
        <f t="shared" si="13"/>
        <v>-7.6086784781695616E-2</v>
      </c>
      <c r="F102" s="19">
        <v>2000</v>
      </c>
      <c r="G102" s="19">
        <v>1002.3869</v>
      </c>
      <c r="H102" s="20">
        <f t="shared" si="14"/>
        <v>-7.6086784781695616E-2</v>
      </c>
      <c r="K102" s="19">
        <v>2005</v>
      </c>
      <c r="L102" s="150">
        <v>0.1981895573680954</v>
      </c>
      <c r="M102" s="150">
        <v>1.0134678447246692E-2</v>
      </c>
      <c r="O102" s="19">
        <v>2005</v>
      </c>
      <c r="P102" s="150">
        <v>0.1981895573680954</v>
      </c>
      <c r="Q102" s="150">
        <v>1.0134678447246692E-2</v>
      </c>
    </row>
    <row r="103" spans="1:17">
      <c r="A103" s="133">
        <v>37256</v>
      </c>
      <c r="B103" s="19">
        <v>799.86059999999998</v>
      </c>
      <c r="C103" s="20">
        <f t="shared" si="13"/>
        <v>-4.4357846011110036E-2</v>
      </c>
      <c r="D103" s="20">
        <f>SUM(B94:B103)/SUM(B93:B102)-1</f>
        <v>8.6158685837965931E-2</v>
      </c>
      <c r="F103" s="19">
        <v>2001</v>
      </c>
      <c r="G103" s="19">
        <v>799.86059999999998</v>
      </c>
      <c r="H103" s="20">
        <f t="shared" si="14"/>
        <v>-4.4357846011110036E-2</v>
      </c>
      <c r="I103" s="20">
        <f>SUM(G94:G103)/SUM(G93:G102)-1</f>
        <v>8.6158685837965931E-2</v>
      </c>
      <c r="K103" s="19">
        <v>2006</v>
      </c>
      <c r="L103" s="150">
        <v>0.95201475351150777</v>
      </c>
      <c r="M103" s="150">
        <v>0.32717316130190599</v>
      </c>
      <c r="O103" s="19">
        <v>2006</v>
      </c>
      <c r="P103" s="150">
        <v>0.95201475351150777</v>
      </c>
      <c r="Q103" s="150">
        <v>0.32717316130190599</v>
      </c>
    </row>
    <row r="104" spans="1:17">
      <c r="A104" s="133">
        <v>37621</v>
      </c>
      <c r="B104" s="19">
        <v>706.0018</v>
      </c>
      <c r="C104" s="20">
        <f t="shared" si="13"/>
        <v>-0.11284726235911735</v>
      </c>
      <c r="D104" s="20">
        <f t="shared" ref="D104:D117" si="15">SUM(B95:B104)/SUM(B94:B103)-1</f>
        <v>8.9163527539990017E-2</v>
      </c>
      <c r="F104" s="19">
        <v>2002</v>
      </c>
      <c r="G104" s="19">
        <v>706.0018</v>
      </c>
      <c r="H104" s="20">
        <f t="shared" si="14"/>
        <v>-0.11284726235911735</v>
      </c>
      <c r="I104" s="20">
        <f t="shared" ref="I104:I127" si="16">SUM(G95:G104)/SUM(G94:G103)-1</f>
        <v>8.9163527539990017E-2</v>
      </c>
      <c r="K104" s="19">
        <v>2007</v>
      </c>
      <c r="L104" s="150">
        <v>0.78154843432387167</v>
      </c>
      <c r="M104" s="150">
        <v>0.37767474332254203</v>
      </c>
      <c r="O104" s="19">
        <v>2007</v>
      </c>
      <c r="P104" s="150">
        <v>0.78154843432387167</v>
      </c>
      <c r="Q104" s="150">
        <v>0.37767474332254203</v>
      </c>
    </row>
    <row r="105" spans="1:17">
      <c r="A105" s="133">
        <v>37986</v>
      </c>
      <c r="B105" s="19">
        <v>145.68310000000019</v>
      </c>
      <c r="C105" s="20">
        <f t="shared" si="13"/>
        <v>-0.14986740732711412</v>
      </c>
      <c r="D105" s="20">
        <f t="shared" si="15"/>
        <v>-5.3545898931991243E-2</v>
      </c>
      <c r="F105" s="19">
        <v>2003</v>
      </c>
      <c r="G105" s="19">
        <v>145.68310000000019</v>
      </c>
      <c r="H105" s="20">
        <f t="shared" si="14"/>
        <v>-0.14986740732711412</v>
      </c>
      <c r="I105" s="20">
        <f t="shared" si="16"/>
        <v>-5.3545898931991243E-2</v>
      </c>
      <c r="K105" s="19">
        <v>2008</v>
      </c>
      <c r="L105" s="150">
        <v>0.20753343841969341</v>
      </c>
      <c r="M105" s="150">
        <v>0.10360769526151348</v>
      </c>
      <c r="O105" s="19">
        <v>2008</v>
      </c>
      <c r="P105" s="150">
        <v>0.20753343841969341</v>
      </c>
      <c r="Q105" s="150">
        <v>0.10360769526151348</v>
      </c>
    </row>
    <row r="106" spans="1:17">
      <c r="A106" s="133">
        <v>38352</v>
      </c>
      <c r="B106" s="19">
        <v>288.51929999999993</v>
      </c>
      <c r="C106" s="20">
        <f t="shared" si="13"/>
        <v>-0.31147574778880638</v>
      </c>
      <c r="D106" s="20">
        <f t="shared" si="15"/>
        <v>-7.5756351350425355E-2</v>
      </c>
      <c r="F106" s="19">
        <v>2004</v>
      </c>
      <c r="G106" s="19">
        <v>288.51929999999993</v>
      </c>
      <c r="H106" s="20">
        <f t="shared" si="14"/>
        <v>-0.31147574778880638</v>
      </c>
      <c r="I106" s="20">
        <f t="shared" si="16"/>
        <v>-7.5756351350425355E-2</v>
      </c>
      <c r="K106" s="19">
        <v>2009</v>
      </c>
      <c r="L106" s="150">
        <v>0.25740326381038381</v>
      </c>
      <c r="M106" s="150">
        <v>0.12997686183239954</v>
      </c>
      <c r="O106" s="19">
        <v>2009</v>
      </c>
      <c r="P106" s="150">
        <v>0.25740326381038381</v>
      </c>
      <c r="Q106" s="150">
        <v>0.12997686183239954</v>
      </c>
    </row>
    <row r="107" spans="1:17">
      <c r="A107" s="133">
        <v>38717</v>
      </c>
      <c r="B107" s="19">
        <v>1585.5500999999999</v>
      </c>
      <c r="C107" s="20">
        <f t="shared" si="13"/>
        <v>0.1981895573680954</v>
      </c>
      <c r="D107" s="20">
        <f t="shared" si="15"/>
        <v>1.0134678447246692E-2</v>
      </c>
      <c r="F107" s="19">
        <v>2005</v>
      </c>
      <c r="G107" s="19">
        <v>1585.5500999999999</v>
      </c>
      <c r="H107" s="20">
        <f t="shared" si="14"/>
        <v>0.1981895573680954</v>
      </c>
      <c r="I107" s="20">
        <f t="shared" si="16"/>
        <v>1.0134678447246692E-2</v>
      </c>
      <c r="K107" s="19">
        <v>2010</v>
      </c>
      <c r="L107" s="150">
        <v>5.8718365695791919E-2</v>
      </c>
      <c r="M107" s="150">
        <v>7.7754278754775807E-2</v>
      </c>
      <c r="O107" s="19">
        <v>2010</v>
      </c>
      <c r="P107" s="150">
        <v>5.8718365695791919E-2</v>
      </c>
      <c r="Q107" s="150">
        <v>7.7754278754775807E-2</v>
      </c>
    </row>
    <row r="108" spans="1:17">
      <c r="A108" s="133">
        <v>39082</v>
      </c>
      <c r="B108" s="19">
        <v>4156.2979999999998</v>
      </c>
      <c r="C108" s="20">
        <f t="shared" si="13"/>
        <v>0.95201475351150777</v>
      </c>
      <c r="D108" s="20">
        <f t="shared" si="15"/>
        <v>0.32717316130190599</v>
      </c>
      <c r="F108" s="19">
        <v>2006</v>
      </c>
      <c r="G108" s="19">
        <v>4156.2979999999998</v>
      </c>
      <c r="H108" s="20">
        <f t="shared" si="14"/>
        <v>0.95201475351150777</v>
      </c>
      <c r="I108" s="20">
        <f t="shared" si="16"/>
        <v>0.32717316130190599</v>
      </c>
      <c r="K108" s="19">
        <v>2011</v>
      </c>
      <c r="L108" s="150">
        <v>1.0088782536496588E-2</v>
      </c>
      <c r="M108" s="150">
        <v>0.15301494957275663</v>
      </c>
      <c r="O108" s="19">
        <v>2011</v>
      </c>
      <c r="P108" s="150">
        <v>1.0088782536496588E-2</v>
      </c>
      <c r="Q108" s="150">
        <v>0.15301494957275663</v>
      </c>
    </row>
    <row r="109" spans="1:17">
      <c r="A109" s="133">
        <v>39447</v>
      </c>
      <c r="B109" s="19">
        <v>6084.6589999999997</v>
      </c>
      <c r="C109" s="20">
        <f t="shared" si="13"/>
        <v>0.78154843432387167</v>
      </c>
      <c r="D109" s="20">
        <f t="shared" si="15"/>
        <v>0.37767474332254203</v>
      </c>
      <c r="F109" s="19">
        <v>2007</v>
      </c>
      <c r="G109" s="19">
        <v>6084.6589999999997</v>
      </c>
      <c r="H109" s="20">
        <f t="shared" si="14"/>
        <v>0.78154843432387167</v>
      </c>
      <c r="I109" s="20">
        <f t="shared" si="16"/>
        <v>0.37767474332254203</v>
      </c>
      <c r="K109" s="19">
        <v>2012</v>
      </c>
      <c r="L109" s="150">
        <v>-0.18900032371782982</v>
      </c>
      <c r="M109" s="150">
        <v>6.032161268760361E-2</v>
      </c>
      <c r="O109" s="19">
        <v>2012</v>
      </c>
      <c r="P109" s="150">
        <v>-0.18900032371782982</v>
      </c>
      <c r="Q109" s="150">
        <v>6.032161268760361E-2</v>
      </c>
    </row>
    <row r="110" spans="1:17">
      <c r="A110" s="133">
        <v>39813</v>
      </c>
      <c r="B110" s="19">
        <v>2690.1903000000002</v>
      </c>
      <c r="C110" s="20">
        <f t="shared" si="13"/>
        <v>0.20753343841969341</v>
      </c>
      <c r="D110" s="20">
        <f t="shared" si="15"/>
        <v>0.10360769526151348</v>
      </c>
      <c r="F110" s="19">
        <v>2008</v>
      </c>
      <c r="G110" s="19">
        <v>2690.1903000000002</v>
      </c>
      <c r="H110" s="20">
        <f t="shared" si="14"/>
        <v>0.20753343841969341</v>
      </c>
      <c r="I110" s="20">
        <f t="shared" si="16"/>
        <v>0.10360769526151348</v>
      </c>
      <c r="K110" s="19">
        <v>2013</v>
      </c>
      <c r="L110" s="150">
        <v>0.27050676638816529</v>
      </c>
      <c r="M110" s="150">
        <v>0.24332611888744626</v>
      </c>
      <c r="O110" s="19">
        <v>2013</v>
      </c>
      <c r="P110" s="150">
        <v>0.27050676638816529</v>
      </c>
      <c r="Q110" s="150">
        <v>0.24332611888744626</v>
      </c>
    </row>
    <row r="111" spans="1:17">
      <c r="A111" s="133">
        <v>40178</v>
      </c>
      <c r="B111" s="19">
        <v>4099.4304000000002</v>
      </c>
      <c r="C111" s="20">
        <f t="shared" si="13"/>
        <v>0.25740326381038381</v>
      </c>
      <c r="D111" s="20">
        <f t="shared" si="15"/>
        <v>0.12997686183239954</v>
      </c>
      <c r="F111" s="19">
        <v>2009</v>
      </c>
      <c r="G111" s="19">
        <v>4099.4304000000002</v>
      </c>
      <c r="H111" s="20">
        <f t="shared" si="14"/>
        <v>0.25740326381038381</v>
      </c>
      <c r="I111" s="20">
        <f t="shared" si="16"/>
        <v>0.12997686183239954</v>
      </c>
      <c r="K111" s="19">
        <v>2014</v>
      </c>
      <c r="L111" s="150">
        <v>3.7568632125227541E-2</v>
      </c>
      <c r="M111" s="150">
        <v>0.12972245839784957</v>
      </c>
      <c r="O111" s="19">
        <v>2014</v>
      </c>
      <c r="P111" s="150">
        <v>3.7568632125227541E-2</v>
      </c>
      <c r="Q111" s="150">
        <v>0.12972245839784957</v>
      </c>
    </row>
    <row r="112" spans="1:17">
      <c r="A112" s="133">
        <v>40543</v>
      </c>
      <c r="B112" s="19">
        <v>2678.6587</v>
      </c>
      <c r="C112" s="20">
        <f t="shared" si="13"/>
        <v>5.8718365695791919E-2</v>
      </c>
      <c r="D112" s="20">
        <f t="shared" si="15"/>
        <v>7.7754278754775807E-2</v>
      </c>
      <c r="F112" s="19">
        <v>2010</v>
      </c>
      <c r="G112" s="19">
        <v>2678.6587</v>
      </c>
      <c r="H112" s="20">
        <f t="shared" si="14"/>
        <v>5.8718365695791919E-2</v>
      </c>
      <c r="I112" s="20">
        <f t="shared" si="16"/>
        <v>7.7754278754775807E-2</v>
      </c>
      <c r="K112" s="19">
        <v>2015</v>
      </c>
      <c r="L112" s="150">
        <v>4.3607442352514791E-2</v>
      </c>
      <c r="M112" s="150">
        <v>5.0657798976907698E-2</v>
      </c>
      <c r="O112" s="19">
        <v>2015</v>
      </c>
      <c r="P112" s="150">
        <v>4.3607442352514791E-2</v>
      </c>
      <c r="Q112" s="150">
        <v>5.0657798976907698E-2</v>
      </c>
    </row>
    <row r="113" spans="1:17">
      <c r="A113" s="133">
        <v>40908</v>
      </c>
      <c r="B113" s="19">
        <v>4355.1401999999998</v>
      </c>
      <c r="C113" s="20">
        <f t="shared" si="13"/>
        <v>1.0088782536496588E-2</v>
      </c>
      <c r="D113" s="20">
        <f t="shared" si="15"/>
        <v>0.15301494957275663</v>
      </c>
      <c r="F113" s="19">
        <v>2011</v>
      </c>
      <c r="G113" s="19">
        <v>4355.1401999999998</v>
      </c>
      <c r="H113" s="20">
        <f t="shared" si="14"/>
        <v>1.0088782536496588E-2</v>
      </c>
      <c r="I113" s="20">
        <f t="shared" si="16"/>
        <v>0.15301494957275663</v>
      </c>
      <c r="K113" s="19">
        <v>2016</v>
      </c>
      <c r="L113" s="150">
        <v>-8.5593153581404846E-2</v>
      </c>
      <c r="M113" s="150">
        <v>-4.0608001220660883E-2</v>
      </c>
      <c r="O113" s="19">
        <v>2016</v>
      </c>
      <c r="P113" s="150">
        <v>-9.2831587006530714E-2</v>
      </c>
      <c r="Q113" s="150">
        <v>-4.4443263224995588E-2</v>
      </c>
    </row>
    <row r="114" spans="1:17">
      <c r="A114" s="133">
        <v>41274</v>
      </c>
      <c r="B114" s="19">
        <v>2322.0257000000001</v>
      </c>
      <c r="C114" s="20">
        <f t="shared" si="13"/>
        <v>-0.18900032371782982</v>
      </c>
      <c r="D114" s="20">
        <f t="shared" si="15"/>
        <v>6.032161268760361E-2</v>
      </c>
      <c r="F114" s="19">
        <v>2012</v>
      </c>
      <c r="G114" s="19">
        <v>2322.0257000000001</v>
      </c>
      <c r="H114" s="20">
        <f t="shared" si="14"/>
        <v>-0.18900032371782982</v>
      </c>
      <c r="I114" s="20">
        <f t="shared" si="16"/>
        <v>6.032161268760361E-2</v>
      </c>
      <c r="K114" s="19">
        <v>2017</v>
      </c>
      <c r="L114" s="150">
        <v>0.11725095830634591</v>
      </c>
      <c r="M114" s="150">
        <v>-3.4342552980181185E-2</v>
      </c>
      <c r="O114" s="19">
        <v>2017</v>
      </c>
      <c r="P114" s="150">
        <v>1.0898441875216713E-2</v>
      </c>
      <c r="Q114" s="150">
        <v>-8.8448024131217773E-2</v>
      </c>
    </row>
    <row r="115" spans="1:17">
      <c r="A115" s="133">
        <v>41639</v>
      </c>
      <c r="B115" s="19">
        <v>7057.6424999999999</v>
      </c>
      <c r="C115" s="20">
        <f t="shared" si="13"/>
        <v>0.27050676638816529</v>
      </c>
      <c r="D115" s="20">
        <f t="shared" si="15"/>
        <v>0.24332611888744626</v>
      </c>
      <c r="F115" s="19">
        <v>2013</v>
      </c>
      <c r="G115" s="19">
        <v>7057.6424999999999</v>
      </c>
      <c r="H115" s="20">
        <f t="shared" si="14"/>
        <v>0.27050676638816529</v>
      </c>
      <c r="I115" s="20">
        <f t="shared" si="16"/>
        <v>0.24332611888744626</v>
      </c>
      <c r="K115" s="19">
        <v>2018</v>
      </c>
      <c r="L115" s="150">
        <v>-7.2654692632853846E-2</v>
      </c>
      <c r="M115" s="150">
        <v>7.0004180587555309E-2</v>
      </c>
      <c r="O115" s="19">
        <v>2018</v>
      </c>
      <c r="P115" s="150">
        <v>-0.22794567410123256</v>
      </c>
      <c r="Q115" s="150">
        <v>-7.5488757617850899E-3</v>
      </c>
    </row>
    <row r="116" spans="1:17">
      <c r="A116" s="133">
        <v>42004</v>
      </c>
      <c r="B116" s="19">
        <v>4870.0718999999999</v>
      </c>
      <c r="C116" s="20">
        <f t="shared" si="13"/>
        <v>3.7568632125227541E-2</v>
      </c>
      <c r="D116" s="20">
        <f t="shared" si="15"/>
        <v>0.12972245839784957</v>
      </c>
      <c r="F116" s="19">
        <v>2014</v>
      </c>
      <c r="G116" s="19">
        <v>4870.0718999999999</v>
      </c>
      <c r="H116" s="20">
        <f t="shared" si="14"/>
        <v>3.7568632125227541E-2</v>
      </c>
      <c r="I116" s="20">
        <f t="shared" si="16"/>
        <v>0.12972245839784957</v>
      </c>
      <c r="K116" s="19">
        <v>2019</v>
      </c>
      <c r="L116" s="150">
        <v>6.4165080282530429E-2</v>
      </c>
      <c r="M116" s="150">
        <v>5.1036570444366935E-2</v>
      </c>
      <c r="O116" s="19">
        <v>2019</v>
      </c>
      <c r="P116" s="150">
        <v>-0.15614223627222368</v>
      </c>
      <c r="Q116" s="150">
        <v>-4.6493559011255403E-2</v>
      </c>
    </row>
    <row r="117" spans="1:17">
      <c r="A117" s="133">
        <v>42369</v>
      </c>
      <c r="B117" s="19">
        <v>3606.7793999999999</v>
      </c>
      <c r="C117" s="20">
        <f t="shared" si="13"/>
        <v>4.3607442352514791E-2</v>
      </c>
      <c r="D117" s="20">
        <f t="shared" si="15"/>
        <v>5.0657798976907698E-2</v>
      </c>
      <c r="F117" s="19">
        <v>2015</v>
      </c>
      <c r="G117" s="19">
        <v>3606.7793999999999</v>
      </c>
      <c r="H117" s="20">
        <f t="shared" si="14"/>
        <v>4.3607442352514791E-2</v>
      </c>
      <c r="I117" s="20">
        <f t="shared" si="16"/>
        <v>5.0657798976907698E-2</v>
      </c>
      <c r="K117" s="19">
        <v>2020</v>
      </c>
      <c r="L117" s="150">
        <v>0.15837556569165345</v>
      </c>
      <c r="M117" s="150">
        <v>0.10244978206822064</v>
      </c>
      <c r="O117" s="19">
        <v>2020</v>
      </c>
      <c r="P117" s="150">
        <v>-8.9839663379536083E-2</v>
      </c>
      <c r="Q117" s="150">
        <v>-7.6434576440193025E-3</v>
      </c>
    </row>
    <row r="118" spans="1:17">
      <c r="A118" s="133">
        <f>DATE(YEAR(A117+1),MONTH(A117),DAY(A117))</f>
        <v>42735</v>
      </c>
      <c r="B118" s="19">
        <f>H76</f>
        <v>2453.9742000000001</v>
      </c>
      <c r="C118" s="20">
        <f t="shared" si="13"/>
        <v>-8.5593153581404846E-2</v>
      </c>
      <c r="D118" s="20">
        <f t="shared" ref="D118:D127" si="17">SUM(B109:B118)/SUM(B108:B117)-1</f>
        <v>-4.0608001220660883E-2</v>
      </c>
      <c r="F118" s="19">
        <v>2016</v>
      </c>
      <c r="G118">
        <f>I76</f>
        <v>2293.1965799999998</v>
      </c>
      <c r="H118" s="20">
        <f t="shared" si="14"/>
        <v>-9.2831587006530714E-2</v>
      </c>
      <c r="I118" s="20">
        <f t="shared" si="16"/>
        <v>-4.4443263224995588E-2</v>
      </c>
      <c r="K118" s="19">
        <v>2021</v>
      </c>
      <c r="L118" s="150">
        <f>C123</f>
        <v>0.18116322635130144</v>
      </c>
      <c r="M118" s="150">
        <f>D123</f>
        <v>5.8112561497222881E-2</v>
      </c>
      <c r="O118" s="19">
        <v>2021</v>
      </c>
      <c r="P118" s="150">
        <f>H123</f>
        <v>6.590011025632303E-2</v>
      </c>
      <c r="Q118" s="150">
        <f>I123</f>
        <v>-3.2714290153450398E-2</v>
      </c>
    </row>
    <row r="119" spans="1:17">
      <c r="A119" s="133">
        <f t="shared" ref="A119:A127" si="18">DATE(YEAR(A118+1),MONTH(A118),DAY(A118))</f>
        <v>43100</v>
      </c>
      <c r="B119" s="19">
        <f t="shared" ref="B119:B122" si="19">H77</f>
        <v>4703.4505500000005</v>
      </c>
      <c r="C119" s="20">
        <f t="shared" si="13"/>
        <v>0.11725095830634591</v>
      </c>
      <c r="D119" s="20">
        <f t="shared" si="17"/>
        <v>-3.4342552980181185E-2</v>
      </c>
      <c r="F119" s="19">
        <v>2017</v>
      </c>
      <c r="G119">
        <f t="shared" ref="G119:G122" si="20">I77</f>
        <v>2728.9039302000001</v>
      </c>
      <c r="H119" s="20">
        <f t="shared" si="14"/>
        <v>2.0192752522397051E-2</v>
      </c>
      <c r="I119" s="20">
        <f t="shared" si="16"/>
        <v>-8.3772836138567119E-2</v>
      </c>
      <c r="K119" s="19">
        <v>2022</v>
      </c>
      <c r="L119" s="150">
        <f t="shared" ref="L119:M122" si="21">C124</f>
        <v>7.9959319952412011E-2</v>
      </c>
      <c r="M119" s="150">
        <f t="shared" si="21"/>
        <v>9.4825117439811812E-2</v>
      </c>
      <c r="O119" s="19">
        <v>2022</v>
      </c>
      <c r="P119" s="150">
        <f t="shared" ref="P119:Q122" si="22">H124</f>
        <v>5.3708654639246456E-2</v>
      </c>
      <c r="Q119" s="150">
        <f t="shared" si="22"/>
        <v>3.4180520930674252E-2</v>
      </c>
    </row>
    <row r="120" spans="1:17">
      <c r="A120" s="133">
        <f t="shared" si="18"/>
        <v>43465</v>
      </c>
      <c r="B120" s="19">
        <f t="shared" si="19"/>
        <v>5408.9681325000001</v>
      </c>
      <c r="C120" s="20">
        <f t="shared" si="13"/>
        <v>-7.2654692632853846E-2</v>
      </c>
      <c r="D120" s="20">
        <f t="shared" si="17"/>
        <v>7.0004180587555309E-2</v>
      </c>
      <c r="F120" s="19">
        <v>2018</v>
      </c>
      <c r="G120">
        <f t="shared" si="20"/>
        <v>2783.4820088040005</v>
      </c>
      <c r="H120" s="20">
        <f t="shared" si="14"/>
        <v>-0.20792162489071453</v>
      </c>
      <c r="I120" s="20">
        <f t="shared" si="16"/>
        <v>2.5418671494776834E-3</v>
      </c>
      <c r="K120" s="19">
        <v>2023</v>
      </c>
      <c r="L120" s="150">
        <f t="shared" si="21"/>
        <v>5.2717613404168473E-2</v>
      </c>
      <c r="M120" s="150">
        <f t="shared" si="21"/>
        <v>1.715949389162974E-3</v>
      </c>
      <c r="O120" s="19">
        <v>2023</v>
      </c>
      <c r="P120" s="150">
        <f t="shared" si="22"/>
        <v>7.0423103363200568E-2</v>
      </c>
      <c r="Q120" s="150">
        <f t="shared" si="22"/>
        <v>-8.956169102194822E-2</v>
      </c>
    </row>
    <row r="121" spans="1:17">
      <c r="A121" s="133">
        <f t="shared" si="18"/>
        <v>43830</v>
      </c>
      <c r="B121" s="19">
        <f t="shared" si="19"/>
        <v>6220.3133523750002</v>
      </c>
      <c r="C121" s="20">
        <f t="shared" si="13"/>
        <v>6.4165080282530429E-2</v>
      </c>
      <c r="D121" s="20">
        <f t="shared" si="17"/>
        <v>5.1036570444366935E-2</v>
      </c>
      <c r="F121" s="19">
        <v>2019</v>
      </c>
      <c r="G121">
        <f t="shared" si="20"/>
        <v>2839.1516489800806</v>
      </c>
      <c r="H121" s="20">
        <f t="shared" si="14"/>
        <v>-0.1247307542346362</v>
      </c>
      <c r="I121" s="20">
        <f t="shared" si="16"/>
        <v>-3.4251050495882174E-2</v>
      </c>
      <c r="K121" s="19">
        <v>2024</v>
      </c>
      <c r="L121" s="150">
        <f t="shared" si="21"/>
        <v>2.6785714285714191E-2</v>
      </c>
      <c r="M121" s="150">
        <f t="shared" si="21"/>
        <v>4.0862761026901007E-2</v>
      </c>
      <c r="O121" s="19">
        <v>2024</v>
      </c>
      <c r="P121" s="150">
        <f t="shared" si="22"/>
        <v>8.6047695951390057E-2</v>
      </c>
      <c r="Q121" s="150">
        <f t="shared" si="22"/>
        <v>-1.9352045890824621E-2</v>
      </c>
    </row>
    <row r="122" spans="1:17">
      <c r="A122" s="133">
        <f t="shared" si="18"/>
        <v>44196</v>
      </c>
      <c r="B122" s="19">
        <f t="shared" si="19"/>
        <v>7153.3603552312488</v>
      </c>
      <c r="C122" s="20">
        <f t="shared" si="13"/>
        <v>0.15837556569165345</v>
      </c>
      <c r="D122" s="20">
        <f t="shared" si="17"/>
        <v>0.10244978206822064</v>
      </c>
      <c r="F122" s="19">
        <v>2020</v>
      </c>
      <c r="G122">
        <f t="shared" si="20"/>
        <v>2895.9346819596822</v>
      </c>
      <c r="H122" s="20">
        <f t="shared" si="14"/>
        <v>-4.987854199831987E-2</v>
      </c>
      <c r="I122" s="20">
        <f t="shared" si="16"/>
        <v>6.1144128475398851E-3</v>
      </c>
      <c r="K122" s="158">
        <v>2025</v>
      </c>
      <c r="L122" s="159">
        <f t="shared" si="21"/>
        <v>0</v>
      </c>
      <c r="M122" s="159">
        <f t="shared" si="21"/>
        <v>6.0979426221999145E-2</v>
      </c>
      <c r="O122" s="158">
        <v>2025</v>
      </c>
      <c r="P122" s="159">
        <f t="shared" si="22"/>
        <v>0.10000000000000031</v>
      </c>
      <c r="Q122" s="159">
        <f t="shared" si="22"/>
        <v>3.3106896991437873E-2</v>
      </c>
    </row>
    <row r="123" spans="1:17">
      <c r="A123" s="133">
        <f t="shared" si="18"/>
        <v>44561</v>
      </c>
      <c r="B123" s="19">
        <f>B122*(1+H$87)</f>
        <v>7153.3603552312488</v>
      </c>
      <c r="C123" s="20">
        <f t="shared" si="13"/>
        <v>0.18116322635130144</v>
      </c>
      <c r="D123" s="20">
        <f t="shared" si="17"/>
        <v>5.8112561497222881E-2</v>
      </c>
      <c r="F123" s="19">
        <v>2021</v>
      </c>
      <c r="G123">
        <f>G122*(1+I$87)</f>
        <v>3185.5281501556506</v>
      </c>
      <c r="H123" s="20">
        <f t="shared" si="14"/>
        <v>6.590011025632303E-2</v>
      </c>
      <c r="I123" s="20">
        <f t="shared" si="16"/>
        <v>-3.2714290153450398E-2</v>
      </c>
      <c r="L123" s="135">
        <f>MEDIAN(L91:L112)</f>
        <v>7.7524590224416157E-2</v>
      </c>
      <c r="M123" s="135">
        <f>MEDIAN(M91:M112)</f>
        <v>8.9163527539990017E-2</v>
      </c>
      <c r="P123" s="135">
        <f>MEDIAN(P91:P112)</f>
        <v>7.7524590224416157E-2</v>
      </c>
      <c r="Q123" s="135">
        <f>MEDIAN(Q91:Q112)</f>
        <v>8.9163527539990017E-2</v>
      </c>
    </row>
    <row r="124" spans="1:17">
      <c r="A124" s="133">
        <f t="shared" si="18"/>
        <v>44926</v>
      </c>
      <c r="B124" s="19">
        <f t="shared" ref="B124:B127" si="23">B123*(1+H$87)</f>
        <v>7153.3603552312488</v>
      </c>
      <c r="C124" s="20">
        <f t="shared" si="13"/>
        <v>7.9959319952412011E-2</v>
      </c>
      <c r="D124" s="20">
        <f t="shared" si="17"/>
        <v>9.4825117439811812E-2</v>
      </c>
      <c r="F124" s="19">
        <v>2022</v>
      </c>
      <c r="G124">
        <f t="shared" ref="G124:G127" si="24">G123*(1+I$87)</f>
        <v>3504.0809651712161</v>
      </c>
      <c r="H124" s="20">
        <f t="shared" si="14"/>
        <v>5.3708654639246456E-2</v>
      </c>
      <c r="I124" s="20">
        <f t="shared" si="16"/>
        <v>3.4180520930674252E-2</v>
      </c>
      <c r="L124" s="135">
        <f>MEDIAN(L113:L122)</f>
        <v>5.8441346843349451E-2</v>
      </c>
      <c r="M124" s="135">
        <f>MEDIAN(M113:M122)</f>
        <v>5.4574565970794908E-2</v>
      </c>
      <c r="P124" s="135">
        <f>MEDIAN(P113:P122)</f>
        <v>3.2303548257231585E-2</v>
      </c>
      <c r="Q124" s="135">
        <f>MEDIAN(Q113:Q122)</f>
        <v>-2.6033168022137509E-2</v>
      </c>
    </row>
    <row r="125" spans="1:17">
      <c r="A125" s="133">
        <f t="shared" si="18"/>
        <v>45291</v>
      </c>
      <c r="B125" s="19">
        <f t="shared" si="23"/>
        <v>7153.3603552312488</v>
      </c>
      <c r="C125" s="20">
        <f t="shared" si="13"/>
        <v>5.2717613404168473E-2</v>
      </c>
      <c r="D125" s="20">
        <f t="shared" si="17"/>
        <v>1.715949389162974E-3</v>
      </c>
      <c r="F125" s="19">
        <v>2023</v>
      </c>
      <c r="G125">
        <f t="shared" si="24"/>
        <v>3854.4890616883381</v>
      </c>
      <c r="H125" s="20">
        <f t="shared" si="14"/>
        <v>7.0423103363200568E-2</v>
      </c>
      <c r="I125" s="20">
        <f t="shared" si="16"/>
        <v>-8.956169102194822E-2</v>
      </c>
    </row>
    <row r="126" spans="1:17">
      <c r="A126" s="133">
        <f t="shared" si="18"/>
        <v>45657</v>
      </c>
      <c r="B126" s="19">
        <f t="shared" si="23"/>
        <v>7153.3603552312488</v>
      </c>
      <c r="C126" s="20">
        <f t="shared" si="13"/>
        <v>2.6785714285714191E-2</v>
      </c>
      <c r="D126" s="20">
        <f t="shared" si="17"/>
        <v>4.0862761026901007E-2</v>
      </c>
      <c r="F126" s="19">
        <v>2024</v>
      </c>
      <c r="G126">
        <f t="shared" si="24"/>
        <v>4239.9379678571722</v>
      </c>
      <c r="H126" s="20">
        <f t="shared" si="14"/>
        <v>8.6047695951390057E-2</v>
      </c>
      <c r="I126" s="20">
        <f t="shared" si="16"/>
        <v>-1.9352045890824621E-2</v>
      </c>
    </row>
    <row r="127" spans="1:17">
      <c r="A127" s="133">
        <f t="shared" si="18"/>
        <v>46022</v>
      </c>
      <c r="B127" s="19">
        <f t="shared" si="23"/>
        <v>7153.3603552312488</v>
      </c>
      <c r="C127" s="20">
        <f t="shared" si="13"/>
        <v>0</v>
      </c>
      <c r="D127" s="20">
        <f t="shared" si="17"/>
        <v>6.0979426221999145E-2</v>
      </c>
      <c r="F127" s="19">
        <v>2025</v>
      </c>
      <c r="G127">
        <f t="shared" si="24"/>
        <v>4663.9317646428899</v>
      </c>
      <c r="H127" s="20">
        <f t="shared" si="14"/>
        <v>0.10000000000000031</v>
      </c>
      <c r="I127" s="20">
        <f t="shared" si="16"/>
        <v>3.3106896991437873E-2</v>
      </c>
    </row>
    <row r="130" spans="9:9">
      <c r="I130" s="99">
        <f>MEDIAN(I103:I117)</f>
        <v>8.9163527539990017E-2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27"/>
  <sheetViews>
    <sheetView workbookViewId="0">
      <selection activeCell="E16" sqref="E16"/>
    </sheetView>
  </sheetViews>
  <sheetFormatPr defaultRowHeight="14.6"/>
  <cols>
    <col min="2" max="3" width="9.3046875" hidden="1" customWidth="1"/>
  </cols>
  <sheetData>
    <row r="2" spans="1:15">
      <c r="B2" t="s">
        <v>251</v>
      </c>
      <c r="C2" t="s">
        <v>257</v>
      </c>
      <c r="D2" t="s">
        <v>288</v>
      </c>
      <c r="G2" t="s">
        <v>251</v>
      </c>
      <c r="H2" t="s">
        <v>257</v>
      </c>
      <c r="L2" t="s">
        <v>251</v>
      </c>
      <c r="M2" t="s">
        <v>257</v>
      </c>
    </row>
    <row r="3" spans="1:15">
      <c r="A3">
        <v>1993</v>
      </c>
      <c r="B3">
        <v>716.96</v>
      </c>
      <c r="C3">
        <v>-566.0523854366952</v>
      </c>
      <c r="D3">
        <f t="shared" ref="D3:D25" si="0">-C3/B3</f>
        <v>0.78951738651625636</v>
      </c>
      <c r="E3">
        <f>MEDIAN(D3:D7)</f>
        <v>0.78951738651625636</v>
      </c>
      <c r="F3">
        <v>1993</v>
      </c>
      <c r="G3">
        <v>716.96</v>
      </c>
      <c r="H3">
        <v>-566.0523854366952</v>
      </c>
      <c r="K3">
        <v>1993</v>
      </c>
      <c r="L3">
        <v>716.96</v>
      </c>
      <c r="M3">
        <v>-566.0523854366952</v>
      </c>
    </row>
    <row r="4" spans="1:15">
      <c r="A4">
        <v>1994</v>
      </c>
      <c r="B4">
        <v>1055.7303999999999</v>
      </c>
      <c r="C4">
        <v>-830.92745423211272</v>
      </c>
      <c r="D4">
        <f t="shared" si="0"/>
        <v>0.78706405937738722</v>
      </c>
      <c r="F4">
        <v>1994</v>
      </c>
      <c r="G4">
        <v>1055.7303999999999</v>
      </c>
      <c r="H4">
        <v>-830.92745423211272</v>
      </c>
      <c r="K4">
        <v>1994</v>
      </c>
      <c r="L4">
        <v>1055.7303999999999</v>
      </c>
      <c r="M4">
        <v>-830.92745423211272</v>
      </c>
    </row>
    <row r="5" spans="1:15">
      <c r="A5">
        <v>1995</v>
      </c>
      <c r="B5">
        <v>1490.6881000000001</v>
      </c>
      <c r="C5">
        <v>-736.21397335267932</v>
      </c>
      <c r="D5">
        <f t="shared" si="0"/>
        <v>0.49387526025912415</v>
      </c>
      <c r="F5">
        <v>1995</v>
      </c>
      <c r="G5">
        <v>1490.6881000000001</v>
      </c>
      <c r="H5">
        <v>-736.21397335267932</v>
      </c>
      <c r="K5">
        <v>1995</v>
      </c>
      <c r="L5">
        <v>1490.6881000000001</v>
      </c>
      <c r="M5">
        <v>-736.21397335267932</v>
      </c>
    </row>
    <row r="6" spans="1:15">
      <c r="A6">
        <v>1996</v>
      </c>
      <c r="B6">
        <v>1062.8753999999999</v>
      </c>
      <c r="C6">
        <v>-1625.1419133292197</v>
      </c>
      <c r="D6">
        <f t="shared" si="0"/>
        <v>1.529005105705918</v>
      </c>
      <c r="F6">
        <v>1996</v>
      </c>
      <c r="G6">
        <v>1062.8753999999999</v>
      </c>
      <c r="H6">
        <v>-1625.1419133292197</v>
      </c>
      <c r="K6">
        <v>1996</v>
      </c>
      <c r="L6">
        <v>1062.8753999999999</v>
      </c>
      <c r="M6">
        <v>-1625.1419133292197</v>
      </c>
    </row>
    <row r="7" spans="1:15">
      <c r="A7">
        <v>1997</v>
      </c>
      <c r="B7">
        <v>1345.4363000000001</v>
      </c>
      <c r="C7">
        <v>-1638.2637424531513</v>
      </c>
      <c r="D7">
        <f t="shared" si="0"/>
        <v>1.2176449694817593</v>
      </c>
      <c r="F7">
        <v>1997</v>
      </c>
      <c r="G7">
        <v>1345.4363000000001</v>
      </c>
      <c r="H7">
        <v>-1638.2637424531513</v>
      </c>
      <c r="K7">
        <v>1997</v>
      </c>
      <c r="L7">
        <v>1345.4363000000001</v>
      </c>
      <c r="M7">
        <v>-1638.2637424531513</v>
      </c>
    </row>
    <row r="8" spans="1:15">
      <c r="A8">
        <v>1998</v>
      </c>
      <c r="B8">
        <v>899.05709999999999</v>
      </c>
      <c r="C8">
        <v>-3961.6763914173398</v>
      </c>
      <c r="D8">
        <f t="shared" si="0"/>
        <v>4.4064791784830346</v>
      </c>
      <c r="F8">
        <v>1998</v>
      </c>
      <c r="G8">
        <v>899.05709999999999</v>
      </c>
      <c r="H8">
        <v>-3961.6763914173398</v>
      </c>
      <c r="K8">
        <v>1998</v>
      </c>
      <c r="L8">
        <v>899.05709999999999</v>
      </c>
      <c r="M8">
        <v>-3961.6763914173398</v>
      </c>
    </row>
    <row r="9" spans="1:15">
      <c r="A9">
        <v>1999</v>
      </c>
      <c r="B9">
        <v>1619.6305</v>
      </c>
      <c r="C9">
        <v>-2258.363409313778</v>
      </c>
      <c r="D9">
        <f t="shared" si="0"/>
        <v>1.3943695239832654</v>
      </c>
      <c r="F9">
        <v>1999</v>
      </c>
      <c r="G9">
        <v>1619.6305</v>
      </c>
      <c r="H9">
        <v>-2258.363409313778</v>
      </c>
      <c r="K9">
        <v>1999</v>
      </c>
      <c r="L9">
        <v>1619.6305</v>
      </c>
      <c r="M9">
        <v>-2258.363409313778</v>
      </c>
    </row>
    <row r="10" spans="1:15">
      <c r="A10">
        <v>2000</v>
      </c>
      <c r="B10">
        <v>1002.3869</v>
      </c>
      <c r="C10">
        <v>-1612.8265174888988</v>
      </c>
      <c r="D10">
        <f t="shared" si="0"/>
        <v>1.6089860287369069</v>
      </c>
      <c r="F10">
        <v>2000</v>
      </c>
      <c r="G10">
        <v>1002.3869</v>
      </c>
      <c r="H10">
        <v>-1612.8265174888988</v>
      </c>
      <c r="K10">
        <v>2000</v>
      </c>
      <c r="L10">
        <v>1002.3869</v>
      </c>
      <c r="M10">
        <v>-1612.8265174888988</v>
      </c>
    </row>
    <row r="11" spans="1:15">
      <c r="A11">
        <v>2001</v>
      </c>
      <c r="B11">
        <v>799.86059999999998</v>
      </c>
      <c r="C11">
        <v>-1754.8127950289386</v>
      </c>
      <c r="D11">
        <f t="shared" si="0"/>
        <v>2.193898280561561</v>
      </c>
      <c r="F11">
        <v>2001</v>
      </c>
      <c r="G11">
        <v>799.86059999999998</v>
      </c>
      <c r="H11">
        <v>-1754.8127950289386</v>
      </c>
      <c r="K11">
        <v>2001</v>
      </c>
      <c r="L11">
        <v>799.86059999999998</v>
      </c>
      <c r="M11">
        <v>-1754.8127950289386</v>
      </c>
    </row>
    <row r="12" spans="1:15">
      <c r="A12">
        <v>2002</v>
      </c>
      <c r="B12">
        <v>706.0018</v>
      </c>
      <c r="C12">
        <v>-1061.5799370376064</v>
      </c>
      <c r="D12" s="160">
        <f t="shared" si="0"/>
        <v>1.503650468083235</v>
      </c>
      <c r="F12">
        <v>2002</v>
      </c>
      <c r="K12">
        <v>2002</v>
      </c>
    </row>
    <row r="13" spans="1:15">
      <c r="A13">
        <v>2003</v>
      </c>
      <c r="B13">
        <v>145.68310000000019</v>
      </c>
      <c r="C13">
        <v>-1147.9045570871151</v>
      </c>
      <c r="D13" s="160">
        <f t="shared" si="0"/>
        <v>7.8794627316903165</v>
      </c>
      <c r="F13">
        <v>2003</v>
      </c>
      <c r="K13">
        <v>2003</v>
      </c>
    </row>
    <row r="14" spans="1:15">
      <c r="A14">
        <v>2004</v>
      </c>
      <c r="B14">
        <v>288.51929999999993</v>
      </c>
      <c r="C14">
        <v>-2428.5928999999996</v>
      </c>
      <c r="D14" s="160">
        <f t="shared" si="0"/>
        <v>8.4174365458393954</v>
      </c>
      <c r="F14">
        <v>2004</v>
      </c>
      <c r="K14">
        <v>2004</v>
      </c>
      <c r="O14">
        <f>MEDIAN(N16:N25)</f>
        <v>0.43557021105069016</v>
      </c>
    </row>
    <row r="15" spans="1:15">
      <c r="A15">
        <v>2005</v>
      </c>
      <c r="B15">
        <v>1585.5500999999999</v>
      </c>
      <c r="C15">
        <v>-2652.9753700000001</v>
      </c>
      <c r="D15">
        <f t="shared" si="0"/>
        <v>1.6732207768143057</v>
      </c>
      <c r="F15">
        <v>2005</v>
      </c>
      <c r="G15">
        <v>1585.5500999999999</v>
      </c>
      <c r="H15">
        <v>-2652.9753700000001</v>
      </c>
      <c r="K15">
        <v>2005</v>
      </c>
      <c r="L15">
        <v>1585.5500999999999</v>
      </c>
      <c r="M15">
        <v>-2652.9753700000001</v>
      </c>
      <c r="O15">
        <f>MEDIAN(N16:N20)</f>
        <v>0.53324411492753965</v>
      </c>
    </row>
    <row r="16" spans="1:15">
      <c r="A16">
        <v>2006</v>
      </c>
      <c r="B16">
        <v>4156.2979999999998</v>
      </c>
      <c r="C16">
        <v>-2815.6284474104818</v>
      </c>
      <c r="D16">
        <f t="shared" si="0"/>
        <v>0.67743661484582718</v>
      </c>
      <c r="F16">
        <v>2006</v>
      </c>
      <c r="G16">
        <v>4156.2979999999998</v>
      </c>
      <c r="H16">
        <v>-2815.6284474104818</v>
      </c>
      <c r="K16">
        <v>2006</v>
      </c>
      <c r="L16">
        <v>4156.2979999999998</v>
      </c>
      <c r="M16">
        <v>-2815.6284474104818</v>
      </c>
      <c r="N16">
        <f t="shared" ref="N16:N25" si="1">-M16/L16</f>
        <v>0.67743661484582718</v>
      </c>
    </row>
    <row r="17" spans="1:15">
      <c r="A17">
        <v>2007</v>
      </c>
      <c r="B17">
        <v>6084.6589999999997</v>
      </c>
      <c r="C17">
        <v>-3244.6086030908882</v>
      </c>
      <c r="D17">
        <f t="shared" si="0"/>
        <v>0.53324411492753965</v>
      </c>
      <c r="F17">
        <v>2007</v>
      </c>
      <c r="G17">
        <v>6084.6589999999997</v>
      </c>
      <c r="H17">
        <v>-3244.6086030908882</v>
      </c>
      <c r="K17">
        <v>2007</v>
      </c>
      <c r="L17">
        <v>6084.6589999999997</v>
      </c>
      <c r="M17">
        <v>-3244.6086030908882</v>
      </c>
      <c r="N17">
        <f t="shared" si="1"/>
        <v>0.53324411492753965</v>
      </c>
    </row>
    <row r="18" spans="1:15">
      <c r="A18">
        <v>2008</v>
      </c>
      <c r="B18">
        <v>2690.1903000000002</v>
      </c>
      <c r="C18">
        <v>-4580.1706258552558</v>
      </c>
      <c r="D18">
        <f t="shared" si="0"/>
        <v>1.7025452161712336</v>
      </c>
      <c r="F18">
        <v>2008</v>
      </c>
      <c r="G18">
        <v>2690.1903000000002</v>
      </c>
      <c r="H18">
        <v>-4580.1706258552558</v>
      </c>
      <c r="K18">
        <v>2008</v>
      </c>
      <c r="L18">
        <v>2690.1903000000002</v>
      </c>
      <c r="M18">
        <v>-4580.1706258552558</v>
      </c>
      <c r="N18">
        <f t="shared" si="1"/>
        <v>1.7025452161712336</v>
      </c>
    </row>
    <row r="19" spans="1:15">
      <c r="A19">
        <v>2009</v>
      </c>
      <c r="B19">
        <v>4099.4304000000002</v>
      </c>
      <c r="C19">
        <v>3365.368591295211</v>
      </c>
      <c r="D19">
        <f t="shared" si="0"/>
        <v>-0.8209356576209248</v>
      </c>
      <c r="F19">
        <v>2009</v>
      </c>
      <c r="G19">
        <v>4099.4304000000002</v>
      </c>
      <c r="H19">
        <v>3365.368591295211</v>
      </c>
      <c r="K19">
        <v>2009</v>
      </c>
      <c r="L19">
        <v>4099.4304000000002</v>
      </c>
      <c r="M19">
        <v>3365.368591295211</v>
      </c>
      <c r="N19">
        <f t="shared" si="1"/>
        <v>-0.8209356576209248</v>
      </c>
    </row>
    <row r="20" spans="1:15">
      <c r="A20">
        <v>2010</v>
      </c>
      <c r="B20">
        <v>2678.6587</v>
      </c>
      <c r="C20">
        <v>-82.375184334713822</v>
      </c>
      <c r="D20">
        <f t="shared" si="0"/>
        <v>3.075240019742486E-2</v>
      </c>
      <c r="F20">
        <v>2010</v>
      </c>
      <c r="G20">
        <v>2678.6587</v>
      </c>
      <c r="H20">
        <v>-82.375184334713822</v>
      </c>
      <c r="K20">
        <v>2010</v>
      </c>
      <c r="L20">
        <v>2678.6587</v>
      </c>
      <c r="M20">
        <v>-82.375184334713822</v>
      </c>
      <c r="N20">
        <f t="shared" si="1"/>
        <v>3.075240019742486E-2</v>
      </c>
    </row>
    <row r="21" spans="1:15">
      <c r="A21">
        <v>2011</v>
      </c>
      <c r="B21">
        <v>4355.1401999999998</v>
      </c>
      <c r="C21">
        <v>-9509.1293424209525</v>
      </c>
      <c r="D21">
        <f t="shared" si="0"/>
        <v>2.1834266879447308</v>
      </c>
      <c r="F21">
        <v>2011</v>
      </c>
      <c r="G21">
        <v>4355.1401999999998</v>
      </c>
      <c r="H21">
        <v>-9509.1293424209525</v>
      </c>
      <c r="K21">
        <v>2011</v>
      </c>
      <c r="L21">
        <v>4355.1401999999998</v>
      </c>
      <c r="M21">
        <v>-9509.1293424209525</v>
      </c>
      <c r="N21">
        <f t="shared" si="1"/>
        <v>2.1834266879447308</v>
      </c>
      <c r="O21">
        <f>MEDIAN(N22:N25)</f>
        <v>0.31051675255483102</v>
      </c>
    </row>
    <row r="22" spans="1:15">
      <c r="A22">
        <v>2012</v>
      </c>
      <c r="B22">
        <v>2322.0257000000001</v>
      </c>
      <c r="C22">
        <v>-4522.5410717771456</v>
      </c>
      <c r="D22">
        <f t="shared" si="0"/>
        <v>1.9476705498036242</v>
      </c>
      <c r="F22">
        <v>2012</v>
      </c>
      <c r="G22">
        <v>2322.0257000000001</v>
      </c>
      <c r="H22">
        <v>-4522.5410717771456</v>
      </c>
      <c r="K22">
        <v>2012</v>
      </c>
      <c r="L22">
        <v>2322.0257000000001</v>
      </c>
      <c r="M22">
        <v>-4522.5410717771456</v>
      </c>
      <c r="N22">
        <f t="shared" si="1"/>
        <v>1.9476705498036242</v>
      </c>
    </row>
    <row r="23" spans="1:15">
      <c r="A23">
        <v>2013</v>
      </c>
      <c r="B23">
        <v>7057.6424999999999</v>
      </c>
      <c r="C23">
        <v>-2384.7513381031531</v>
      </c>
      <c r="D23">
        <f t="shared" si="0"/>
        <v>0.33789630717384073</v>
      </c>
      <c r="F23">
        <v>2013</v>
      </c>
      <c r="G23">
        <v>7057.6424999999999</v>
      </c>
      <c r="H23">
        <v>-2384.7513381031531</v>
      </c>
      <c r="K23">
        <v>2013</v>
      </c>
      <c r="L23">
        <v>7057.6424999999999</v>
      </c>
      <c r="M23">
        <v>-2384.7513381031531</v>
      </c>
      <c r="N23">
        <f t="shared" si="1"/>
        <v>0.33789630717384073</v>
      </c>
    </row>
    <row r="24" spans="1:15">
      <c r="A24">
        <v>2014</v>
      </c>
      <c r="B24">
        <v>4870.0718999999999</v>
      </c>
      <c r="C24">
        <v>-1378.898511511981</v>
      </c>
      <c r="D24">
        <f t="shared" si="0"/>
        <v>0.28313719793582126</v>
      </c>
      <c r="F24">
        <v>2014</v>
      </c>
      <c r="G24">
        <v>4870.0718999999999</v>
      </c>
      <c r="H24">
        <v>-1378.898511511981</v>
      </c>
      <c r="K24">
        <v>2014</v>
      </c>
      <c r="L24">
        <v>4870.0718999999999</v>
      </c>
      <c r="M24">
        <v>-1378.898511511981</v>
      </c>
      <c r="N24">
        <f t="shared" si="1"/>
        <v>0.28313719793582126</v>
      </c>
    </row>
    <row r="25" spans="1:15">
      <c r="A25">
        <v>2015</v>
      </c>
      <c r="B25">
        <v>3606.7793999999999</v>
      </c>
      <c r="C25">
        <v>-526.9996703080908</v>
      </c>
      <c r="D25">
        <f t="shared" si="0"/>
        <v>0.14611364096958379</v>
      </c>
      <c r="F25">
        <v>2015</v>
      </c>
      <c r="G25">
        <v>3606.7793999999999</v>
      </c>
      <c r="H25">
        <v>-526.9996703080908</v>
      </c>
      <c r="K25">
        <v>2015</v>
      </c>
      <c r="L25">
        <v>3606.7793999999999</v>
      </c>
      <c r="M25">
        <v>-526.9996703080908</v>
      </c>
      <c r="N25">
        <f t="shared" si="1"/>
        <v>0.14611364096958379</v>
      </c>
    </row>
    <row r="26" spans="1:15">
      <c r="L26">
        <f>SUM(L3:L25)</f>
        <v>53499.071499999998</v>
      </c>
      <c r="M26">
        <f>SUM(M3:M25)</f>
        <v>-43316.98815557026</v>
      </c>
      <c r="N26">
        <f>-M26/L26</f>
        <v>0.80967738207513118</v>
      </c>
    </row>
    <row r="27" spans="1:15">
      <c r="B27">
        <f>SUM(B3:B25)</f>
        <v>54639.275699999998</v>
      </c>
      <c r="C27">
        <f>SUM(C3:C25)</f>
        <v>-47955.065549694984</v>
      </c>
      <c r="D27">
        <f>-C27/B27</f>
        <v>0.87766656741562532</v>
      </c>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7" workbookViewId="0">
      <selection activeCell="B26" sqref="B26:K26"/>
    </sheetView>
  </sheetViews>
  <sheetFormatPr defaultRowHeight="14.6"/>
  <cols>
    <col min="1" max="1" width="37.3828125" bestFit="1" customWidth="1"/>
    <col min="12" max="12" width="9.53515625" bestFit="1" customWidth="1"/>
  </cols>
  <sheetData>
    <row r="1" spans="1:16">
      <c r="A1" s="10" t="s">
        <v>37</v>
      </c>
      <c r="B1" s="134">
        <f>'Company Analysis'!B2</f>
        <v>39082</v>
      </c>
      <c r="C1" s="134">
        <f>'Company Analysis'!C2</f>
        <v>39447</v>
      </c>
      <c r="D1" s="134">
        <f>'Company Analysis'!D2</f>
        <v>39813</v>
      </c>
      <c r="E1" s="134">
        <f>'Company Analysis'!E2</f>
        <v>40178</v>
      </c>
      <c r="F1" s="134">
        <f>'Company Analysis'!F2</f>
        <v>40543</v>
      </c>
      <c r="G1" s="134">
        <f>'Company Analysis'!G2</f>
        <v>40908</v>
      </c>
      <c r="H1" s="134">
        <f>'Company Analysis'!H2</f>
        <v>41274</v>
      </c>
      <c r="I1" s="134">
        <f>'Company Analysis'!I2</f>
        <v>41639</v>
      </c>
      <c r="J1" s="134">
        <f>'Company Analysis'!J2</f>
        <v>42004</v>
      </c>
      <c r="K1" s="134">
        <f>'Company Analysis'!K2</f>
        <v>42369</v>
      </c>
      <c r="L1" s="134">
        <f>'Graphing Data'!K1+365</f>
        <v>42734</v>
      </c>
      <c r="M1" s="134">
        <f>'Graphing Data'!L1+365</f>
        <v>43099</v>
      </c>
      <c r="N1" s="134">
        <f>'Graphing Data'!M1+365</f>
        <v>43464</v>
      </c>
      <c r="O1" s="134">
        <f>'Graphing Data'!N1+365</f>
        <v>43829</v>
      </c>
      <c r="P1" s="134">
        <f>'Graphing Data'!O1+365</f>
        <v>44194</v>
      </c>
    </row>
    <row r="2" spans="1:16">
      <c r="A2" t="s">
        <v>163</v>
      </c>
      <c r="B2" s="17">
        <f>'Company Analysis'!B3</f>
        <v>41517</v>
      </c>
      <c r="C2" s="17">
        <f>'Company Analysis'!C3</f>
        <v>44958</v>
      </c>
      <c r="D2" s="17">
        <f>'Company Analysis'!D3</f>
        <v>51324</v>
      </c>
      <c r="E2" s="17">
        <f>'Company Analysis'!E3</f>
        <v>32396</v>
      </c>
      <c r="F2" s="17">
        <f>'Company Analysis'!F3</f>
        <v>42588</v>
      </c>
      <c r="G2" s="17">
        <f>'Company Analysis'!G3</f>
        <v>60138</v>
      </c>
      <c r="H2" s="17">
        <f>'Company Analysis'!H3</f>
        <v>65875</v>
      </c>
      <c r="I2" s="17">
        <f>'Company Analysis'!I3</f>
        <v>55656</v>
      </c>
      <c r="J2" s="17">
        <f>'Company Analysis'!J3</f>
        <v>55184</v>
      </c>
      <c r="K2" s="17">
        <f>'Company Analysis'!K3</f>
        <v>47011</v>
      </c>
      <c r="L2" s="17"/>
      <c r="M2" s="17"/>
      <c r="N2" s="17"/>
      <c r="O2" s="17"/>
      <c r="P2" s="17"/>
    </row>
    <row r="3" spans="1:16">
      <c r="A3" t="s">
        <v>164</v>
      </c>
      <c r="L3" s="17">
        <f>$K$2*(1+'Valuation Model'!C8)</f>
        <v>40899.57</v>
      </c>
      <c r="M3" s="17">
        <f>L3*(1+'Valuation Model'!D8)</f>
        <v>47034.505499999999</v>
      </c>
      <c r="N3" s="17">
        <f>M3*(1+'Valuation Model'!E8)</f>
        <v>54089.681324999998</v>
      </c>
      <c r="O3" s="17">
        <f>N3*(1+'Valuation Model'!F8)</f>
        <v>62203.133523749995</v>
      </c>
      <c r="P3" s="17">
        <f>O3*(1+'Valuation Model'!G8)</f>
        <v>71533.603552312488</v>
      </c>
    </row>
    <row r="4" spans="1:16">
      <c r="A4" t="s">
        <v>165</v>
      </c>
      <c r="L4" s="17">
        <f>$K$2*(1+'Valuation Model'!C9)</f>
        <v>38219.942999999999</v>
      </c>
      <c r="M4" s="17">
        <f>L4*(1+'Valuation Model'!D9)</f>
        <v>38984.34186</v>
      </c>
      <c r="N4" s="17">
        <f>M4*(1+'Valuation Model'!E9)</f>
        <v>39764.028697200003</v>
      </c>
      <c r="O4" s="17">
        <f>N4*(1+'Valuation Model'!F9)</f>
        <v>40559.309271144004</v>
      </c>
      <c r="P4" s="17">
        <f>O4*(1+'Valuation Model'!G9)</f>
        <v>41370.495456566881</v>
      </c>
    </row>
    <row r="5" spans="1:16">
      <c r="A5" t="s">
        <v>166</v>
      </c>
      <c r="C5" s="20">
        <f>C2/B2-1</f>
        <v>8.2881711106293832E-2</v>
      </c>
      <c r="D5" s="20">
        <f t="shared" ref="D5:K5" si="0">D2/C2-1</f>
        <v>0.14159882557053249</v>
      </c>
      <c r="E5" s="20">
        <f t="shared" si="0"/>
        <v>-0.36879432624113473</v>
      </c>
      <c r="F5" s="20">
        <f t="shared" si="0"/>
        <v>0.31460674157303381</v>
      </c>
      <c r="G5" s="20">
        <f t="shared" si="0"/>
        <v>0.41208791208791218</v>
      </c>
      <c r="H5" s="20">
        <f t="shared" si="0"/>
        <v>9.5397252984801728E-2</v>
      </c>
      <c r="I5" s="20">
        <f t="shared" si="0"/>
        <v>-0.15512713472485773</v>
      </c>
      <c r="J5" s="20">
        <f t="shared" si="0"/>
        <v>-8.4806669541469537E-3</v>
      </c>
      <c r="K5" s="20">
        <f t="shared" si="0"/>
        <v>-0.14810452305015942</v>
      </c>
    </row>
    <row r="6" spans="1:16">
      <c r="A6" t="s">
        <v>167</v>
      </c>
      <c r="K6" s="99">
        <f>K5</f>
        <v>-0.14810452305015942</v>
      </c>
      <c r="L6" s="99">
        <f>'Valuation Model'!C8</f>
        <v>-0.13</v>
      </c>
      <c r="M6" s="99">
        <f>'Valuation Model'!D8</f>
        <v>0.15</v>
      </c>
      <c r="N6" s="99">
        <f>'Valuation Model'!E8</f>
        <v>0.15</v>
      </c>
      <c r="O6" s="99">
        <f>'Valuation Model'!F8</f>
        <v>0.15</v>
      </c>
      <c r="P6" s="99">
        <f>'Valuation Model'!G8</f>
        <v>0.15</v>
      </c>
    </row>
    <row r="7" spans="1:16">
      <c r="A7" t="s">
        <v>168</v>
      </c>
      <c r="K7" s="99">
        <f>K5</f>
        <v>-0.14810452305015942</v>
      </c>
      <c r="L7" s="99">
        <f>'Valuation Model'!C9</f>
        <v>-0.187</v>
      </c>
      <c r="M7" s="99">
        <f>'Valuation Model'!D9</f>
        <v>0.02</v>
      </c>
      <c r="N7" s="99">
        <f>'Valuation Model'!E9</f>
        <v>0.02</v>
      </c>
      <c r="O7" s="99">
        <f>'Valuation Model'!F9</f>
        <v>0.02</v>
      </c>
      <c r="P7" s="99">
        <f>'Valuation Model'!G9</f>
        <v>0.02</v>
      </c>
    </row>
    <row r="9" spans="1:16">
      <c r="A9" s="10" t="s">
        <v>71</v>
      </c>
      <c r="B9" s="134">
        <f>B1</f>
        <v>39082</v>
      </c>
      <c r="C9" s="134">
        <f t="shared" ref="C9:P9" si="1">C1</f>
        <v>39447</v>
      </c>
      <c r="D9" s="134">
        <f t="shared" si="1"/>
        <v>39813</v>
      </c>
      <c r="E9" s="134">
        <f t="shared" si="1"/>
        <v>40178</v>
      </c>
      <c r="F9" s="134">
        <f t="shared" si="1"/>
        <v>40543</v>
      </c>
      <c r="G9" s="134">
        <f t="shared" si="1"/>
        <v>40908</v>
      </c>
      <c r="H9" s="134">
        <f t="shared" si="1"/>
        <v>41274</v>
      </c>
      <c r="I9" s="134">
        <f t="shared" si="1"/>
        <v>41639</v>
      </c>
      <c r="J9" s="134">
        <f t="shared" si="1"/>
        <v>42004</v>
      </c>
      <c r="K9" s="134">
        <f t="shared" si="1"/>
        <v>42369</v>
      </c>
      <c r="L9" s="134">
        <f t="shared" si="1"/>
        <v>42734</v>
      </c>
      <c r="M9" s="134">
        <f t="shared" si="1"/>
        <v>43099</v>
      </c>
      <c r="N9" s="134">
        <f t="shared" si="1"/>
        <v>43464</v>
      </c>
      <c r="O9" s="134">
        <f t="shared" si="1"/>
        <v>43829</v>
      </c>
      <c r="P9" s="134">
        <f t="shared" si="1"/>
        <v>44194</v>
      </c>
    </row>
    <row r="10" spans="1:16">
      <c r="A10" t="s">
        <v>169</v>
      </c>
      <c r="B10" s="17">
        <f>'Company Analysis'!B11</f>
        <v>4156.2979999999998</v>
      </c>
      <c r="C10" s="17">
        <f>'Company Analysis'!C11</f>
        <v>6084.6589999999997</v>
      </c>
      <c r="D10" s="17">
        <f>'Company Analysis'!D11</f>
        <v>2690.1903000000002</v>
      </c>
      <c r="E10" s="17">
        <f>'Company Analysis'!E11</f>
        <v>4099.4304000000002</v>
      </c>
      <c r="F10" s="17">
        <f>'Company Analysis'!F11</f>
        <v>2678.6587</v>
      </c>
      <c r="G10" s="17">
        <f>'Company Analysis'!G11</f>
        <v>4355.1401999999998</v>
      </c>
      <c r="H10" s="17">
        <f>'Company Analysis'!H11</f>
        <v>2322.0257000000001</v>
      </c>
      <c r="I10" s="17">
        <f>'Company Analysis'!I11</f>
        <v>7057.6424999999999</v>
      </c>
      <c r="J10" s="17">
        <f>'Company Analysis'!J11</f>
        <v>4870.0718999999999</v>
      </c>
      <c r="K10" s="17">
        <f>'Company Analysis'!K11</f>
        <v>3606.7793999999999</v>
      </c>
    </row>
    <row r="11" spans="1:16">
      <c r="A11" t="s">
        <v>170</v>
      </c>
      <c r="L11" s="18">
        <f>'Valuation Model'!C10*'Graphing Data'!L3</f>
        <v>2453.9742000000001</v>
      </c>
      <c r="M11" s="18">
        <f>'Valuation Model'!D10*'Graphing Data'!M3</f>
        <v>4703.4505500000005</v>
      </c>
      <c r="N11" s="18">
        <f>'Valuation Model'!E10*'Graphing Data'!N3</f>
        <v>5408.9681325000001</v>
      </c>
      <c r="O11" s="18">
        <f>'Valuation Model'!F10*'Graphing Data'!O3</f>
        <v>6220.3133523750002</v>
      </c>
      <c r="P11" s="18">
        <f>'Valuation Model'!G10*'Graphing Data'!P3</f>
        <v>7153.3603552312488</v>
      </c>
    </row>
    <row r="12" spans="1:16">
      <c r="A12" t="s">
        <v>171</v>
      </c>
      <c r="L12" s="18">
        <f>'Valuation Model'!C11*'Graphing Data'!L4</f>
        <v>2293.1965799999998</v>
      </c>
      <c r="M12" s="18">
        <f>'Valuation Model'!D11*'Graphing Data'!M4</f>
        <v>2728.9039302000001</v>
      </c>
      <c r="N12" s="18">
        <f>'Valuation Model'!E11*'Graphing Data'!N4</f>
        <v>2783.4820088040005</v>
      </c>
      <c r="O12" s="18">
        <f>'Valuation Model'!F11*'Graphing Data'!O4</f>
        <v>2839.1516489800806</v>
      </c>
      <c r="P12" s="18">
        <f>'Valuation Model'!G11*'Graphing Data'!P4</f>
        <v>2895.9346819596822</v>
      </c>
    </row>
    <row r="13" spans="1:16">
      <c r="A13" t="s">
        <v>172</v>
      </c>
      <c r="B13" s="20">
        <f>B10/B2</f>
        <v>0.10011074981332947</v>
      </c>
      <c r="C13" s="20">
        <f t="shared" ref="C13:K13" si="2">C10/C2</f>
        <v>0.13534096267627563</v>
      </c>
      <c r="D13" s="20">
        <f t="shared" si="2"/>
        <v>5.2415834697217681E-2</v>
      </c>
      <c r="E13" s="20">
        <f t="shared" si="2"/>
        <v>0.12654125200642055</v>
      </c>
      <c r="F13" s="20">
        <f t="shared" si="2"/>
        <v>6.289702967972198E-2</v>
      </c>
      <c r="G13" s="20">
        <f t="shared" si="2"/>
        <v>7.2419106056071034E-2</v>
      </c>
      <c r="H13" s="20">
        <f t="shared" si="2"/>
        <v>3.5248966982922202E-2</v>
      </c>
      <c r="I13" s="20">
        <f t="shared" si="2"/>
        <v>0.12680829560155238</v>
      </c>
      <c r="J13" s="20">
        <f t="shared" si="2"/>
        <v>8.8251520368222675E-2</v>
      </c>
      <c r="K13" s="20">
        <f t="shared" si="2"/>
        <v>7.6722031014017991E-2</v>
      </c>
    </row>
    <row r="14" spans="1:16">
      <c r="A14" t="s">
        <v>173</v>
      </c>
      <c r="K14" s="99">
        <f>K13</f>
        <v>7.6722031014017991E-2</v>
      </c>
      <c r="L14" s="99">
        <f>'Valuation Model'!C10</f>
        <v>0.06</v>
      </c>
      <c r="M14" s="99">
        <f>'Valuation Model'!D10</f>
        <v>0.1</v>
      </c>
      <c r="N14" s="99">
        <f>'Valuation Model'!E10</f>
        <v>0.1</v>
      </c>
      <c r="O14" s="99">
        <f>'Valuation Model'!F10</f>
        <v>0.1</v>
      </c>
      <c r="P14" s="99">
        <f>'Valuation Model'!G10</f>
        <v>0.1</v>
      </c>
    </row>
    <row r="15" spans="1:16">
      <c r="A15" t="s">
        <v>174</v>
      </c>
      <c r="K15" s="99">
        <f>K13</f>
        <v>7.6722031014017991E-2</v>
      </c>
      <c r="L15" s="99">
        <f>'Valuation Model'!C11</f>
        <v>0.06</v>
      </c>
      <c r="M15" s="99">
        <f>'Valuation Model'!D11</f>
        <v>7.0000000000000007E-2</v>
      </c>
      <c r="N15" s="99">
        <f>'Valuation Model'!E11</f>
        <v>7.0000000000000007E-2</v>
      </c>
      <c r="O15" s="99">
        <f>'Valuation Model'!F11</f>
        <v>7.0000000000000007E-2</v>
      </c>
      <c r="P15" s="99">
        <f>'Valuation Model'!G11</f>
        <v>7.0000000000000007E-2</v>
      </c>
    </row>
    <row r="17" spans="1:16">
      <c r="A17" s="10" t="s">
        <v>175</v>
      </c>
      <c r="B17" s="134">
        <f>B9</f>
        <v>39082</v>
      </c>
      <c r="C17" s="134">
        <f t="shared" ref="C17:K17" si="3">C9</f>
        <v>39447</v>
      </c>
      <c r="D17" s="134">
        <f t="shared" si="3"/>
        <v>39813</v>
      </c>
      <c r="E17" s="134">
        <f t="shared" si="3"/>
        <v>40178</v>
      </c>
      <c r="F17" s="134">
        <f t="shared" si="3"/>
        <v>40543</v>
      </c>
      <c r="G17" s="134">
        <f t="shared" si="3"/>
        <v>40908</v>
      </c>
      <c r="H17" s="134">
        <f t="shared" si="3"/>
        <v>41274</v>
      </c>
      <c r="I17" s="134">
        <f t="shared" si="3"/>
        <v>41639</v>
      </c>
      <c r="J17" s="134">
        <f t="shared" si="3"/>
        <v>42004</v>
      </c>
      <c r="K17" s="134">
        <f t="shared" si="3"/>
        <v>42369</v>
      </c>
    </row>
    <row r="18" spans="1:16">
      <c r="A18" t="s">
        <v>137</v>
      </c>
      <c r="B18" s="18">
        <f>B10</f>
        <v>4156.2979999999998</v>
      </c>
      <c r="C18" s="18">
        <f t="shared" ref="C18:K18" si="4">C10</f>
        <v>6084.6589999999997</v>
      </c>
      <c r="D18" s="18">
        <f t="shared" si="4"/>
        <v>2690.1903000000002</v>
      </c>
      <c r="E18" s="18">
        <f t="shared" si="4"/>
        <v>4099.4304000000002</v>
      </c>
      <c r="F18" s="18">
        <f t="shared" si="4"/>
        <v>2678.6587</v>
      </c>
      <c r="G18" s="18">
        <f t="shared" si="4"/>
        <v>4355.1401999999998</v>
      </c>
      <c r="H18" s="18">
        <f t="shared" si="4"/>
        <v>2322.0257000000001</v>
      </c>
      <c r="I18" s="18">
        <f t="shared" si="4"/>
        <v>7057.6424999999999</v>
      </c>
      <c r="J18" s="18">
        <f t="shared" si="4"/>
        <v>4870.0718999999999</v>
      </c>
      <c r="K18" s="18">
        <f t="shared" si="4"/>
        <v>3606.7793999999999</v>
      </c>
    </row>
    <row r="19" spans="1:16">
      <c r="A19" t="s">
        <v>176</v>
      </c>
      <c r="B19" s="18">
        <f>-'Company Analysis'!B28</f>
        <v>2815.6284474104818</v>
      </c>
      <c r="C19" s="18">
        <f>-'Company Analysis'!C28</f>
        <v>3244.6086030908882</v>
      </c>
      <c r="D19" s="18">
        <f>-'Company Analysis'!D28</f>
        <v>4580.1706258552558</v>
      </c>
      <c r="E19" s="18">
        <f>-'Company Analysis'!E28</f>
        <v>-3365.368591295211</v>
      </c>
      <c r="F19" s="18">
        <f>-'Company Analysis'!F28</f>
        <v>82.375184334713822</v>
      </c>
      <c r="G19" s="18">
        <f>-'Company Analysis'!G28</f>
        <v>9509.1293424209525</v>
      </c>
      <c r="H19" s="18">
        <f>-'Company Analysis'!H28</f>
        <v>4522.5410717771456</v>
      </c>
      <c r="I19" s="18">
        <f>-'Company Analysis'!I28</f>
        <v>2384.7513381031531</v>
      </c>
      <c r="J19" s="18">
        <f>-'Company Analysis'!J28</f>
        <v>1378.898511511981</v>
      </c>
      <c r="K19" s="18">
        <f>-'Company Analysis'!K28</f>
        <v>526.9996703080908</v>
      </c>
    </row>
    <row r="21" spans="1:16">
      <c r="A21" s="10" t="s">
        <v>177</v>
      </c>
      <c r="B21" s="134">
        <f>B17</f>
        <v>39082</v>
      </c>
      <c r="C21" s="134">
        <f t="shared" ref="C21:K21" si="5">C17</f>
        <v>39447</v>
      </c>
      <c r="D21" s="134">
        <f t="shared" si="5"/>
        <v>39813</v>
      </c>
      <c r="E21" s="134">
        <f t="shared" si="5"/>
        <v>40178</v>
      </c>
      <c r="F21" s="134">
        <f t="shared" si="5"/>
        <v>40543</v>
      </c>
      <c r="G21" s="134">
        <f t="shared" si="5"/>
        <v>40908</v>
      </c>
      <c r="H21" s="134">
        <f t="shared" si="5"/>
        <v>41274</v>
      </c>
      <c r="I21" s="134">
        <f t="shared" si="5"/>
        <v>41639</v>
      </c>
      <c r="J21" s="134">
        <f t="shared" si="5"/>
        <v>42004</v>
      </c>
      <c r="K21" s="134">
        <f t="shared" si="5"/>
        <v>42369</v>
      </c>
    </row>
    <row r="22" spans="1:16">
      <c r="A22" t="str">
        <f>'Company Analysis'!A19</f>
        <v>Capex in Excess of Maintenance</v>
      </c>
      <c r="B22" s="18">
        <f>-'Company Analysis'!B19</f>
        <v>1032.2979999999998</v>
      </c>
      <c r="C22" s="18">
        <f>-'Company Analysis'!C19</f>
        <v>1169.6589999999997</v>
      </c>
      <c r="D22" s="18">
        <f>-'Company Analysis'!D19</f>
        <v>1904.1903000000002</v>
      </c>
      <c r="E22" s="18">
        <f>-'Company Analysis'!E19</f>
        <v>72.430400000000191</v>
      </c>
      <c r="F22" s="18">
        <f>-'Company Analysis'!F19</f>
        <v>255.65869999999995</v>
      </c>
      <c r="G22" s="18">
        <f>-'Company Analysis'!G19</f>
        <v>1322.1401999999998</v>
      </c>
      <c r="H22" s="18">
        <f>-'Company Analysis'!H19</f>
        <v>2214.0257000000001</v>
      </c>
      <c r="I22" s="18">
        <f>-'Company Analysis'!I19</f>
        <v>1312.6424999999999</v>
      </c>
      <c r="J22" s="18">
        <f>-'Company Analysis'!J19</f>
        <v>192.07189999999991</v>
      </c>
      <c r="K22" s="18">
        <f>-'Company Analysis'!K19</f>
        <v>192.7793999999999</v>
      </c>
    </row>
    <row r="23" spans="1:16">
      <c r="A23" t="s">
        <v>179</v>
      </c>
      <c r="B23" s="18">
        <f>-'Company Analysis'!B20</f>
        <v>-572</v>
      </c>
      <c r="C23" s="18">
        <f>-'Company Analysis'!C20</f>
        <v>-408</v>
      </c>
      <c r="D23" s="18">
        <f>-'Company Analysis'!D20</f>
        <v>-982</v>
      </c>
      <c r="E23" s="18">
        <f>-'Company Analysis'!E20</f>
        <v>-1242</v>
      </c>
      <c r="F23" s="18">
        <f>-'Company Analysis'!F20</f>
        <v>-1469</v>
      </c>
      <c r="G23" s="18">
        <f>-'Company Analysis'!G20</f>
        <v>-1730</v>
      </c>
      <c r="H23" s="18">
        <f>-'Company Analysis'!H20</f>
        <v>-2316</v>
      </c>
      <c r="I23" s="18">
        <f>-'Company Analysis'!I20</f>
        <v>-1209</v>
      </c>
      <c r="J23" s="18">
        <f>-'Company Analysis'!J20</f>
        <v>-1103</v>
      </c>
      <c r="K23" s="18">
        <f>-'Company Analysis'!K20</f>
        <v>-938</v>
      </c>
    </row>
    <row r="24" spans="1:16">
      <c r="A24" t="s">
        <v>180</v>
      </c>
      <c r="B24" s="18">
        <f>-'Company Analysis'!B21</f>
        <v>513</v>
      </c>
      <c r="C24" s="18">
        <f>-'Company Analysis'!C21</f>
        <v>229</v>
      </c>
      <c r="D24" s="18">
        <f>-'Company Analysis'!D21</f>
        <v>117</v>
      </c>
      <c r="E24" s="18">
        <f>-'Company Analysis'!E21</f>
        <v>19</v>
      </c>
      <c r="F24" s="18">
        <f>-'Company Analysis'!F21</f>
        <v>1258</v>
      </c>
      <c r="G24" s="18">
        <f>-'Company Analysis'!G21</f>
        <v>8192</v>
      </c>
      <c r="H24" s="18">
        <f>-'Company Analysis'!H21</f>
        <v>1067</v>
      </c>
      <c r="I24" s="18">
        <f>-'Company Analysis'!I21</f>
        <v>195</v>
      </c>
      <c r="J24" s="18">
        <f>-'Company Analysis'!J21</f>
        <v>30</v>
      </c>
      <c r="K24" s="18">
        <f>-'Company Analysis'!K21</f>
        <v>400</v>
      </c>
    </row>
    <row r="25" spans="1:16">
      <c r="A25" t="s">
        <v>181</v>
      </c>
      <c r="B25" s="18">
        <f>-'Company Analysis'!B22</f>
        <v>1361</v>
      </c>
      <c r="C25" s="18">
        <f>-'Company Analysis'!C22</f>
        <v>1805</v>
      </c>
      <c r="D25" s="18">
        <f>-'Company Analysis'!D22</f>
        <v>3365</v>
      </c>
      <c r="E25" s="18">
        <f>-'Company Analysis'!E22</f>
        <v>-2281</v>
      </c>
      <c r="F25" s="18">
        <f>-'Company Analysis'!F22</f>
        <v>-489</v>
      </c>
      <c r="G25" s="18">
        <f>-'Company Analysis'!G22</f>
        <v>920</v>
      </c>
      <c r="H25" s="18">
        <f>-'Company Analysis'!H22</f>
        <v>2883</v>
      </c>
      <c r="I25" s="18">
        <f>-'Company Analysis'!I22</f>
        <v>1635</v>
      </c>
      <c r="J25" s="18">
        <f>-'Company Analysis'!J22</f>
        <v>1260</v>
      </c>
      <c r="K25" s="18">
        <f>-'Company Analysis'!K22</f>
        <v>546</v>
      </c>
    </row>
    <row r="26" spans="1:16">
      <c r="A26" t="s">
        <v>194</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481.33044741048207</v>
      </c>
      <c r="C27" s="18">
        <f>-'Company Analysis'!C27</f>
        <v>448.94960309088856</v>
      </c>
      <c r="D27" s="18">
        <f>-'Company Analysis'!D27</f>
        <v>175.98032585525533</v>
      </c>
      <c r="E27" s="18">
        <f>-'Company Analysis'!E27</f>
        <v>66.201008704789018</v>
      </c>
      <c r="F27" s="18">
        <f>-'Company Analysis'!F27</f>
        <v>526.71648433471387</v>
      </c>
      <c r="G27" s="18">
        <f>-'Company Analysis'!G27</f>
        <v>804.9891424209527</v>
      </c>
      <c r="H27" s="18">
        <f>-'Company Analysis'!H27</f>
        <v>674.51537177714545</v>
      </c>
      <c r="I27" s="18">
        <f>-'Company Analysis'!I27</f>
        <v>451.10883810315295</v>
      </c>
      <c r="J27" s="18">
        <f>-'Company Analysis'!J27</f>
        <v>999.82661151198113</v>
      </c>
      <c r="K27" s="18">
        <f>-'Company Analysis'!K27</f>
        <v>326.2202703080909</v>
      </c>
    </row>
    <row r="29" spans="1:16">
      <c r="A29" s="10" t="s">
        <v>73</v>
      </c>
      <c r="B29" s="134">
        <f>B1</f>
        <v>39082</v>
      </c>
      <c r="C29" s="134">
        <f t="shared" ref="C29:P29" si="6">C1</f>
        <v>39447</v>
      </c>
      <c r="D29" s="134">
        <f t="shared" si="6"/>
        <v>39813</v>
      </c>
      <c r="E29" s="134">
        <f t="shared" si="6"/>
        <v>40178</v>
      </c>
      <c r="F29" s="134">
        <f t="shared" si="6"/>
        <v>40543</v>
      </c>
      <c r="G29" s="134">
        <f t="shared" si="6"/>
        <v>40908</v>
      </c>
      <c r="H29" s="134">
        <f t="shared" si="6"/>
        <v>41274</v>
      </c>
      <c r="I29" s="134">
        <f t="shared" si="6"/>
        <v>41639</v>
      </c>
      <c r="J29" s="134">
        <f t="shared" si="6"/>
        <v>42004</v>
      </c>
      <c r="K29" s="134">
        <f t="shared" si="6"/>
        <v>42369</v>
      </c>
      <c r="L29" s="134">
        <f t="shared" si="6"/>
        <v>42734</v>
      </c>
      <c r="M29" s="134">
        <f t="shared" si="6"/>
        <v>43099</v>
      </c>
      <c r="N29" s="134">
        <f t="shared" si="6"/>
        <v>43464</v>
      </c>
      <c r="O29" s="134">
        <f t="shared" si="6"/>
        <v>43829</v>
      </c>
      <c r="P29" s="134">
        <f t="shared" si="6"/>
        <v>44194</v>
      </c>
    </row>
    <row r="30" spans="1:16">
      <c r="A30" t="s">
        <v>183</v>
      </c>
      <c r="B30" s="18">
        <f>'Company Analysis'!B32</f>
        <v>1340.6695525895179</v>
      </c>
      <c r="C30" s="18">
        <f>'Company Analysis'!C32</f>
        <v>2840.0503969091114</v>
      </c>
      <c r="D30" s="18">
        <f>'Company Analysis'!D32</f>
        <v>-1889.9803258552556</v>
      </c>
      <c r="E30" s="18">
        <f>'Company Analysis'!E32</f>
        <v>7464.7989912952107</v>
      </c>
      <c r="F30" s="18">
        <f>'Company Analysis'!F32</f>
        <v>2596.2835156652864</v>
      </c>
      <c r="G30" s="18">
        <f>'Company Analysis'!G32</f>
        <v>-5153.9891424209527</v>
      </c>
      <c r="H30" s="18">
        <f>'Company Analysis'!H32</f>
        <v>-2200.5153717771454</v>
      </c>
      <c r="I30" s="18">
        <f>'Company Analysis'!I32</f>
        <v>4672.8911618968468</v>
      </c>
      <c r="J30" s="18">
        <f>'Company Analysis'!J32</f>
        <v>3491.1733884880186</v>
      </c>
      <c r="K30" s="18">
        <f>'Company Analysis'!K32</f>
        <v>3079.7797296919089</v>
      </c>
    </row>
    <row r="31" spans="1:16">
      <c r="A31" t="s">
        <v>184</v>
      </c>
      <c r="L31" s="18">
        <f>L11*(1-'Valuation Model'!C12)</f>
        <v>2944.7690400000001</v>
      </c>
      <c r="M31" s="18">
        <f>M11*(1-'Valuation Model'!D12)</f>
        <v>4233.1054950000007</v>
      </c>
      <c r="N31" s="18">
        <f>N11*(1-'Valuation Model'!E12)</f>
        <v>4327.1745060000003</v>
      </c>
      <c r="O31" s="18">
        <f>O11*(1-'Valuation Model'!F12)</f>
        <v>3421.1723438062504</v>
      </c>
      <c r="P31" s="18">
        <f>P11*(1-'Valuation Model'!G12)</f>
        <v>3934.348195377187</v>
      </c>
    </row>
    <row r="32" spans="1:16">
      <c r="A32" t="s">
        <v>185</v>
      </c>
      <c r="L32" s="18">
        <f>L12*(1-'Valuation Model'!C12)</f>
        <v>2751.8358959999996</v>
      </c>
      <c r="M32" s="18">
        <f>M12*(1-'Valuation Model'!D12)</f>
        <v>2456.0135371800002</v>
      </c>
      <c r="N32" s="18">
        <f>N12*(1-'Valuation Model'!E12)</f>
        <v>2226.7856070432003</v>
      </c>
      <c r="O32" s="18">
        <f>O12*(1-'Valuation Model'!F12)</f>
        <v>1561.5334069390444</v>
      </c>
      <c r="P32" s="18">
        <f>P12*(1-'Valuation Model'!G12)</f>
        <v>1592.7640750778253</v>
      </c>
    </row>
    <row r="33" spans="1:16">
      <c r="A33" t="s">
        <v>186</v>
      </c>
      <c r="B33" s="20">
        <f t="shared" ref="B33:J33" si="7">B30/B2</f>
        <v>3.2292062350110028E-2</v>
      </c>
      <c r="C33" s="20">
        <f t="shared" si="7"/>
        <v>6.3171190820523859E-2</v>
      </c>
      <c r="D33" s="20">
        <f t="shared" si="7"/>
        <v>-3.6824493918152436E-2</v>
      </c>
      <c r="E33" s="20">
        <f t="shared" si="7"/>
        <v>0.23042347793848655</v>
      </c>
      <c r="F33" s="20">
        <f t="shared" si="7"/>
        <v>6.0962795051781871E-2</v>
      </c>
      <c r="G33" s="20">
        <f t="shared" si="7"/>
        <v>-8.5702702823854351E-2</v>
      </c>
      <c r="H33" s="20">
        <f t="shared" si="7"/>
        <v>-3.3404407920715681E-2</v>
      </c>
      <c r="I33" s="20">
        <f t="shared" si="7"/>
        <v>8.3960240798779048E-2</v>
      </c>
      <c r="J33" s="20">
        <f t="shared" si="7"/>
        <v>6.3264232177588045E-2</v>
      </c>
      <c r="K33" s="20">
        <f>K30/K2</f>
        <v>6.5511895719978494E-2</v>
      </c>
    </row>
    <row r="34" spans="1:16">
      <c r="A34" t="s">
        <v>187</v>
      </c>
      <c r="K34" s="99">
        <f>K33</f>
        <v>6.5511895719978494E-2</v>
      </c>
      <c r="L34" s="135">
        <f>(1-'Valuation Model'!C12)*'Valuation Model'!C10</f>
        <v>7.1999999999999995E-2</v>
      </c>
      <c r="M34" s="135">
        <f>(1-'Valuation Model'!D12)*'Valuation Model'!D10</f>
        <v>9.0000000000000011E-2</v>
      </c>
      <c r="N34" s="135">
        <f>(1-'Valuation Model'!E12)*'Valuation Model'!E10</f>
        <v>8.0000000000000016E-2</v>
      </c>
      <c r="O34" s="135">
        <f>(1-'Valuation Model'!F12)*'Valuation Model'!F10</f>
        <v>5.5000000000000007E-2</v>
      </c>
      <c r="P34" s="135">
        <f>(1-'Valuation Model'!G12)*'Valuation Model'!G10</f>
        <v>5.5000000000000007E-2</v>
      </c>
    </row>
    <row r="35" spans="1:16">
      <c r="A35" t="s">
        <v>188</v>
      </c>
      <c r="K35" s="99">
        <f>K33</f>
        <v>6.5511895719978494E-2</v>
      </c>
      <c r="L35" s="135">
        <f>(1-'Valuation Model'!C12)*'Valuation Model'!C11</f>
        <v>7.1999999999999995E-2</v>
      </c>
      <c r="M35" s="135">
        <f>(1-'Valuation Model'!D12)*'Valuation Model'!D11</f>
        <v>6.3000000000000014E-2</v>
      </c>
      <c r="N35" s="135">
        <f>(1-'Valuation Model'!E12)*'Valuation Model'!E11</f>
        <v>5.6000000000000008E-2</v>
      </c>
      <c r="O35" s="135">
        <f>(1-'Valuation Model'!F12)*'Valuation Model'!F11</f>
        <v>3.8500000000000006E-2</v>
      </c>
      <c r="P35" s="135">
        <f>(1-'Valuation Model'!G12)*'Valuation Model'!G11</f>
        <v>3.8500000000000006E-2</v>
      </c>
    </row>
    <row r="37" spans="1:16">
      <c r="A37" s="10" t="s">
        <v>153</v>
      </c>
      <c r="B37" s="134">
        <f>B1</f>
        <v>39082</v>
      </c>
      <c r="C37" s="134">
        <f t="shared" ref="C37:K37" si="8">C1</f>
        <v>39447</v>
      </c>
      <c r="D37" s="134">
        <f t="shared" si="8"/>
        <v>39813</v>
      </c>
      <c r="E37" s="134">
        <f t="shared" si="8"/>
        <v>40178</v>
      </c>
      <c r="F37" s="134">
        <f t="shared" si="8"/>
        <v>40543</v>
      </c>
      <c r="G37" s="134">
        <f t="shared" si="8"/>
        <v>40908</v>
      </c>
      <c r="H37" s="134">
        <f t="shared" si="8"/>
        <v>41274</v>
      </c>
      <c r="I37" s="134">
        <f t="shared" si="8"/>
        <v>41639</v>
      </c>
      <c r="J37" s="134">
        <f t="shared" si="8"/>
        <v>42004</v>
      </c>
      <c r="K37" s="134">
        <f t="shared" si="8"/>
        <v>42369</v>
      </c>
    </row>
    <row r="38" spans="1:16">
      <c r="A38" t="str">
        <f>ticker&amp;" Actual OCP ($, LHS)"</f>
        <v>CAT Actual OCP ($, LHS)</v>
      </c>
      <c r="B38" s="18">
        <f>B10</f>
        <v>4156.2979999999998</v>
      </c>
      <c r="C38" s="18">
        <f t="shared" ref="C38:K38" si="9">C10</f>
        <v>6084.6589999999997</v>
      </c>
      <c r="D38" s="18">
        <f t="shared" si="9"/>
        <v>2690.1903000000002</v>
      </c>
      <c r="E38" s="18">
        <f t="shared" si="9"/>
        <v>4099.4304000000002</v>
      </c>
      <c r="F38" s="18">
        <f t="shared" si="9"/>
        <v>2678.6587</v>
      </c>
      <c r="G38" s="18">
        <f t="shared" si="9"/>
        <v>4355.1401999999998</v>
      </c>
      <c r="H38" s="18">
        <f t="shared" si="9"/>
        <v>2322.0257000000001</v>
      </c>
      <c r="I38" s="18">
        <f t="shared" si="9"/>
        <v>7057.6424999999999</v>
      </c>
      <c r="J38" s="18">
        <f t="shared" si="9"/>
        <v>4870.0718999999999</v>
      </c>
      <c r="K38" s="18">
        <f t="shared" si="9"/>
        <v>3606.7793999999999</v>
      </c>
    </row>
    <row r="39" spans="1:16">
      <c r="A39" t="str">
        <f>ticker&amp;" OCP if GDP-Growth ($, LHS)"</f>
        <v>CAT OCP if GDP-Growth ($, LHS)</v>
      </c>
      <c r="B39" s="18">
        <f>B38</f>
        <v>4156.2979999999998</v>
      </c>
      <c r="C39" s="18">
        <f>(1+'Company Analysis'!C40)*B39</f>
        <v>4339.9404068692957</v>
      </c>
      <c r="D39" s="18">
        <f>(1+'Company Analysis'!D40)*C39</f>
        <v>4298.5499609195076</v>
      </c>
      <c r="E39" s="18">
        <f>(1+'Company Analysis'!E40)*D39</f>
        <v>4303.4541822097754</v>
      </c>
      <c r="F39" s="18">
        <f>(1+'Company Analysis'!F40)*E39</f>
        <v>4499.5344033152323</v>
      </c>
      <c r="G39" s="18">
        <f>(1+'Company Analysis'!G40)*F39</f>
        <v>4663.5303815217085</v>
      </c>
      <c r="H39" s="18">
        <f>(1+'Company Analysis'!H40)*G39</f>
        <v>4825.1924230900468</v>
      </c>
      <c r="I39" s="18">
        <f>(1+'Company Analysis'!I40)*H39</f>
        <v>5045.5278591311035</v>
      </c>
      <c r="J39" s="18">
        <f>(1+'Company Analysis'!J40)*I39</f>
        <v>5230.2929190668456</v>
      </c>
      <c r="K39" s="18">
        <f>(1+'Company Analysis'!K40)*J39</f>
        <v>5218.8595838901374</v>
      </c>
    </row>
    <row r="40" spans="1:16">
      <c r="A40" t="str">
        <f>ticker&amp;" - GDP Growth Difference (YoY, %, RHS)"</f>
        <v>CAT - GDP Growth Difference (YoY, %, RHS)</v>
      </c>
      <c r="B40" s="136"/>
      <c r="C40" s="99">
        <f>'Company Analysis'!C41-'Company Analysis'!C40</f>
        <v>0.41977706919251312</v>
      </c>
      <c r="D40" s="99">
        <f>'Company Analysis'!D41-'Company Analysis'!D40</f>
        <v>-0.54833618420307451</v>
      </c>
      <c r="E40" s="99">
        <f>'Company Analysis'!E41-'Company Analysis'!E40</f>
        <v>0.52270311819840476</v>
      </c>
      <c r="F40" s="99">
        <f>'Company Analysis'!F41-'Company Analysis'!F40</f>
        <v>-0.39214128226883549</v>
      </c>
      <c r="G40" s="99">
        <f>'Company Analysis'!G41-'Company Analysis'!G40</f>
        <v>0.5894187133481632</v>
      </c>
      <c r="H40" s="99">
        <f>'Company Analysis'!H41-'Company Analysis'!H40</f>
        <v>-0.50149617355820675</v>
      </c>
      <c r="I40" s="99">
        <f>'Company Analysis'!I41-'Company Analysis'!I40</f>
        <v>1.9937698594154374</v>
      </c>
      <c r="J40" s="99">
        <f>'Company Analysis'!J41-'Company Analysis'!J40</f>
        <v>-0.34657726466032168</v>
      </c>
      <c r="K40" s="99">
        <f>'Company Analysis'!K41-'Company Analysis'!K40</f>
        <v>-0.2572131639590175</v>
      </c>
    </row>
    <row r="41" spans="1:16">
      <c r="A41" t="str">
        <f>ticker&amp;" - GDP Growth Difference (3Y, %, RHS)"</f>
        <v>CAT - GDP Growth Difference (3Y, %, RHS)</v>
      </c>
      <c r="B41" s="137"/>
      <c r="C41" s="99"/>
      <c r="D41" s="99"/>
      <c r="E41" s="99">
        <f>'Company Analysis'!E43-'Company Analysis'!E42</f>
        <v>-1.5898982272388396E-2</v>
      </c>
      <c r="F41" s="99">
        <f>'Company Analysis'!F43-'Company Analysis'!F42</f>
        <v>-0.27689004498007419</v>
      </c>
      <c r="G41" s="99">
        <f>'Company Analysis'!G43-'Company Analysis'!G42</f>
        <v>0.14798720361489637</v>
      </c>
      <c r="H41" s="99">
        <f>'Company Analysis'!H43-'Company Analysis'!H42</f>
        <v>-0.19839198415737824</v>
      </c>
      <c r="I41" s="99">
        <f>'Company Analysis'!I43-'Company Analysis'!I42</f>
        <v>0.42901666971444619</v>
      </c>
      <c r="J41" s="99">
        <f>'Company Analysis'!J43-'Company Analysis'!J42</f>
        <v>-1.503961108229257E-3</v>
      </c>
      <c r="K41" s="99">
        <f>'Company Analysis'!K43-'Company Analysis'!K42</f>
        <v>6.4090875083225196E-2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7</vt:i4>
      </vt:variant>
      <vt:variant>
        <vt:lpstr>Named Ranges</vt:lpstr>
      </vt:variant>
      <vt:variant>
        <vt:i4>44</vt:i4>
      </vt:variant>
    </vt:vector>
  </HeadingPairs>
  <TitlesOfParts>
    <vt:vector size="63" baseType="lpstr">
      <vt:lpstr>Valuation Model</vt:lpstr>
      <vt:lpstr>Company Analysis</vt:lpstr>
      <vt:lpstr>Segments</vt:lpstr>
      <vt:lpstr>Revenue Stats</vt:lpstr>
      <vt:lpstr>Revenue Data</vt:lpstr>
      <vt:lpstr>Revenue Projections</vt:lpstr>
      <vt:lpstr>OCP Data</vt:lpstr>
      <vt:lpstr>ECF Data</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2017-02-18T00:20:29Z</dcterms:modified>
</cp:coreProperties>
</file>